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1. Publicatie Documenten concept/Nota van Inlichtingen/NvI2/"/>
    </mc:Choice>
  </mc:AlternateContent>
  <xr:revisionPtr revIDLastSave="0" documentId="8_{C3E4FE08-AA29-C146-A0DC-98FA6FB61478}" xr6:coauthVersionLast="47" xr6:coauthVersionMax="47" xr10:uidLastSave="{00000000-0000-0000-0000-000000000000}"/>
  <bookViews>
    <workbookView xWindow="0" yWindow="14140" windowWidth="25600" windowHeight="14660" tabRatio="812" firstSheet="3" activeTab="10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a-Jaarprijzen" sheetId="28" r:id="rId4"/>
    <sheet name="1.2-Kengetal" sheetId="1" r:id="rId5"/>
    <sheet name="1.3-Basis ruimtestaat" sheetId="2" r:id="rId6"/>
    <sheet name="1.3b Verrekening mutaties" sheetId="44" state="hidden" r:id="rId7"/>
    <sheet name="1. 3A-Mutaties" sheetId="58" r:id="rId8"/>
    <sheet name="1.4-Opbouw uurtarieven" sheetId="55" r:id="rId9"/>
    <sheet name="1.6-Machine-investeringskosten" sheetId="10" r:id="rId10"/>
    <sheet name="1.7-Afroepprijs" sheetId="5" r:id="rId11"/>
    <sheet name="1.8-Glasbewassing" sheetId="56" r:id="rId12"/>
  </sheets>
  <externalReferences>
    <externalReference r:id="rId13"/>
    <externalReference r:id="rId14"/>
    <externalReference r:id="rId15"/>
    <externalReference r:id="rId16"/>
  </externalReferences>
  <definedNames>
    <definedName name="_2F" localSheetId="6" hidden="1">[1]Blad1!#REF!</definedName>
    <definedName name="_2F" localSheetId="8" hidden="1">[2]Blad1!#REF!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6" hidden="1">'[3]#REF'!#REF!</definedName>
    <definedName name="_Fill" localSheetId="8" hidden="1">'[3]#REF'!#REF!</definedName>
    <definedName name="_Fill" localSheetId="0" hidden="1">'[3]#REF'!#REF!</definedName>
    <definedName name="_Fill" hidden="1">'[3]#REF'!#REF!</definedName>
    <definedName name="_xlnm._FilterDatabase" localSheetId="7" hidden="1">'1. 3A-Mutaties'!$B$12:$AA$37</definedName>
    <definedName name="_xlnm._FilterDatabase" localSheetId="3" hidden="1">'1.1a-Jaarprijzen'!$A$11:$N$12</definedName>
    <definedName name="_xlnm._FilterDatabase" localSheetId="4" hidden="1">'1.2-Kengetal'!$C$12:$P$76</definedName>
    <definedName name="_xlnm._FilterDatabase" localSheetId="5" hidden="1">'1.3-Basis ruimtestaat'!$B$12:$X$580</definedName>
    <definedName name="_Key1" localSheetId="6" hidden="1">'[3]#REF'!#REF!</definedName>
    <definedName name="_Key1" localSheetId="8" hidden="1">'[3]#REF'!#REF!</definedName>
    <definedName name="_Key1" hidden="1">'[3]#REF'!#REF!</definedName>
    <definedName name="_Key2" localSheetId="6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7">'1. 3A-Mutaties'!#REF!</definedName>
    <definedName name="_xlnm.Print_Area" localSheetId="2">'1.0-Contractblad'!$D$1:$S$41</definedName>
    <definedName name="_xlnm.Print_Area" localSheetId="3">'1.1a-Jaarprijzen'!$B$32:$M$68</definedName>
    <definedName name="_xlnm.Print_Area" localSheetId="4">'1.2-Kengetal'!$B$4:$P$91</definedName>
    <definedName name="_xlnm.Print_Area" localSheetId="5">'1.3-Basis ruimtestaat'!#REF!</definedName>
    <definedName name="_xlnm.Print_Area" localSheetId="8">'1.4-Opbouw uurtarieven'!$B$1:$V$67</definedName>
    <definedName name="_xlnm.Print_Area" localSheetId="9">'1.6-Machine-investeringskosten'!$E$4:$I$158</definedName>
    <definedName name="_xlnm.Print_Area" localSheetId="10">'1.7-Afroepprijs'!$E$14:$M$144</definedName>
    <definedName name="_xlnm.Print_Area" localSheetId="11">'1.8-Glasbewassing'!$A$1:$AF$39</definedName>
    <definedName name="_xlnm.Print_Area" localSheetId="0">'Toelichting Calculatiemodel'!$F$3:$L$76</definedName>
    <definedName name="_xlnm.Print_Area" localSheetId="1">Voorblad!$B$1:$J$96</definedName>
    <definedName name="_xlnm.Print_Titles" localSheetId="7">'1. 3A-Mutaties'!$E:$E,'1. 3A-Mutaties'!$4:$12</definedName>
    <definedName name="_xlnm.Print_Titles" localSheetId="2">'1.0-Contractblad'!$1:$14</definedName>
    <definedName name="_xlnm.Print_Titles" localSheetId="4">'1.2-Kengetal'!$1:$3</definedName>
    <definedName name="_xlnm.Print_Titles" localSheetId="5">'1.3-Basis ruimtestaat'!$E:$E,'1.3-Basis ruimtestaat'!$4:$12</definedName>
    <definedName name="_xlnm.Print_Titles" localSheetId="9">'1.6-Machine-investeringskosten'!$E:$E,'1.6-Machine-investeringskosten'!$4:$10</definedName>
    <definedName name="_xlnm.Print_Titles" localSheetId="10">'1.7-Afroepprijs'!$5:$13</definedName>
    <definedName name="Allelocaties" localSheetId="7">'1. 3A-Mutaties'!$A:$T</definedName>
    <definedName name="Allelocaties">'1.3-Basis ruimtestaat'!$A:$R</definedName>
    <definedName name="BasisTarief" localSheetId="8">'1.4-Opbouw uurtarieven'!$N$16:$XFD$65</definedName>
    <definedName name="basistarieftoez">'1.4-Opbouw uurtarieven'!$S$16:$V$65</definedName>
    <definedName name="basistariefuit">'1.4-Opbouw uurtarieven'!$M$16:$P$65</definedName>
    <definedName name="CatMedewschoonmaak" localSheetId="8">'1.4-Opbouw uurtarieven'!$I$16:$V$16</definedName>
    <definedName name="Dataase3" localSheetId="7">'1. 3A-Mutaties'!$B$12:$Z$13</definedName>
    <definedName name="Dataase3">'1.3-Basis ruimtestaat'!$B$12:$W$13</definedName>
    <definedName name="_xlnm.Database" localSheetId="7">'1. 3A-Mutaties'!$D$12:$Z$13</definedName>
    <definedName name="_xlnm.Database">'1.3-Basis ruimtestaat'!$D$12:$W$13</definedName>
    <definedName name="database2" localSheetId="7">'1. 3A-Mutaties'!$C$12:$Z$13</definedName>
    <definedName name="database2">'1.3-Basis ruimtestaat'!$C$12:$W$13</definedName>
    <definedName name="han" localSheetId="8" hidden="1">'[3]#REF'!#REF!</definedName>
    <definedName name="han" hidden="1">'[3]#REF'!#REF!</definedName>
    <definedName name="HTML_CodePage" hidden="1">1252</definedName>
    <definedName name="HTML_Control" localSheetId="2" hidden="1">{"'ma_vr'!$A$1:$AA$42"}</definedName>
    <definedName name="HTML_Control" localSheetId="6" hidden="1">{"'ma_vr'!$A$1:$AA$42"}</definedName>
    <definedName name="HTML_Control" localSheetId="8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etal" localSheetId="6">'[4]1.2-Kengetal'!$C$10:$P$33</definedName>
    <definedName name="Kengetal">'1.2-Kengetal'!$C$13:$Q$75</definedName>
    <definedName name="LOCATIE" localSheetId="7">'1. 3A-Mutaties'!$E:$R</definedName>
    <definedName name="LOCATIE">'1.3-Basis ruimtestaat'!$E:$Q</definedName>
    <definedName name="Loongroepen" localSheetId="6">'[4]1.5 Opbouw uurtarieven'!$A$12:$A$46</definedName>
    <definedName name="Loongroepen" localSheetId="8">'1.4-Opbouw uurtarieven'!$B$16:$B$31</definedName>
    <definedName name="Meters" localSheetId="7">'1. 3A-Mutaties'!$K:$K</definedName>
    <definedName name="Meters" localSheetId="6">'[4]1.3-Basis ruimtestaat'!$K:$K</definedName>
    <definedName name="Meters">'1.3-Basis ruimtestaat'!$K:$K</definedName>
    <definedName name="Perceel" localSheetId="7">'1. 3A-Mutaties'!$F:$U</definedName>
    <definedName name="Perceel">'1.3-Basis ruimtestaat'!$F:$S</definedName>
    <definedName name="PERCEEL2" localSheetId="7">'1. 3A-Mutaties'!$A:$U</definedName>
    <definedName name="PERCEEL2">'1.3-Basis ruimtestaat'!$A:$S</definedName>
    <definedName name="q" localSheetId="8" hidden="1">[2]Blad1!#REF!</definedName>
    <definedName name="q" hidden="1">[1]Blad1!#REF!</definedName>
    <definedName name="Tabel" localSheetId="8">'1.4-Opbouw uurtarieven'!$O$5:$P$7</definedName>
    <definedName name="TariefGLAS">'1.4-Opbouw uurtarieven'!$Z$17:$Z$17</definedName>
    <definedName name="tariefschoonmaak" localSheetId="8">'1.4-Opbouw uurtarieven'!$M$16:$Z$16</definedName>
    <definedName name="tariefSMO">'1.4-Opbouw uurtarieven'!$M$16:$P$16</definedName>
    <definedName name="tarieftoez">#REF!</definedName>
    <definedName name="tariefTZ">'1.4-Opbouw uurtarieven'!$S$16:$V$16</definedName>
    <definedName name="tariefuit">#REF!</definedName>
    <definedName name="tarievenglas">'1.4-Opbouw uurtarieven'!$Z$17:$Z$65</definedName>
    <definedName name="Totaal" localSheetId="7">'1. 3A-Mutaties'!$A$12:$T$13</definedName>
    <definedName name="Totaal">'1.3-Basis ruimtestaat'!$A$12:$R$13</definedName>
    <definedName name="Totaal2" localSheetId="7">'1. 3A-Mutaties'!$E$12:$T$13</definedName>
    <definedName name="Totaal2" localSheetId="6">'[4]1.3-Basis ruimtestaat'!$E$10:$T$226</definedName>
    <definedName name="Totaal2">'1.3-Basis ruimtestaat'!$E$12:$R$13</definedName>
    <definedName name="UREMAVR" localSheetId="7">'1. 3A-Mutaties'!$R$12:$R$13</definedName>
    <definedName name="UREMAVR" localSheetId="6">'[4]1.3-Basis ruimtestaat'!$R$10:$R$226</definedName>
    <definedName name="UREMAVR">'1.3-Basis ruimtestaat'!$Q$12:$Q$13</definedName>
    <definedName name="URENEWEEKEND" localSheetId="7">'1. 3A-Mutaties'!$T$12:$T$13</definedName>
    <definedName name="URENEWEEKEND">'1.3-Basis ruimtestaat'!#REF!</definedName>
    <definedName name="URENNALOOP" localSheetId="7">'1. 3A-Mutaties'!$S$12:$S$13</definedName>
    <definedName name="URENNALOOP" localSheetId="6">'[4]1.3-Basis ruimtestaat'!$S$10:$S$226</definedName>
    <definedName name="URENNALOOP">'1.3-Basis ruimtestaat'!$R$12:$R$13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4" i="5" l="1"/>
  <c r="L98" i="5"/>
  <c r="L89" i="5"/>
  <c r="L93" i="5"/>
  <c r="K15" i="1"/>
  <c r="M15" i="1"/>
  <c r="K16" i="1"/>
  <c r="M16" i="1"/>
  <c r="K17" i="1"/>
  <c r="M17" i="1"/>
  <c r="K18" i="1"/>
  <c r="M18" i="1"/>
  <c r="K19" i="1"/>
  <c r="M19" i="1"/>
  <c r="K20" i="1"/>
  <c r="M20" i="1"/>
  <c r="K21" i="1"/>
  <c r="M21" i="1"/>
  <c r="K22" i="1"/>
  <c r="N22" i="1" s="1"/>
  <c r="M22" i="1"/>
  <c r="K23" i="1"/>
  <c r="M23" i="1"/>
  <c r="K24" i="1"/>
  <c r="M24" i="1"/>
  <c r="K25" i="1"/>
  <c r="M25" i="1"/>
  <c r="K26" i="1"/>
  <c r="M26" i="1"/>
  <c r="K27" i="1"/>
  <c r="M27" i="1"/>
  <c r="K28" i="1"/>
  <c r="N28" i="1" s="1"/>
  <c r="M28" i="1"/>
  <c r="K29" i="1"/>
  <c r="M29" i="1"/>
  <c r="K30" i="1"/>
  <c r="M30" i="1"/>
  <c r="K31" i="1"/>
  <c r="M31" i="1"/>
  <c r="K32" i="1"/>
  <c r="M32" i="1"/>
  <c r="K33" i="1"/>
  <c r="N33" i="1" s="1"/>
  <c r="M33" i="1"/>
  <c r="K34" i="1"/>
  <c r="M34" i="1"/>
  <c r="K35" i="1"/>
  <c r="N35" i="1" s="1"/>
  <c r="M35" i="1"/>
  <c r="K36" i="1"/>
  <c r="M36" i="1"/>
  <c r="K37" i="1"/>
  <c r="N37" i="1" s="1"/>
  <c r="M37" i="1"/>
  <c r="K38" i="1"/>
  <c r="M38" i="1"/>
  <c r="K39" i="1"/>
  <c r="M39" i="1"/>
  <c r="K40" i="1"/>
  <c r="M40" i="1"/>
  <c r="K41" i="1"/>
  <c r="M41" i="1"/>
  <c r="K42" i="1"/>
  <c r="M42" i="1"/>
  <c r="K43" i="1"/>
  <c r="M43" i="1"/>
  <c r="K44" i="1"/>
  <c r="M44" i="1"/>
  <c r="K45" i="1"/>
  <c r="M45" i="1"/>
  <c r="N45" i="1"/>
  <c r="K46" i="1"/>
  <c r="N46" i="1" s="1"/>
  <c r="M46" i="1"/>
  <c r="K47" i="1"/>
  <c r="M47" i="1"/>
  <c r="K48" i="1"/>
  <c r="M48" i="1"/>
  <c r="K49" i="1"/>
  <c r="M49" i="1"/>
  <c r="K50" i="1"/>
  <c r="N50" i="1" s="1"/>
  <c r="M50" i="1"/>
  <c r="K51" i="1"/>
  <c r="M51" i="1"/>
  <c r="K52" i="1"/>
  <c r="N52" i="1" s="1"/>
  <c r="M52" i="1"/>
  <c r="K53" i="1"/>
  <c r="N53" i="1" s="1"/>
  <c r="M53" i="1"/>
  <c r="K54" i="1"/>
  <c r="M54" i="1"/>
  <c r="K55" i="1"/>
  <c r="N55" i="1" s="1"/>
  <c r="M55" i="1"/>
  <c r="K56" i="1"/>
  <c r="N56" i="1" s="1"/>
  <c r="M56" i="1"/>
  <c r="K57" i="1"/>
  <c r="M57" i="1"/>
  <c r="K58" i="1"/>
  <c r="M58" i="1"/>
  <c r="K59" i="1"/>
  <c r="N59" i="1" s="1"/>
  <c r="M59" i="1"/>
  <c r="K60" i="1"/>
  <c r="M60" i="1"/>
  <c r="K61" i="1"/>
  <c r="M61" i="1"/>
  <c r="K62" i="1"/>
  <c r="M62" i="1"/>
  <c r="D62" i="28"/>
  <c r="T16" i="55"/>
  <c r="N16" i="55"/>
  <c r="O16" i="55"/>
  <c r="U14" i="2" l="1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J15" i="1" l="1"/>
  <c r="J43" i="1"/>
  <c r="J61" i="1" l="1"/>
  <c r="I20" i="56"/>
  <c r="I21" i="56"/>
  <c r="I22" i="56"/>
  <c r="I23" i="56"/>
  <c r="I24" i="56"/>
  <c r="I25" i="56"/>
  <c r="I26" i="56"/>
  <c r="I27" i="56"/>
  <c r="I28" i="56"/>
  <c r="I29" i="56"/>
  <c r="I30" i="56"/>
  <c r="I31" i="56"/>
  <c r="I32" i="56"/>
  <c r="I33" i="56"/>
  <c r="I34" i="56"/>
  <c r="R20" i="56"/>
  <c r="W20" i="56" s="1"/>
  <c r="AD20" i="56" s="1"/>
  <c r="R21" i="56"/>
  <c r="W21" i="56" s="1"/>
  <c r="AD21" i="56" s="1"/>
  <c r="R22" i="56"/>
  <c r="W22" i="56" s="1"/>
  <c r="AD22" i="56" s="1"/>
  <c r="R23" i="56"/>
  <c r="W23" i="56" s="1"/>
  <c r="AD23" i="56" s="1"/>
  <c r="R24" i="56"/>
  <c r="W24" i="56" s="1"/>
  <c r="AD24" i="56" s="1"/>
  <c r="R25" i="56"/>
  <c r="W25" i="56" s="1"/>
  <c r="AD25" i="56" s="1"/>
  <c r="R26" i="56"/>
  <c r="W26" i="56" s="1"/>
  <c r="AD26" i="56" s="1"/>
  <c r="R27" i="56"/>
  <c r="W27" i="56" s="1"/>
  <c r="AD27" i="56" s="1"/>
  <c r="R28" i="56"/>
  <c r="W28" i="56" s="1"/>
  <c r="AD28" i="56" s="1"/>
  <c r="R29" i="56"/>
  <c r="W29" i="56" s="1"/>
  <c r="AD29" i="56" s="1"/>
  <c r="R30" i="56"/>
  <c r="W30" i="56" s="1"/>
  <c r="AD30" i="56" s="1"/>
  <c r="R31" i="56"/>
  <c r="W31" i="56" s="1"/>
  <c r="AD31" i="56" s="1"/>
  <c r="R32" i="56"/>
  <c r="W32" i="56" s="1"/>
  <c r="AD32" i="56" s="1"/>
  <c r="R33" i="56"/>
  <c r="W33" i="56" s="1"/>
  <c r="AD33" i="56" s="1"/>
  <c r="R34" i="56"/>
  <c r="W34" i="56" s="1"/>
  <c r="AD34" i="56" s="1"/>
  <c r="X20" i="56"/>
  <c r="Y20" i="56"/>
  <c r="Z20" i="56"/>
  <c r="AA20" i="56"/>
  <c r="X21" i="56"/>
  <c r="Y21" i="56"/>
  <c r="Z21" i="56"/>
  <c r="AA21" i="56"/>
  <c r="X22" i="56"/>
  <c r="Y22" i="56"/>
  <c r="Z22" i="56"/>
  <c r="AA22" i="56"/>
  <c r="X23" i="56"/>
  <c r="Y23" i="56"/>
  <c r="Z23" i="56"/>
  <c r="AA23" i="56"/>
  <c r="X24" i="56"/>
  <c r="Y24" i="56"/>
  <c r="Z24" i="56"/>
  <c r="AA24" i="56"/>
  <c r="X25" i="56"/>
  <c r="Y25" i="56"/>
  <c r="Z25" i="56"/>
  <c r="AA25" i="56"/>
  <c r="X26" i="56"/>
  <c r="Y26" i="56"/>
  <c r="Z26" i="56"/>
  <c r="AA26" i="56"/>
  <c r="X27" i="56"/>
  <c r="Y27" i="56"/>
  <c r="Z27" i="56"/>
  <c r="AA27" i="56"/>
  <c r="X28" i="56"/>
  <c r="Y28" i="56"/>
  <c r="Z28" i="56"/>
  <c r="AA28" i="56"/>
  <c r="X29" i="56"/>
  <c r="Y29" i="56"/>
  <c r="Z29" i="56"/>
  <c r="AA29" i="56"/>
  <c r="X30" i="56"/>
  <c r="Y30" i="56"/>
  <c r="Z30" i="56"/>
  <c r="AA30" i="56"/>
  <c r="X31" i="56"/>
  <c r="Y31" i="56"/>
  <c r="Z31" i="56"/>
  <c r="AA31" i="56"/>
  <c r="X32" i="56"/>
  <c r="Y32" i="56"/>
  <c r="Z32" i="56"/>
  <c r="AA32" i="56"/>
  <c r="X33" i="56"/>
  <c r="Y33" i="56"/>
  <c r="Z33" i="56"/>
  <c r="AA33" i="56"/>
  <c r="X34" i="56"/>
  <c r="Y34" i="56"/>
  <c r="Z34" i="56"/>
  <c r="AA34" i="56"/>
  <c r="J60" i="1" l="1"/>
  <c r="J59" i="1"/>
  <c r="D30" i="56"/>
  <c r="D31" i="56"/>
  <c r="D32" i="56"/>
  <c r="D33" i="56"/>
  <c r="D34" i="56"/>
  <c r="J80" i="10" l="1"/>
  <c r="J60" i="10"/>
  <c r="J40" i="10"/>
  <c r="J20" i="10"/>
  <c r="N14" i="2"/>
  <c r="S14" i="2"/>
  <c r="Q14" i="2" s="1"/>
  <c r="T14" i="2"/>
  <c r="R14" i="2" s="1"/>
  <c r="N15" i="2"/>
  <c r="S15" i="2"/>
  <c r="Q15" i="2" s="1"/>
  <c r="T15" i="2"/>
  <c r="R15" i="2" s="1"/>
  <c r="N16" i="2"/>
  <c r="S16" i="2"/>
  <c r="Q16" i="2" s="1"/>
  <c r="T16" i="2"/>
  <c r="R16" i="2" s="1"/>
  <c r="N17" i="2"/>
  <c r="S17" i="2"/>
  <c r="Q17" i="2" s="1"/>
  <c r="T17" i="2"/>
  <c r="R17" i="2" s="1"/>
  <c r="N18" i="2"/>
  <c r="S18" i="2"/>
  <c r="Q18" i="2" s="1"/>
  <c r="T18" i="2"/>
  <c r="R18" i="2" s="1"/>
  <c r="N19" i="2"/>
  <c r="S19" i="2"/>
  <c r="Q19" i="2" s="1"/>
  <c r="T19" i="2"/>
  <c r="R19" i="2" s="1"/>
  <c r="N20" i="2"/>
  <c r="S20" i="2"/>
  <c r="Q20" i="2" s="1"/>
  <c r="T20" i="2"/>
  <c r="R20" i="2" s="1"/>
  <c r="N21" i="2"/>
  <c r="S21" i="2"/>
  <c r="Q21" i="2" s="1"/>
  <c r="T21" i="2"/>
  <c r="R21" i="2" s="1"/>
  <c r="N22" i="2"/>
  <c r="S22" i="2"/>
  <c r="Q22" i="2" s="1"/>
  <c r="T22" i="2"/>
  <c r="R22" i="2" s="1"/>
  <c r="N23" i="2"/>
  <c r="S23" i="2"/>
  <c r="Q23" i="2" s="1"/>
  <c r="T23" i="2"/>
  <c r="R23" i="2" s="1"/>
  <c r="N24" i="2"/>
  <c r="S24" i="2"/>
  <c r="Q24" i="2" s="1"/>
  <c r="T24" i="2"/>
  <c r="R24" i="2" s="1"/>
  <c r="N25" i="2"/>
  <c r="S25" i="2"/>
  <c r="Q25" i="2" s="1"/>
  <c r="T25" i="2"/>
  <c r="R25" i="2" s="1"/>
  <c r="N26" i="2"/>
  <c r="S26" i="2"/>
  <c r="Q26" i="2" s="1"/>
  <c r="T26" i="2"/>
  <c r="R26" i="2" s="1"/>
  <c r="N27" i="2"/>
  <c r="S27" i="2"/>
  <c r="Q27" i="2" s="1"/>
  <c r="T27" i="2"/>
  <c r="R27" i="2" s="1"/>
  <c r="N28" i="2"/>
  <c r="S28" i="2"/>
  <c r="Q28" i="2" s="1"/>
  <c r="T28" i="2"/>
  <c r="R28" i="2" s="1"/>
  <c r="N29" i="2"/>
  <c r="S29" i="2"/>
  <c r="Q29" i="2" s="1"/>
  <c r="T29" i="2"/>
  <c r="R29" i="2" s="1"/>
  <c r="N30" i="2"/>
  <c r="S30" i="2"/>
  <c r="Q30" i="2" s="1"/>
  <c r="T30" i="2"/>
  <c r="R30" i="2" s="1"/>
  <c r="N31" i="2"/>
  <c r="S31" i="2"/>
  <c r="Q31" i="2" s="1"/>
  <c r="T31" i="2"/>
  <c r="R31" i="2" s="1"/>
  <c r="N32" i="2"/>
  <c r="S32" i="2"/>
  <c r="Q32" i="2" s="1"/>
  <c r="T32" i="2"/>
  <c r="R32" i="2" s="1"/>
  <c r="N33" i="2"/>
  <c r="S33" i="2"/>
  <c r="Q33" i="2" s="1"/>
  <c r="T33" i="2"/>
  <c r="R33" i="2" s="1"/>
  <c r="N34" i="2"/>
  <c r="S34" i="2"/>
  <c r="Q34" i="2" s="1"/>
  <c r="T34" i="2"/>
  <c r="R34" i="2" s="1"/>
  <c r="N35" i="2"/>
  <c r="S35" i="2"/>
  <c r="Q35" i="2" s="1"/>
  <c r="T35" i="2"/>
  <c r="R35" i="2" s="1"/>
  <c r="N36" i="2"/>
  <c r="S36" i="2"/>
  <c r="Q36" i="2" s="1"/>
  <c r="T36" i="2"/>
  <c r="R36" i="2" s="1"/>
  <c r="N37" i="2"/>
  <c r="S37" i="2"/>
  <c r="Q37" i="2" s="1"/>
  <c r="T37" i="2"/>
  <c r="R37" i="2" s="1"/>
  <c r="N38" i="2"/>
  <c r="S38" i="2"/>
  <c r="Q38" i="2" s="1"/>
  <c r="T38" i="2"/>
  <c r="R38" i="2" s="1"/>
  <c r="N39" i="2"/>
  <c r="S39" i="2"/>
  <c r="Q39" i="2" s="1"/>
  <c r="T39" i="2"/>
  <c r="R39" i="2" s="1"/>
  <c r="N40" i="2"/>
  <c r="S40" i="2"/>
  <c r="Q40" i="2" s="1"/>
  <c r="T40" i="2"/>
  <c r="R40" i="2" s="1"/>
  <c r="N41" i="2"/>
  <c r="S41" i="2"/>
  <c r="Q41" i="2" s="1"/>
  <c r="T41" i="2"/>
  <c r="R41" i="2" s="1"/>
  <c r="N42" i="2"/>
  <c r="S42" i="2"/>
  <c r="Q42" i="2" s="1"/>
  <c r="T42" i="2"/>
  <c r="R42" i="2" s="1"/>
  <c r="N43" i="2"/>
  <c r="S43" i="2"/>
  <c r="Q43" i="2" s="1"/>
  <c r="T43" i="2"/>
  <c r="R43" i="2" s="1"/>
  <c r="N44" i="2"/>
  <c r="S44" i="2"/>
  <c r="Q44" i="2" s="1"/>
  <c r="T44" i="2"/>
  <c r="R44" i="2" s="1"/>
  <c r="N45" i="2"/>
  <c r="S45" i="2"/>
  <c r="Q45" i="2" s="1"/>
  <c r="T45" i="2"/>
  <c r="R45" i="2" s="1"/>
  <c r="N46" i="2"/>
  <c r="S46" i="2"/>
  <c r="Q46" i="2" s="1"/>
  <c r="T46" i="2"/>
  <c r="R46" i="2" s="1"/>
  <c r="N47" i="2"/>
  <c r="S47" i="2"/>
  <c r="Q47" i="2" s="1"/>
  <c r="T47" i="2"/>
  <c r="R47" i="2" s="1"/>
  <c r="N48" i="2"/>
  <c r="S48" i="2"/>
  <c r="Q48" i="2" s="1"/>
  <c r="T48" i="2"/>
  <c r="R48" i="2" s="1"/>
  <c r="N49" i="2"/>
  <c r="S49" i="2"/>
  <c r="Q49" i="2" s="1"/>
  <c r="T49" i="2"/>
  <c r="R49" i="2" s="1"/>
  <c r="N50" i="2"/>
  <c r="S50" i="2"/>
  <c r="Q50" i="2" s="1"/>
  <c r="T50" i="2"/>
  <c r="R50" i="2" s="1"/>
  <c r="N51" i="2"/>
  <c r="S51" i="2"/>
  <c r="Q51" i="2" s="1"/>
  <c r="T51" i="2"/>
  <c r="R51" i="2" s="1"/>
  <c r="N52" i="2"/>
  <c r="S52" i="2"/>
  <c r="Q52" i="2" s="1"/>
  <c r="T52" i="2"/>
  <c r="R52" i="2" s="1"/>
  <c r="N53" i="2"/>
  <c r="S53" i="2"/>
  <c r="Q53" i="2" s="1"/>
  <c r="T53" i="2"/>
  <c r="R53" i="2" s="1"/>
  <c r="N54" i="2"/>
  <c r="S54" i="2"/>
  <c r="Q54" i="2" s="1"/>
  <c r="T54" i="2"/>
  <c r="R54" i="2" s="1"/>
  <c r="N55" i="2"/>
  <c r="S55" i="2"/>
  <c r="Q55" i="2" s="1"/>
  <c r="T55" i="2"/>
  <c r="R55" i="2" s="1"/>
  <c r="N56" i="2"/>
  <c r="S56" i="2"/>
  <c r="Q56" i="2" s="1"/>
  <c r="T56" i="2"/>
  <c r="R56" i="2" s="1"/>
  <c r="N57" i="2"/>
  <c r="S57" i="2"/>
  <c r="Q57" i="2" s="1"/>
  <c r="T57" i="2"/>
  <c r="R57" i="2" s="1"/>
  <c r="N58" i="2"/>
  <c r="S58" i="2"/>
  <c r="Q58" i="2" s="1"/>
  <c r="T58" i="2"/>
  <c r="R58" i="2" s="1"/>
  <c r="N59" i="2"/>
  <c r="S59" i="2"/>
  <c r="Q59" i="2" s="1"/>
  <c r="T59" i="2"/>
  <c r="R59" i="2" s="1"/>
  <c r="N60" i="2"/>
  <c r="S60" i="2"/>
  <c r="Q60" i="2" s="1"/>
  <c r="T60" i="2"/>
  <c r="R60" i="2" s="1"/>
  <c r="N61" i="2"/>
  <c r="S61" i="2"/>
  <c r="Q61" i="2" s="1"/>
  <c r="T61" i="2"/>
  <c r="R61" i="2" s="1"/>
  <c r="N62" i="2"/>
  <c r="S62" i="2"/>
  <c r="Q62" i="2" s="1"/>
  <c r="T62" i="2"/>
  <c r="R62" i="2" s="1"/>
  <c r="N63" i="2"/>
  <c r="S63" i="2"/>
  <c r="Q63" i="2" s="1"/>
  <c r="T63" i="2"/>
  <c r="R63" i="2" s="1"/>
  <c r="N64" i="2"/>
  <c r="S64" i="2"/>
  <c r="Q64" i="2" s="1"/>
  <c r="T64" i="2"/>
  <c r="R64" i="2" s="1"/>
  <c r="N65" i="2"/>
  <c r="S65" i="2"/>
  <c r="Q65" i="2" s="1"/>
  <c r="T65" i="2"/>
  <c r="R65" i="2" s="1"/>
  <c r="N66" i="2"/>
  <c r="S66" i="2"/>
  <c r="Q66" i="2" s="1"/>
  <c r="T66" i="2"/>
  <c r="R66" i="2" s="1"/>
  <c r="N67" i="2"/>
  <c r="S67" i="2"/>
  <c r="Q67" i="2" s="1"/>
  <c r="T67" i="2"/>
  <c r="R67" i="2" s="1"/>
  <c r="N68" i="2"/>
  <c r="S68" i="2"/>
  <c r="Q68" i="2" s="1"/>
  <c r="T68" i="2"/>
  <c r="R68" i="2" s="1"/>
  <c r="N69" i="2"/>
  <c r="S69" i="2"/>
  <c r="Q69" i="2" s="1"/>
  <c r="T69" i="2"/>
  <c r="R69" i="2" s="1"/>
  <c r="N70" i="2"/>
  <c r="S70" i="2"/>
  <c r="Q70" i="2" s="1"/>
  <c r="T70" i="2"/>
  <c r="R70" i="2" s="1"/>
  <c r="N71" i="2"/>
  <c r="S71" i="2"/>
  <c r="Q71" i="2" s="1"/>
  <c r="T71" i="2"/>
  <c r="R71" i="2" s="1"/>
  <c r="N72" i="2"/>
  <c r="S72" i="2"/>
  <c r="Q72" i="2" s="1"/>
  <c r="T72" i="2"/>
  <c r="R72" i="2" s="1"/>
  <c r="N73" i="2"/>
  <c r="S73" i="2"/>
  <c r="Q73" i="2" s="1"/>
  <c r="T73" i="2"/>
  <c r="R73" i="2" s="1"/>
  <c r="N74" i="2"/>
  <c r="S74" i="2"/>
  <c r="Q74" i="2" s="1"/>
  <c r="T74" i="2"/>
  <c r="R74" i="2" s="1"/>
  <c r="N75" i="2"/>
  <c r="S75" i="2"/>
  <c r="Q75" i="2" s="1"/>
  <c r="T75" i="2"/>
  <c r="R75" i="2" s="1"/>
  <c r="N76" i="2"/>
  <c r="S76" i="2"/>
  <c r="Q76" i="2" s="1"/>
  <c r="T76" i="2"/>
  <c r="R76" i="2" s="1"/>
  <c r="N77" i="2"/>
  <c r="S77" i="2"/>
  <c r="Q77" i="2" s="1"/>
  <c r="T77" i="2"/>
  <c r="R77" i="2" s="1"/>
  <c r="N78" i="2"/>
  <c r="S78" i="2"/>
  <c r="Q78" i="2" s="1"/>
  <c r="T78" i="2"/>
  <c r="R78" i="2" s="1"/>
  <c r="N79" i="2"/>
  <c r="S79" i="2"/>
  <c r="Q79" i="2" s="1"/>
  <c r="T79" i="2"/>
  <c r="R79" i="2" s="1"/>
  <c r="N80" i="2"/>
  <c r="S80" i="2"/>
  <c r="Q80" i="2" s="1"/>
  <c r="T80" i="2"/>
  <c r="R80" i="2" s="1"/>
  <c r="N81" i="2"/>
  <c r="S81" i="2"/>
  <c r="Q81" i="2" s="1"/>
  <c r="T81" i="2"/>
  <c r="R81" i="2" s="1"/>
  <c r="N82" i="2"/>
  <c r="S82" i="2"/>
  <c r="Q82" i="2" s="1"/>
  <c r="T82" i="2"/>
  <c r="R82" i="2" s="1"/>
  <c r="N83" i="2"/>
  <c r="S83" i="2"/>
  <c r="Q83" i="2" s="1"/>
  <c r="T83" i="2"/>
  <c r="R83" i="2" s="1"/>
  <c r="N84" i="2"/>
  <c r="S84" i="2"/>
  <c r="Q84" i="2" s="1"/>
  <c r="T84" i="2"/>
  <c r="R84" i="2" s="1"/>
  <c r="N85" i="2"/>
  <c r="S85" i="2"/>
  <c r="Q85" i="2" s="1"/>
  <c r="T85" i="2"/>
  <c r="R85" i="2" s="1"/>
  <c r="N86" i="2"/>
  <c r="S86" i="2"/>
  <c r="Q86" i="2" s="1"/>
  <c r="T86" i="2"/>
  <c r="R86" i="2" s="1"/>
  <c r="N87" i="2"/>
  <c r="S87" i="2"/>
  <c r="Q87" i="2" s="1"/>
  <c r="T87" i="2"/>
  <c r="R87" i="2" s="1"/>
  <c r="N88" i="2"/>
  <c r="S88" i="2"/>
  <c r="Q88" i="2" s="1"/>
  <c r="T88" i="2"/>
  <c r="R88" i="2" s="1"/>
  <c r="N89" i="2"/>
  <c r="S89" i="2"/>
  <c r="Q89" i="2" s="1"/>
  <c r="T89" i="2"/>
  <c r="R89" i="2" s="1"/>
  <c r="N90" i="2"/>
  <c r="S90" i="2"/>
  <c r="Q90" i="2" s="1"/>
  <c r="T90" i="2"/>
  <c r="R90" i="2" s="1"/>
  <c r="N91" i="2"/>
  <c r="S91" i="2"/>
  <c r="Q91" i="2" s="1"/>
  <c r="T91" i="2"/>
  <c r="R91" i="2" s="1"/>
  <c r="N92" i="2"/>
  <c r="S92" i="2"/>
  <c r="Q92" i="2" s="1"/>
  <c r="T92" i="2"/>
  <c r="R92" i="2" s="1"/>
  <c r="N93" i="2"/>
  <c r="S93" i="2"/>
  <c r="Q93" i="2" s="1"/>
  <c r="T93" i="2"/>
  <c r="R93" i="2" s="1"/>
  <c r="N94" i="2"/>
  <c r="S94" i="2"/>
  <c r="Q94" i="2" s="1"/>
  <c r="T94" i="2"/>
  <c r="R94" i="2" s="1"/>
  <c r="N95" i="2"/>
  <c r="S95" i="2"/>
  <c r="Q95" i="2" s="1"/>
  <c r="T95" i="2"/>
  <c r="R95" i="2" s="1"/>
  <c r="N96" i="2"/>
  <c r="S96" i="2"/>
  <c r="Q96" i="2" s="1"/>
  <c r="T96" i="2"/>
  <c r="R96" i="2" s="1"/>
  <c r="N97" i="2"/>
  <c r="S97" i="2"/>
  <c r="Q97" i="2" s="1"/>
  <c r="T97" i="2"/>
  <c r="R97" i="2" s="1"/>
  <c r="N98" i="2"/>
  <c r="S98" i="2"/>
  <c r="Q98" i="2" s="1"/>
  <c r="T98" i="2"/>
  <c r="R98" i="2" s="1"/>
  <c r="N99" i="2"/>
  <c r="S99" i="2"/>
  <c r="Q99" i="2" s="1"/>
  <c r="T99" i="2"/>
  <c r="R99" i="2" s="1"/>
  <c r="N100" i="2"/>
  <c r="S100" i="2"/>
  <c r="Q100" i="2" s="1"/>
  <c r="T100" i="2"/>
  <c r="R100" i="2" s="1"/>
  <c r="N101" i="2"/>
  <c r="S101" i="2"/>
  <c r="Q101" i="2" s="1"/>
  <c r="T101" i="2"/>
  <c r="R101" i="2" s="1"/>
  <c r="N102" i="2"/>
  <c r="S102" i="2"/>
  <c r="Q102" i="2" s="1"/>
  <c r="T102" i="2"/>
  <c r="R102" i="2" s="1"/>
  <c r="N103" i="2"/>
  <c r="S103" i="2"/>
  <c r="Q103" i="2" s="1"/>
  <c r="T103" i="2"/>
  <c r="R103" i="2" s="1"/>
  <c r="N104" i="2"/>
  <c r="S104" i="2"/>
  <c r="Q104" i="2" s="1"/>
  <c r="T104" i="2"/>
  <c r="R104" i="2" s="1"/>
  <c r="N105" i="2"/>
  <c r="S105" i="2"/>
  <c r="Q105" i="2" s="1"/>
  <c r="T105" i="2"/>
  <c r="R105" i="2" s="1"/>
  <c r="N106" i="2"/>
  <c r="S106" i="2"/>
  <c r="Q106" i="2" s="1"/>
  <c r="T106" i="2"/>
  <c r="R106" i="2" s="1"/>
  <c r="N107" i="2"/>
  <c r="S107" i="2"/>
  <c r="Q107" i="2" s="1"/>
  <c r="T107" i="2"/>
  <c r="R107" i="2" s="1"/>
  <c r="N108" i="2"/>
  <c r="S108" i="2"/>
  <c r="Q108" i="2" s="1"/>
  <c r="T108" i="2"/>
  <c r="R108" i="2" s="1"/>
  <c r="N109" i="2"/>
  <c r="S109" i="2"/>
  <c r="Q109" i="2" s="1"/>
  <c r="T109" i="2"/>
  <c r="R109" i="2" s="1"/>
  <c r="N110" i="2"/>
  <c r="S110" i="2"/>
  <c r="Q110" i="2" s="1"/>
  <c r="T110" i="2"/>
  <c r="R110" i="2" s="1"/>
  <c r="N111" i="2"/>
  <c r="S111" i="2"/>
  <c r="Q111" i="2" s="1"/>
  <c r="T111" i="2"/>
  <c r="R111" i="2" s="1"/>
  <c r="N112" i="2"/>
  <c r="S112" i="2"/>
  <c r="Q112" i="2" s="1"/>
  <c r="T112" i="2"/>
  <c r="R112" i="2" s="1"/>
  <c r="N113" i="2"/>
  <c r="S113" i="2"/>
  <c r="Q113" i="2" s="1"/>
  <c r="T113" i="2"/>
  <c r="R113" i="2" s="1"/>
  <c r="N114" i="2"/>
  <c r="S114" i="2"/>
  <c r="Q114" i="2" s="1"/>
  <c r="T114" i="2"/>
  <c r="R114" i="2" s="1"/>
  <c r="N115" i="2"/>
  <c r="S115" i="2"/>
  <c r="Q115" i="2" s="1"/>
  <c r="T115" i="2"/>
  <c r="R115" i="2" s="1"/>
  <c r="N116" i="2"/>
  <c r="S116" i="2"/>
  <c r="Q116" i="2" s="1"/>
  <c r="T116" i="2"/>
  <c r="R116" i="2" s="1"/>
  <c r="N117" i="2"/>
  <c r="S117" i="2"/>
  <c r="Q117" i="2" s="1"/>
  <c r="T117" i="2"/>
  <c r="R117" i="2" s="1"/>
  <c r="N118" i="2"/>
  <c r="S118" i="2"/>
  <c r="Q118" i="2" s="1"/>
  <c r="T118" i="2"/>
  <c r="R118" i="2" s="1"/>
  <c r="N119" i="2"/>
  <c r="S119" i="2"/>
  <c r="Q119" i="2" s="1"/>
  <c r="T119" i="2"/>
  <c r="R119" i="2" s="1"/>
  <c r="N120" i="2"/>
  <c r="S120" i="2"/>
  <c r="Q120" i="2" s="1"/>
  <c r="T120" i="2"/>
  <c r="R120" i="2" s="1"/>
  <c r="N121" i="2"/>
  <c r="S121" i="2"/>
  <c r="Q121" i="2" s="1"/>
  <c r="T121" i="2"/>
  <c r="R121" i="2" s="1"/>
  <c r="N122" i="2"/>
  <c r="S122" i="2"/>
  <c r="Q122" i="2" s="1"/>
  <c r="T122" i="2"/>
  <c r="R122" i="2" s="1"/>
  <c r="N123" i="2"/>
  <c r="S123" i="2"/>
  <c r="Q123" i="2" s="1"/>
  <c r="T123" i="2"/>
  <c r="R123" i="2" s="1"/>
  <c r="N124" i="2"/>
  <c r="S124" i="2"/>
  <c r="Q124" i="2" s="1"/>
  <c r="T124" i="2"/>
  <c r="R124" i="2" s="1"/>
  <c r="N125" i="2"/>
  <c r="S125" i="2"/>
  <c r="Q125" i="2" s="1"/>
  <c r="T125" i="2"/>
  <c r="R125" i="2" s="1"/>
  <c r="N126" i="2"/>
  <c r="S126" i="2"/>
  <c r="Q126" i="2" s="1"/>
  <c r="T126" i="2"/>
  <c r="R126" i="2" s="1"/>
  <c r="N127" i="2"/>
  <c r="S127" i="2"/>
  <c r="Q127" i="2" s="1"/>
  <c r="T127" i="2"/>
  <c r="R127" i="2" s="1"/>
  <c r="N128" i="2"/>
  <c r="S128" i="2"/>
  <c r="Q128" i="2" s="1"/>
  <c r="T128" i="2"/>
  <c r="R128" i="2" s="1"/>
  <c r="N129" i="2"/>
  <c r="S129" i="2"/>
  <c r="Q129" i="2" s="1"/>
  <c r="T129" i="2"/>
  <c r="R129" i="2" s="1"/>
  <c r="N130" i="2"/>
  <c r="S130" i="2"/>
  <c r="Q130" i="2" s="1"/>
  <c r="T130" i="2"/>
  <c r="R130" i="2" s="1"/>
  <c r="N131" i="2"/>
  <c r="S131" i="2"/>
  <c r="Q131" i="2" s="1"/>
  <c r="T131" i="2"/>
  <c r="R131" i="2" s="1"/>
  <c r="N132" i="2"/>
  <c r="S132" i="2"/>
  <c r="Q132" i="2" s="1"/>
  <c r="T132" i="2"/>
  <c r="R132" i="2" s="1"/>
  <c r="N133" i="2"/>
  <c r="S133" i="2"/>
  <c r="Q133" i="2" s="1"/>
  <c r="T133" i="2"/>
  <c r="R133" i="2" s="1"/>
  <c r="N134" i="2"/>
  <c r="S134" i="2"/>
  <c r="Q134" i="2" s="1"/>
  <c r="T134" i="2"/>
  <c r="R134" i="2" s="1"/>
  <c r="N135" i="2"/>
  <c r="S135" i="2"/>
  <c r="Q135" i="2" s="1"/>
  <c r="T135" i="2"/>
  <c r="R135" i="2" s="1"/>
  <c r="N136" i="2"/>
  <c r="S136" i="2"/>
  <c r="Q136" i="2" s="1"/>
  <c r="T136" i="2"/>
  <c r="R136" i="2" s="1"/>
  <c r="N137" i="2"/>
  <c r="S137" i="2"/>
  <c r="Q137" i="2" s="1"/>
  <c r="T137" i="2"/>
  <c r="R137" i="2" s="1"/>
  <c r="N138" i="2"/>
  <c r="S138" i="2"/>
  <c r="Q138" i="2" s="1"/>
  <c r="T138" i="2"/>
  <c r="R138" i="2" s="1"/>
  <c r="N139" i="2"/>
  <c r="S139" i="2"/>
  <c r="Q139" i="2" s="1"/>
  <c r="T139" i="2"/>
  <c r="R139" i="2" s="1"/>
  <c r="N140" i="2"/>
  <c r="S140" i="2"/>
  <c r="Q140" i="2" s="1"/>
  <c r="T140" i="2"/>
  <c r="R140" i="2" s="1"/>
  <c r="N141" i="2"/>
  <c r="S141" i="2"/>
  <c r="Q141" i="2" s="1"/>
  <c r="T141" i="2"/>
  <c r="R141" i="2" s="1"/>
  <c r="N142" i="2"/>
  <c r="S142" i="2"/>
  <c r="Q142" i="2" s="1"/>
  <c r="T142" i="2"/>
  <c r="R142" i="2" s="1"/>
  <c r="N143" i="2"/>
  <c r="S143" i="2"/>
  <c r="Q143" i="2" s="1"/>
  <c r="T143" i="2"/>
  <c r="R143" i="2" s="1"/>
  <c r="N144" i="2"/>
  <c r="S144" i="2"/>
  <c r="Q144" i="2" s="1"/>
  <c r="T144" i="2"/>
  <c r="R144" i="2" s="1"/>
  <c r="N145" i="2"/>
  <c r="S145" i="2"/>
  <c r="Q145" i="2" s="1"/>
  <c r="T145" i="2"/>
  <c r="R145" i="2" s="1"/>
  <c r="N146" i="2"/>
  <c r="S146" i="2"/>
  <c r="Q146" i="2" s="1"/>
  <c r="T146" i="2"/>
  <c r="R146" i="2" s="1"/>
  <c r="N147" i="2"/>
  <c r="S147" i="2"/>
  <c r="Q147" i="2" s="1"/>
  <c r="T147" i="2"/>
  <c r="R147" i="2" s="1"/>
  <c r="N148" i="2"/>
  <c r="S148" i="2"/>
  <c r="Q148" i="2" s="1"/>
  <c r="T148" i="2"/>
  <c r="R148" i="2" s="1"/>
  <c r="N149" i="2"/>
  <c r="S149" i="2"/>
  <c r="Q149" i="2" s="1"/>
  <c r="T149" i="2"/>
  <c r="R149" i="2" s="1"/>
  <c r="N150" i="2"/>
  <c r="S150" i="2"/>
  <c r="Q150" i="2" s="1"/>
  <c r="T150" i="2"/>
  <c r="R150" i="2" s="1"/>
  <c r="N151" i="2"/>
  <c r="S151" i="2"/>
  <c r="Q151" i="2" s="1"/>
  <c r="T151" i="2"/>
  <c r="R151" i="2" s="1"/>
  <c r="N152" i="2"/>
  <c r="S152" i="2"/>
  <c r="Q152" i="2" s="1"/>
  <c r="T152" i="2"/>
  <c r="R152" i="2" s="1"/>
  <c r="N153" i="2"/>
  <c r="S153" i="2"/>
  <c r="Q153" i="2" s="1"/>
  <c r="T153" i="2"/>
  <c r="R153" i="2" s="1"/>
  <c r="N154" i="2"/>
  <c r="S154" i="2"/>
  <c r="Q154" i="2" s="1"/>
  <c r="T154" i="2"/>
  <c r="R154" i="2" s="1"/>
  <c r="N155" i="2"/>
  <c r="S155" i="2"/>
  <c r="Q155" i="2" s="1"/>
  <c r="T155" i="2"/>
  <c r="R155" i="2" s="1"/>
  <c r="N156" i="2"/>
  <c r="S156" i="2"/>
  <c r="Q156" i="2" s="1"/>
  <c r="T156" i="2"/>
  <c r="R156" i="2" s="1"/>
  <c r="N157" i="2"/>
  <c r="S157" i="2"/>
  <c r="Q157" i="2" s="1"/>
  <c r="T157" i="2"/>
  <c r="R157" i="2" s="1"/>
  <c r="N158" i="2"/>
  <c r="S158" i="2"/>
  <c r="Q158" i="2" s="1"/>
  <c r="T158" i="2"/>
  <c r="R158" i="2" s="1"/>
  <c r="N159" i="2"/>
  <c r="S159" i="2"/>
  <c r="Q159" i="2" s="1"/>
  <c r="T159" i="2"/>
  <c r="R159" i="2" s="1"/>
  <c r="N160" i="2"/>
  <c r="S160" i="2"/>
  <c r="Q160" i="2" s="1"/>
  <c r="T160" i="2"/>
  <c r="R160" i="2" s="1"/>
  <c r="N161" i="2"/>
  <c r="S161" i="2"/>
  <c r="Q161" i="2" s="1"/>
  <c r="T161" i="2"/>
  <c r="R161" i="2" s="1"/>
  <c r="N162" i="2"/>
  <c r="S162" i="2"/>
  <c r="Q162" i="2" s="1"/>
  <c r="T162" i="2"/>
  <c r="R162" i="2" s="1"/>
  <c r="N163" i="2"/>
  <c r="S163" i="2"/>
  <c r="Q163" i="2" s="1"/>
  <c r="T163" i="2"/>
  <c r="R163" i="2" s="1"/>
  <c r="N164" i="2"/>
  <c r="S164" i="2"/>
  <c r="Q164" i="2" s="1"/>
  <c r="T164" i="2"/>
  <c r="R164" i="2" s="1"/>
  <c r="N165" i="2"/>
  <c r="S165" i="2"/>
  <c r="Q165" i="2" s="1"/>
  <c r="T165" i="2"/>
  <c r="R165" i="2" s="1"/>
  <c r="N166" i="2"/>
  <c r="S166" i="2"/>
  <c r="Q166" i="2" s="1"/>
  <c r="T166" i="2"/>
  <c r="R166" i="2" s="1"/>
  <c r="N167" i="2"/>
  <c r="S167" i="2"/>
  <c r="Q167" i="2" s="1"/>
  <c r="T167" i="2"/>
  <c r="R167" i="2" s="1"/>
  <c r="N168" i="2"/>
  <c r="S168" i="2"/>
  <c r="Q168" i="2" s="1"/>
  <c r="T168" i="2"/>
  <c r="R168" i="2" s="1"/>
  <c r="N169" i="2"/>
  <c r="S169" i="2"/>
  <c r="Q169" i="2" s="1"/>
  <c r="T169" i="2"/>
  <c r="R169" i="2" s="1"/>
  <c r="N170" i="2"/>
  <c r="S170" i="2"/>
  <c r="Q170" i="2" s="1"/>
  <c r="T170" i="2"/>
  <c r="R170" i="2" s="1"/>
  <c r="N171" i="2"/>
  <c r="S171" i="2"/>
  <c r="Q171" i="2" s="1"/>
  <c r="T171" i="2"/>
  <c r="R171" i="2" s="1"/>
  <c r="N172" i="2"/>
  <c r="S172" i="2"/>
  <c r="Q172" i="2" s="1"/>
  <c r="T172" i="2"/>
  <c r="R172" i="2" s="1"/>
  <c r="N173" i="2"/>
  <c r="S173" i="2"/>
  <c r="Q173" i="2" s="1"/>
  <c r="T173" i="2"/>
  <c r="R173" i="2" s="1"/>
  <c r="N174" i="2"/>
  <c r="S174" i="2"/>
  <c r="Q174" i="2" s="1"/>
  <c r="T174" i="2"/>
  <c r="R174" i="2" s="1"/>
  <c r="N175" i="2"/>
  <c r="S175" i="2"/>
  <c r="Q175" i="2" s="1"/>
  <c r="T175" i="2"/>
  <c r="R175" i="2" s="1"/>
  <c r="N176" i="2"/>
  <c r="S176" i="2"/>
  <c r="Q176" i="2" s="1"/>
  <c r="T176" i="2"/>
  <c r="R176" i="2" s="1"/>
  <c r="N177" i="2"/>
  <c r="S177" i="2"/>
  <c r="Q177" i="2" s="1"/>
  <c r="T177" i="2"/>
  <c r="R177" i="2" s="1"/>
  <c r="N178" i="2"/>
  <c r="S178" i="2"/>
  <c r="Q178" i="2" s="1"/>
  <c r="T178" i="2"/>
  <c r="R178" i="2" s="1"/>
  <c r="N179" i="2"/>
  <c r="S179" i="2"/>
  <c r="Q179" i="2" s="1"/>
  <c r="T179" i="2"/>
  <c r="R179" i="2" s="1"/>
  <c r="N180" i="2"/>
  <c r="S180" i="2"/>
  <c r="Q180" i="2" s="1"/>
  <c r="T180" i="2"/>
  <c r="R180" i="2" s="1"/>
  <c r="N181" i="2"/>
  <c r="S181" i="2"/>
  <c r="Q181" i="2" s="1"/>
  <c r="T181" i="2"/>
  <c r="R181" i="2" s="1"/>
  <c r="N182" i="2"/>
  <c r="S182" i="2"/>
  <c r="Q182" i="2" s="1"/>
  <c r="T182" i="2"/>
  <c r="R182" i="2" s="1"/>
  <c r="N183" i="2"/>
  <c r="S183" i="2"/>
  <c r="Q183" i="2" s="1"/>
  <c r="T183" i="2"/>
  <c r="R183" i="2" s="1"/>
  <c r="N184" i="2"/>
  <c r="S184" i="2"/>
  <c r="Q184" i="2" s="1"/>
  <c r="T184" i="2"/>
  <c r="R184" i="2" s="1"/>
  <c r="N185" i="2"/>
  <c r="S185" i="2"/>
  <c r="Q185" i="2" s="1"/>
  <c r="T185" i="2"/>
  <c r="R185" i="2" s="1"/>
  <c r="N186" i="2"/>
  <c r="S186" i="2"/>
  <c r="Q186" i="2" s="1"/>
  <c r="T186" i="2"/>
  <c r="R186" i="2" s="1"/>
  <c r="N187" i="2"/>
  <c r="S187" i="2"/>
  <c r="Q187" i="2" s="1"/>
  <c r="T187" i="2"/>
  <c r="R187" i="2" s="1"/>
  <c r="N188" i="2"/>
  <c r="S188" i="2"/>
  <c r="Q188" i="2" s="1"/>
  <c r="T188" i="2"/>
  <c r="R188" i="2" s="1"/>
  <c r="N189" i="2"/>
  <c r="S189" i="2"/>
  <c r="Q189" i="2" s="1"/>
  <c r="T189" i="2"/>
  <c r="R189" i="2" s="1"/>
  <c r="N190" i="2"/>
  <c r="S190" i="2"/>
  <c r="Q190" i="2" s="1"/>
  <c r="T190" i="2"/>
  <c r="R190" i="2" s="1"/>
  <c r="N191" i="2"/>
  <c r="S191" i="2"/>
  <c r="Q191" i="2" s="1"/>
  <c r="T191" i="2"/>
  <c r="R191" i="2" s="1"/>
  <c r="N192" i="2"/>
  <c r="S192" i="2"/>
  <c r="Q192" i="2" s="1"/>
  <c r="T192" i="2"/>
  <c r="R192" i="2" s="1"/>
  <c r="N193" i="2"/>
  <c r="S193" i="2"/>
  <c r="Q193" i="2" s="1"/>
  <c r="T193" i="2"/>
  <c r="R193" i="2" s="1"/>
  <c r="N194" i="2"/>
  <c r="S194" i="2"/>
  <c r="Q194" i="2" s="1"/>
  <c r="T194" i="2"/>
  <c r="R194" i="2" s="1"/>
  <c r="N195" i="2"/>
  <c r="S195" i="2"/>
  <c r="Q195" i="2" s="1"/>
  <c r="T195" i="2"/>
  <c r="R195" i="2" s="1"/>
  <c r="N196" i="2"/>
  <c r="S196" i="2"/>
  <c r="Q196" i="2" s="1"/>
  <c r="T196" i="2"/>
  <c r="R196" i="2" s="1"/>
  <c r="N197" i="2"/>
  <c r="S197" i="2"/>
  <c r="Q197" i="2" s="1"/>
  <c r="T197" i="2"/>
  <c r="R197" i="2" s="1"/>
  <c r="N198" i="2"/>
  <c r="S198" i="2"/>
  <c r="Q198" i="2" s="1"/>
  <c r="T198" i="2"/>
  <c r="R198" i="2" s="1"/>
  <c r="N199" i="2"/>
  <c r="S199" i="2"/>
  <c r="Q199" i="2" s="1"/>
  <c r="T199" i="2"/>
  <c r="R199" i="2" s="1"/>
  <c r="N200" i="2"/>
  <c r="S200" i="2"/>
  <c r="Q200" i="2" s="1"/>
  <c r="T200" i="2"/>
  <c r="R200" i="2" s="1"/>
  <c r="N201" i="2"/>
  <c r="S201" i="2"/>
  <c r="Q201" i="2" s="1"/>
  <c r="T201" i="2"/>
  <c r="R201" i="2" s="1"/>
  <c r="N202" i="2"/>
  <c r="S202" i="2"/>
  <c r="Q202" i="2" s="1"/>
  <c r="T202" i="2"/>
  <c r="R202" i="2" s="1"/>
  <c r="N203" i="2"/>
  <c r="S203" i="2"/>
  <c r="Q203" i="2" s="1"/>
  <c r="T203" i="2"/>
  <c r="R203" i="2" s="1"/>
  <c r="N204" i="2"/>
  <c r="S204" i="2"/>
  <c r="Q204" i="2" s="1"/>
  <c r="T204" i="2"/>
  <c r="R204" i="2" s="1"/>
  <c r="N205" i="2"/>
  <c r="S205" i="2"/>
  <c r="Q205" i="2" s="1"/>
  <c r="T205" i="2"/>
  <c r="R205" i="2" s="1"/>
  <c r="N206" i="2"/>
  <c r="S206" i="2"/>
  <c r="Q206" i="2" s="1"/>
  <c r="T206" i="2"/>
  <c r="R206" i="2" s="1"/>
  <c r="N207" i="2"/>
  <c r="S207" i="2"/>
  <c r="Q207" i="2" s="1"/>
  <c r="T207" i="2"/>
  <c r="R207" i="2" s="1"/>
  <c r="N208" i="2"/>
  <c r="S208" i="2"/>
  <c r="Q208" i="2" s="1"/>
  <c r="T208" i="2"/>
  <c r="R208" i="2" s="1"/>
  <c r="N209" i="2"/>
  <c r="S209" i="2"/>
  <c r="Q209" i="2" s="1"/>
  <c r="T209" i="2"/>
  <c r="R209" i="2" s="1"/>
  <c r="N210" i="2"/>
  <c r="S210" i="2"/>
  <c r="Q210" i="2" s="1"/>
  <c r="T210" i="2"/>
  <c r="R210" i="2" s="1"/>
  <c r="N211" i="2"/>
  <c r="S211" i="2"/>
  <c r="Q211" i="2" s="1"/>
  <c r="T211" i="2"/>
  <c r="R211" i="2" s="1"/>
  <c r="N212" i="2"/>
  <c r="S212" i="2"/>
  <c r="Q212" i="2" s="1"/>
  <c r="T212" i="2"/>
  <c r="R212" i="2" s="1"/>
  <c r="N213" i="2"/>
  <c r="S213" i="2"/>
  <c r="Q213" i="2" s="1"/>
  <c r="T213" i="2"/>
  <c r="R213" i="2" s="1"/>
  <c r="N214" i="2"/>
  <c r="S214" i="2"/>
  <c r="Q214" i="2" s="1"/>
  <c r="T214" i="2"/>
  <c r="R214" i="2" s="1"/>
  <c r="N215" i="2"/>
  <c r="S215" i="2"/>
  <c r="Q215" i="2" s="1"/>
  <c r="T215" i="2"/>
  <c r="R215" i="2" s="1"/>
  <c r="N216" i="2"/>
  <c r="S216" i="2"/>
  <c r="Q216" i="2" s="1"/>
  <c r="T216" i="2"/>
  <c r="R216" i="2" s="1"/>
  <c r="N217" i="2"/>
  <c r="S217" i="2"/>
  <c r="Q217" i="2" s="1"/>
  <c r="T217" i="2"/>
  <c r="R217" i="2" s="1"/>
  <c r="N218" i="2"/>
  <c r="S218" i="2"/>
  <c r="Q218" i="2" s="1"/>
  <c r="T218" i="2"/>
  <c r="R218" i="2" s="1"/>
  <c r="N219" i="2"/>
  <c r="S219" i="2"/>
  <c r="Q219" i="2" s="1"/>
  <c r="T219" i="2"/>
  <c r="R219" i="2" s="1"/>
  <c r="N220" i="2"/>
  <c r="S220" i="2"/>
  <c r="Q220" i="2" s="1"/>
  <c r="T220" i="2"/>
  <c r="R220" i="2" s="1"/>
  <c r="N221" i="2"/>
  <c r="S221" i="2"/>
  <c r="Q221" i="2" s="1"/>
  <c r="T221" i="2"/>
  <c r="R221" i="2" s="1"/>
  <c r="N222" i="2"/>
  <c r="S222" i="2"/>
  <c r="Q222" i="2" s="1"/>
  <c r="T222" i="2"/>
  <c r="R222" i="2" s="1"/>
  <c r="N223" i="2"/>
  <c r="S223" i="2"/>
  <c r="Q223" i="2" s="1"/>
  <c r="T223" i="2"/>
  <c r="R223" i="2" s="1"/>
  <c r="N224" i="2"/>
  <c r="S224" i="2"/>
  <c r="Q224" i="2" s="1"/>
  <c r="T224" i="2"/>
  <c r="R224" i="2" s="1"/>
  <c r="N225" i="2"/>
  <c r="S225" i="2"/>
  <c r="Q225" i="2" s="1"/>
  <c r="T225" i="2"/>
  <c r="R225" i="2" s="1"/>
  <c r="N226" i="2"/>
  <c r="S226" i="2"/>
  <c r="Q226" i="2" s="1"/>
  <c r="T226" i="2"/>
  <c r="R226" i="2" s="1"/>
  <c r="N227" i="2"/>
  <c r="S227" i="2"/>
  <c r="Q227" i="2" s="1"/>
  <c r="T227" i="2"/>
  <c r="R227" i="2" s="1"/>
  <c r="N228" i="2"/>
  <c r="S228" i="2"/>
  <c r="Q228" i="2" s="1"/>
  <c r="T228" i="2"/>
  <c r="R228" i="2" s="1"/>
  <c r="N229" i="2"/>
  <c r="S229" i="2"/>
  <c r="Q229" i="2" s="1"/>
  <c r="T229" i="2"/>
  <c r="R229" i="2" s="1"/>
  <c r="N230" i="2"/>
  <c r="S230" i="2"/>
  <c r="Q230" i="2" s="1"/>
  <c r="T230" i="2"/>
  <c r="R230" i="2" s="1"/>
  <c r="N231" i="2"/>
  <c r="S231" i="2"/>
  <c r="Q231" i="2" s="1"/>
  <c r="T231" i="2"/>
  <c r="R231" i="2" s="1"/>
  <c r="N232" i="2"/>
  <c r="S232" i="2"/>
  <c r="Q232" i="2" s="1"/>
  <c r="T232" i="2"/>
  <c r="R232" i="2" s="1"/>
  <c r="N233" i="2"/>
  <c r="S233" i="2"/>
  <c r="Q233" i="2" s="1"/>
  <c r="T233" i="2"/>
  <c r="R233" i="2" s="1"/>
  <c r="N234" i="2"/>
  <c r="S234" i="2"/>
  <c r="Q234" i="2" s="1"/>
  <c r="T234" i="2"/>
  <c r="R234" i="2" s="1"/>
  <c r="N235" i="2"/>
  <c r="S235" i="2"/>
  <c r="Q235" i="2" s="1"/>
  <c r="T235" i="2"/>
  <c r="R235" i="2" s="1"/>
  <c r="N236" i="2"/>
  <c r="S236" i="2"/>
  <c r="Q236" i="2" s="1"/>
  <c r="T236" i="2"/>
  <c r="R236" i="2" s="1"/>
  <c r="N237" i="2"/>
  <c r="S237" i="2"/>
  <c r="Q237" i="2" s="1"/>
  <c r="T237" i="2"/>
  <c r="R237" i="2" s="1"/>
  <c r="N238" i="2"/>
  <c r="S238" i="2"/>
  <c r="Q238" i="2" s="1"/>
  <c r="T238" i="2"/>
  <c r="R238" i="2" s="1"/>
  <c r="N239" i="2"/>
  <c r="S239" i="2"/>
  <c r="Q239" i="2" s="1"/>
  <c r="T239" i="2"/>
  <c r="R239" i="2" s="1"/>
  <c r="N240" i="2"/>
  <c r="S240" i="2"/>
  <c r="Q240" i="2" s="1"/>
  <c r="T240" i="2"/>
  <c r="R240" i="2" s="1"/>
  <c r="N241" i="2"/>
  <c r="S241" i="2"/>
  <c r="Q241" i="2" s="1"/>
  <c r="T241" i="2"/>
  <c r="R241" i="2" s="1"/>
  <c r="N242" i="2"/>
  <c r="S242" i="2"/>
  <c r="Q242" i="2" s="1"/>
  <c r="T242" i="2"/>
  <c r="R242" i="2" s="1"/>
  <c r="N243" i="2"/>
  <c r="S243" i="2"/>
  <c r="Q243" i="2" s="1"/>
  <c r="T243" i="2"/>
  <c r="R243" i="2" s="1"/>
  <c r="N244" i="2"/>
  <c r="S244" i="2"/>
  <c r="Q244" i="2" s="1"/>
  <c r="T244" i="2"/>
  <c r="R244" i="2" s="1"/>
  <c r="N245" i="2"/>
  <c r="S245" i="2"/>
  <c r="Q245" i="2" s="1"/>
  <c r="T245" i="2"/>
  <c r="R245" i="2" s="1"/>
  <c r="N246" i="2"/>
  <c r="S246" i="2"/>
  <c r="Q246" i="2" s="1"/>
  <c r="T246" i="2"/>
  <c r="R246" i="2" s="1"/>
  <c r="N247" i="2"/>
  <c r="S247" i="2"/>
  <c r="Q247" i="2" s="1"/>
  <c r="T247" i="2"/>
  <c r="R247" i="2" s="1"/>
  <c r="N248" i="2"/>
  <c r="S248" i="2"/>
  <c r="Q248" i="2" s="1"/>
  <c r="T248" i="2"/>
  <c r="R248" i="2" s="1"/>
  <c r="N249" i="2"/>
  <c r="S249" i="2"/>
  <c r="Q249" i="2" s="1"/>
  <c r="T249" i="2"/>
  <c r="R249" i="2" s="1"/>
  <c r="N250" i="2"/>
  <c r="T250" i="2"/>
  <c r="R250" i="2" s="1"/>
  <c r="N251" i="2"/>
  <c r="S251" i="2"/>
  <c r="Q251" i="2" s="1"/>
  <c r="T251" i="2"/>
  <c r="R251" i="2" s="1"/>
  <c r="N252" i="2"/>
  <c r="S252" i="2"/>
  <c r="Q252" i="2" s="1"/>
  <c r="T252" i="2"/>
  <c r="R252" i="2" s="1"/>
  <c r="N253" i="2"/>
  <c r="S253" i="2"/>
  <c r="Q253" i="2" s="1"/>
  <c r="T253" i="2"/>
  <c r="R253" i="2" s="1"/>
  <c r="N254" i="2"/>
  <c r="S254" i="2"/>
  <c r="Q254" i="2" s="1"/>
  <c r="T254" i="2"/>
  <c r="R254" i="2" s="1"/>
  <c r="N255" i="2"/>
  <c r="S255" i="2"/>
  <c r="Q255" i="2" s="1"/>
  <c r="T255" i="2"/>
  <c r="R255" i="2" s="1"/>
  <c r="N256" i="2"/>
  <c r="S256" i="2"/>
  <c r="Q256" i="2" s="1"/>
  <c r="T256" i="2"/>
  <c r="R256" i="2" s="1"/>
  <c r="N257" i="2"/>
  <c r="S257" i="2"/>
  <c r="Q257" i="2" s="1"/>
  <c r="T257" i="2"/>
  <c r="R257" i="2" s="1"/>
  <c r="N258" i="2"/>
  <c r="S258" i="2"/>
  <c r="Q258" i="2" s="1"/>
  <c r="T258" i="2"/>
  <c r="R258" i="2" s="1"/>
  <c r="N259" i="2"/>
  <c r="S259" i="2"/>
  <c r="Q259" i="2" s="1"/>
  <c r="T259" i="2"/>
  <c r="R259" i="2" s="1"/>
  <c r="N260" i="2"/>
  <c r="S260" i="2"/>
  <c r="Q260" i="2" s="1"/>
  <c r="T260" i="2"/>
  <c r="R260" i="2" s="1"/>
  <c r="N261" i="2"/>
  <c r="S261" i="2"/>
  <c r="Q261" i="2" s="1"/>
  <c r="T261" i="2"/>
  <c r="R261" i="2" s="1"/>
  <c r="N262" i="2"/>
  <c r="S262" i="2"/>
  <c r="Q262" i="2" s="1"/>
  <c r="T262" i="2"/>
  <c r="R262" i="2" s="1"/>
  <c r="N263" i="2"/>
  <c r="S263" i="2"/>
  <c r="Q263" i="2" s="1"/>
  <c r="T263" i="2"/>
  <c r="R263" i="2" s="1"/>
  <c r="N264" i="2"/>
  <c r="S264" i="2"/>
  <c r="Q264" i="2" s="1"/>
  <c r="T264" i="2"/>
  <c r="R264" i="2" s="1"/>
  <c r="N265" i="2"/>
  <c r="S265" i="2"/>
  <c r="Q265" i="2" s="1"/>
  <c r="T265" i="2"/>
  <c r="R265" i="2" s="1"/>
  <c r="N266" i="2"/>
  <c r="S266" i="2"/>
  <c r="Q266" i="2" s="1"/>
  <c r="T266" i="2"/>
  <c r="R266" i="2" s="1"/>
  <c r="N267" i="2"/>
  <c r="S267" i="2"/>
  <c r="Q267" i="2" s="1"/>
  <c r="T267" i="2"/>
  <c r="R267" i="2" s="1"/>
  <c r="N268" i="2"/>
  <c r="S268" i="2"/>
  <c r="Q268" i="2" s="1"/>
  <c r="T268" i="2"/>
  <c r="R268" i="2" s="1"/>
  <c r="N269" i="2"/>
  <c r="S269" i="2"/>
  <c r="Q269" i="2" s="1"/>
  <c r="T269" i="2"/>
  <c r="R269" i="2" s="1"/>
  <c r="N270" i="2"/>
  <c r="S270" i="2"/>
  <c r="Q270" i="2" s="1"/>
  <c r="T270" i="2"/>
  <c r="R270" i="2" s="1"/>
  <c r="N271" i="2"/>
  <c r="S271" i="2"/>
  <c r="Q271" i="2" s="1"/>
  <c r="T271" i="2"/>
  <c r="R271" i="2" s="1"/>
  <c r="N272" i="2"/>
  <c r="S272" i="2"/>
  <c r="Q272" i="2" s="1"/>
  <c r="T272" i="2"/>
  <c r="R272" i="2" s="1"/>
  <c r="N273" i="2"/>
  <c r="S273" i="2"/>
  <c r="Q273" i="2" s="1"/>
  <c r="T273" i="2"/>
  <c r="R273" i="2" s="1"/>
  <c r="N274" i="2"/>
  <c r="S274" i="2"/>
  <c r="Q274" i="2" s="1"/>
  <c r="T274" i="2"/>
  <c r="R274" i="2" s="1"/>
  <c r="N275" i="2"/>
  <c r="S275" i="2"/>
  <c r="Q275" i="2" s="1"/>
  <c r="T275" i="2"/>
  <c r="R275" i="2" s="1"/>
  <c r="N276" i="2"/>
  <c r="S276" i="2"/>
  <c r="Q276" i="2" s="1"/>
  <c r="T276" i="2"/>
  <c r="R276" i="2" s="1"/>
  <c r="N277" i="2"/>
  <c r="S277" i="2"/>
  <c r="Q277" i="2" s="1"/>
  <c r="T277" i="2"/>
  <c r="R277" i="2" s="1"/>
  <c r="N278" i="2"/>
  <c r="S278" i="2"/>
  <c r="Q278" i="2" s="1"/>
  <c r="T278" i="2"/>
  <c r="R278" i="2" s="1"/>
  <c r="N279" i="2"/>
  <c r="S279" i="2"/>
  <c r="Q279" i="2" s="1"/>
  <c r="T279" i="2"/>
  <c r="R279" i="2" s="1"/>
  <c r="N280" i="2"/>
  <c r="S280" i="2"/>
  <c r="Q280" i="2" s="1"/>
  <c r="T280" i="2"/>
  <c r="R280" i="2" s="1"/>
  <c r="N281" i="2"/>
  <c r="S281" i="2"/>
  <c r="Q281" i="2" s="1"/>
  <c r="T281" i="2"/>
  <c r="R281" i="2" s="1"/>
  <c r="N282" i="2"/>
  <c r="S282" i="2"/>
  <c r="Q282" i="2" s="1"/>
  <c r="T282" i="2"/>
  <c r="R282" i="2" s="1"/>
  <c r="N283" i="2"/>
  <c r="S283" i="2"/>
  <c r="Q283" i="2" s="1"/>
  <c r="T283" i="2"/>
  <c r="R283" i="2" s="1"/>
  <c r="N284" i="2"/>
  <c r="S284" i="2"/>
  <c r="Q284" i="2" s="1"/>
  <c r="T284" i="2"/>
  <c r="R284" i="2" s="1"/>
  <c r="N285" i="2"/>
  <c r="S285" i="2"/>
  <c r="Q285" i="2" s="1"/>
  <c r="T285" i="2"/>
  <c r="R285" i="2" s="1"/>
  <c r="N286" i="2"/>
  <c r="S286" i="2"/>
  <c r="Q286" i="2" s="1"/>
  <c r="T286" i="2"/>
  <c r="R286" i="2" s="1"/>
  <c r="N287" i="2"/>
  <c r="S287" i="2"/>
  <c r="Q287" i="2" s="1"/>
  <c r="T287" i="2"/>
  <c r="R287" i="2" s="1"/>
  <c r="N288" i="2"/>
  <c r="S288" i="2"/>
  <c r="Q288" i="2" s="1"/>
  <c r="T288" i="2"/>
  <c r="R288" i="2" s="1"/>
  <c r="N289" i="2"/>
  <c r="S289" i="2"/>
  <c r="Q289" i="2" s="1"/>
  <c r="T289" i="2"/>
  <c r="R289" i="2" s="1"/>
  <c r="N290" i="2"/>
  <c r="S290" i="2"/>
  <c r="Q290" i="2" s="1"/>
  <c r="T290" i="2"/>
  <c r="R290" i="2" s="1"/>
  <c r="N291" i="2"/>
  <c r="S291" i="2"/>
  <c r="Q291" i="2" s="1"/>
  <c r="T291" i="2"/>
  <c r="R291" i="2" s="1"/>
  <c r="N292" i="2"/>
  <c r="S292" i="2"/>
  <c r="Q292" i="2" s="1"/>
  <c r="T292" i="2"/>
  <c r="R292" i="2" s="1"/>
  <c r="N293" i="2"/>
  <c r="S293" i="2"/>
  <c r="Q293" i="2" s="1"/>
  <c r="T293" i="2"/>
  <c r="R293" i="2" s="1"/>
  <c r="N294" i="2"/>
  <c r="S294" i="2"/>
  <c r="Q294" i="2" s="1"/>
  <c r="T294" i="2"/>
  <c r="R294" i="2" s="1"/>
  <c r="N295" i="2"/>
  <c r="S295" i="2"/>
  <c r="Q295" i="2" s="1"/>
  <c r="T295" i="2"/>
  <c r="R295" i="2" s="1"/>
  <c r="N296" i="2"/>
  <c r="S296" i="2"/>
  <c r="Q296" i="2" s="1"/>
  <c r="T296" i="2"/>
  <c r="R296" i="2" s="1"/>
  <c r="N297" i="2"/>
  <c r="S297" i="2"/>
  <c r="Q297" i="2" s="1"/>
  <c r="T297" i="2"/>
  <c r="R297" i="2" s="1"/>
  <c r="N298" i="2"/>
  <c r="S298" i="2"/>
  <c r="Q298" i="2" s="1"/>
  <c r="T298" i="2"/>
  <c r="R298" i="2" s="1"/>
  <c r="N299" i="2"/>
  <c r="S299" i="2"/>
  <c r="Q299" i="2" s="1"/>
  <c r="T299" i="2"/>
  <c r="R299" i="2" s="1"/>
  <c r="N300" i="2"/>
  <c r="S300" i="2"/>
  <c r="Q300" i="2" s="1"/>
  <c r="T300" i="2"/>
  <c r="R300" i="2" s="1"/>
  <c r="N301" i="2"/>
  <c r="S301" i="2"/>
  <c r="Q301" i="2" s="1"/>
  <c r="T301" i="2"/>
  <c r="R301" i="2" s="1"/>
  <c r="N302" i="2"/>
  <c r="S302" i="2"/>
  <c r="Q302" i="2" s="1"/>
  <c r="T302" i="2"/>
  <c r="R302" i="2" s="1"/>
  <c r="N303" i="2"/>
  <c r="S303" i="2"/>
  <c r="Q303" i="2" s="1"/>
  <c r="T303" i="2"/>
  <c r="R303" i="2" s="1"/>
  <c r="N304" i="2"/>
  <c r="S304" i="2"/>
  <c r="Q304" i="2" s="1"/>
  <c r="T304" i="2"/>
  <c r="R304" i="2" s="1"/>
  <c r="N305" i="2"/>
  <c r="S305" i="2"/>
  <c r="Q305" i="2" s="1"/>
  <c r="T305" i="2"/>
  <c r="R305" i="2" s="1"/>
  <c r="N306" i="2"/>
  <c r="S306" i="2"/>
  <c r="Q306" i="2" s="1"/>
  <c r="T306" i="2"/>
  <c r="R306" i="2" s="1"/>
  <c r="N307" i="2"/>
  <c r="S307" i="2"/>
  <c r="Q307" i="2" s="1"/>
  <c r="T307" i="2"/>
  <c r="R307" i="2" s="1"/>
  <c r="N308" i="2"/>
  <c r="S308" i="2"/>
  <c r="Q308" i="2" s="1"/>
  <c r="T308" i="2"/>
  <c r="R308" i="2" s="1"/>
  <c r="N309" i="2"/>
  <c r="S309" i="2"/>
  <c r="Q309" i="2" s="1"/>
  <c r="T309" i="2"/>
  <c r="R309" i="2" s="1"/>
  <c r="N310" i="2"/>
  <c r="S310" i="2"/>
  <c r="Q310" i="2" s="1"/>
  <c r="T310" i="2"/>
  <c r="R310" i="2" s="1"/>
  <c r="N311" i="2"/>
  <c r="S311" i="2"/>
  <c r="Q311" i="2" s="1"/>
  <c r="T311" i="2"/>
  <c r="R311" i="2" s="1"/>
  <c r="N312" i="2"/>
  <c r="S312" i="2"/>
  <c r="Q312" i="2" s="1"/>
  <c r="T312" i="2"/>
  <c r="R312" i="2" s="1"/>
  <c r="N313" i="2"/>
  <c r="S313" i="2"/>
  <c r="Q313" i="2" s="1"/>
  <c r="T313" i="2"/>
  <c r="R313" i="2" s="1"/>
  <c r="N314" i="2"/>
  <c r="S314" i="2"/>
  <c r="Q314" i="2" s="1"/>
  <c r="T314" i="2"/>
  <c r="R314" i="2" s="1"/>
  <c r="N315" i="2"/>
  <c r="S315" i="2"/>
  <c r="Q315" i="2" s="1"/>
  <c r="T315" i="2"/>
  <c r="R315" i="2" s="1"/>
  <c r="N316" i="2"/>
  <c r="S316" i="2"/>
  <c r="Q316" i="2" s="1"/>
  <c r="T316" i="2"/>
  <c r="R316" i="2" s="1"/>
  <c r="N317" i="2"/>
  <c r="S317" i="2"/>
  <c r="Q317" i="2" s="1"/>
  <c r="T317" i="2"/>
  <c r="R317" i="2" s="1"/>
  <c r="N318" i="2"/>
  <c r="S318" i="2"/>
  <c r="Q318" i="2" s="1"/>
  <c r="T318" i="2"/>
  <c r="R318" i="2" s="1"/>
  <c r="N319" i="2"/>
  <c r="S319" i="2"/>
  <c r="Q319" i="2" s="1"/>
  <c r="T319" i="2"/>
  <c r="R319" i="2" s="1"/>
  <c r="N320" i="2"/>
  <c r="S320" i="2"/>
  <c r="Q320" i="2" s="1"/>
  <c r="T320" i="2"/>
  <c r="R320" i="2" s="1"/>
  <c r="N321" i="2"/>
  <c r="S321" i="2"/>
  <c r="Q321" i="2" s="1"/>
  <c r="T321" i="2"/>
  <c r="R321" i="2" s="1"/>
  <c r="N322" i="2"/>
  <c r="S322" i="2"/>
  <c r="Q322" i="2" s="1"/>
  <c r="T322" i="2"/>
  <c r="R322" i="2" s="1"/>
  <c r="N323" i="2"/>
  <c r="S323" i="2"/>
  <c r="Q323" i="2" s="1"/>
  <c r="T323" i="2"/>
  <c r="R323" i="2" s="1"/>
  <c r="N324" i="2"/>
  <c r="S324" i="2"/>
  <c r="Q324" i="2" s="1"/>
  <c r="T324" i="2"/>
  <c r="R324" i="2" s="1"/>
  <c r="N325" i="2"/>
  <c r="S325" i="2"/>
  <c r="Q325" i="2" s="1"/>
  <c r="T325" i="2"/>
  <c r="R325" i="2" s="1"/>
  <c r="N326" i="2"/>
  <c r="S326" i="2"/>
  <c r="Q326" i="2" s="1"/>
  <c r="T326" i="2"/>
  <c r="R326" i="2" s="1"/>
  <c r="N327" i="2"/>
  <c r="S327" i="2"/>
  <c r="Q327" i="2" s="1"/>
  <c r="T327" i="2"/>
  <c r="R327" i="2" s="1"/>
  <c r="N328" i="2"/>
  <c r="S328" i="2"/>
  <c r="Q328" i="2" s="1"/>
  <c r="T328" i="2"/>
  <c r="R328" i="2" s="1"/>
  <c r="N329" i="2"/>
  <c r="S329" i="2"/>
  <c r="Q329" i="2" s="1"/>
  <c r="T329" i="2"/>
  <c r="R329" i="2" s="1"/>
  <c r="N330" i="2"/>
  <c r="S330" i="2"/>
  <c r="Q330" i="2" s="1"/>
  <c r="T330" i="2"/>
  <c r="R330" i="2" s="1"/>
  <c r="N331" i="2"/>
  <c r="S331" i="2"/>
  <c r="Q331" i="2" s="1"/>
  <c r="T331" i="2"/>
  <c r="R331" i="2" s="1"/>
  <c r="N332" i="2"/>
  <c r="S332" i="2"/>
  <c r="Q332" i="2" s="1"/>
  <c r="T332" i="2"/>
  <c r="R332" i="2" s="1"/>
  <c r="N333" i="2"/>
  <c r="S333" i="2"/>
  <c r="Q333" i="2" s="1"/>
  <c r="T333" i="2"/>
  <c r="R333" i="2" s="1"/>
  <c r="N334" i="2"/>
  <c r="S334" i="2"/>
  <c r="Q334" i="2" s="1"/>
  <c r="T334" i="2"/>
  <c r="R334" i="2" s="1"/>
  <c r="N335" i="2"/>
  <c r="S335" i="2"/>
  <c r="Q335" i="2" s="1"/>
  <c r="T335" i="2"/>
  <c r="R335" i="2" s="1"/>
  <c r="N336" i="2"/>
  <c r="S336" i="2"/>
  <c r="Q336" i="2" s="1"/>
  <c r="T336" i="2"/>
  <c r="R336" i="2" s="1"/>
  <c r="N337" i="2"/>
  <c r="S337" i="2"/>
  <c r="Q337" i="2" s="1"/>
  <c r="T337" i="2"/>
  <c r="R337" i="2" s="1"/>
  <c r="N338" i="2"/>
  <c r="S338" i="2"/>
  <c r="Q338" i="2" s="1"/>
  <c r="T338" i="2"/>
  <c r="R338" i="2" s="1"/>
  <c r="N339" i="2"/>
  <c r="S339" i="2"/>
  <c r="Q339" i="2" s="1"/>
  <c r="T339" i="2"/>
  <c r="R339" i="2" s="1"/>
  <c r="N340" i="2"/>
  <c r="S340" i="2"/>
  <c r="Q340" i="2" s="1"/>
  <c r="T340" i="2"/>
  <c r="R340" i="2" s="1"/>
  <c r="N341" i="2"/>
  <c r="S341" i="2"/>
  <c r="Q341" i="2" s="1"/>
  <c r="T341" i="2"/>
  <c r="R341" i="2" s="1"/>
  <c r="N342" i="2"/>
  <c r="S342" i="2"/>
  <c r="Q342" i="2" s="1"/>
  <c r="T342" i="2"/>
  <c r="R342" i="2" s="1"/>
  <c r="N343" i="2"/>
  <c r="S343" i="2"/>
  <c r="Q343" i="2" s="1"/>
  <c r="T343" i="2"/>
  <c r="R343" i="2" s="1"/>
  <c r="N344" i="2"/>
  <c r="S344" i="2"/>
  <c r="Q344" i="2" s="1"/>
  <c r="T344" i="2"/>
  <c r="R344" i="2" s="1"/>
  <c r="N345" i="2"/>
  <c r="S345" i="2"/>
  <c r="Q345" i="2" s="1"/>
  <c r="T345" i="2"/>
  <c r="R345" i="2" s="1"/>
  <c r="N346" i="2"/>
  <c r="S346" i="2"/>
  <c r="Q346" i="2" s="1"/>
  <c r="T346" i="2"/>
  <c r="R346" i="2" s="1"/>
  <c r="N347" i="2"/>
  <c r="S347" i="2"/>
  <c r="Q347" i="2" s="1"/>
  <c r="T347" i="2"/>
  <c r="R347" i="2" s="1"/>
  <c r="N348" i="2"/>
  <c r="S348" i="2"/>
  <c r="Q348" i="2" s="1"/>
  <c r="T348" i="2"/>
  <c r="R348" i="2" s="1"/>
  <c r="N349" i="2"/>
  <c r="S349" i="2"/>
  <c r="Q349" i="2" s="1"/>
  <c r="T349" i="2"/>
  <c r="R349" i="2" s="1"/>
  <c r="N350" i="2"/>
  <c r="S350" i="2"/>
  <c r="Q350" i="2" s="1"/>
  <c r="T350" i="2"/>
  <c r="R350" i="2" s="1"/>
  <c r="N351" i="2"/>
  <c r="S351" i="2"/>
  <c r="Q351" i="2" s="1"/>
  <c r="T351" i="2"/>
  <c r="R351" i="2" s="1"/>
  <c r="N352" i="2"/>
  <c r="S352" i="2"/>
  <c r="Q352" i="2" s="1"/>
  <c r="T352" i="2"/>
  <c r="R352" i="2" s="1"/>
  <c r="N353" i="2"/>
  <c r="S353" i="2"/>
  <c r="Q353" i="2" s="1"/>
  <c r="T353" i="2"/>
  <c r="R353" i="2" s="1"/>
  <c r="N354" i="2"/>
  <c r="S354" i="2"/>
  <c r="Q354" i="2" s="1"/>
  <c r="T354" i="2"/>
  <c r="R354" i="2" s="1"/>
  <c r="N355" i="2"/>
  <c r="S355" i="2"/>
  <c r="Q355" i="2" s="1"/>
  <c r="T355" i="2"/>
  <c r="R355" i="2" s="1"/>
  <c r="N356" i="2"/>
  <c r="S356" i="2"/>
  <c r="Q356" i="2" s="1"/>
  <c r="T356" i="2"/>
  <c r="R356" i="2" s="1"/>
  <c r="N357" i="2"/>
  <c r="S357" i="2"/>
  <c r="Q357" i="2" s="1"/>
  <c r="T357" i="2"/>
  <c r="R357" i="2" s="1"/>
  <c r="N358" i="2"/>
  <c r="S358" i="2"/>
  <c r="Q358" i="2" s="1"/>
  <c r="T358" i="2"/>
  <c r="R358" i="2" s="1"/>
  <c r="N359" i="2"/>
  <c r="S359" i="2"/>
  <c r="Q359" i="2" s="1"/>
  <c r="T359" i="2"/>
  <c r="R359" i="2" s="1"/>
  <c r="N360" i="2"/>
  <c r="S360" i="2"/>
  <c r="Q360" i="2" s="1"/>
  <c r="T360" i="2"/>
  <c r="R360" i="2" s="1"/>
  <c r="N361" i="2"/>
  <c r="S361" i="2"/>
  <c r="Q361" i="2" s="1"/>
  <c r="T361" i="2"/>
  <c r="R361" i="2" s="1"/>
  <c r="N362" i="2"/>
  <c r="S362" i="2"/>
  <c r="Q362" i="2" s="1"/>
  <c r="T362" i="2"/>
  <c r="R362" i="2" s="1"/>
  <c r="N363" i="2"/>
  <c r="S363" i="2"/>
  <c r="Q363" i="2" s="1"/>
  <c r="T363" i="2"/>
  <c r="R363" i="2" s="1"/>
  <c r="N364" i="2"/>
  <c r="S364" i="2"/>
  <c r="Q364" i="2" s="1"/>
  <c r="T364" i="2"/>
  <c r="R364" i="2" s="1"/>
  <c r="N365" i="2"/>
  <c r="S365" i="2"/>
  <c r="Q365" i="2" s="1"/>
  <c r="T365" i="2"/>
  <c r="R365" i="2" s="1"/>
  <c r="N366" i="2"/>
  <c r="S366" i="2"/>
  <c r="Q366" i="2" s="1"/>
  <c r="T366" i="2"/>
  <c r="R366" i="2" s="1"/>
  <c r="N367" i="2"/>
  <c r="S367" i="2"/>
  <c r="Q367" i="2" s="1"/>
  <c r="T367" i="2"/>
  <c r="R367" i="2" s="1"/>
  <c r="N368" i="2"/>
  <c r="S368" i="2"/>
  <c r="Q368" i="2" s="1"/>
  <c r="T368" i="2"/>
  <c r="R368" i="2" s="1"/>
  <c r="N369" i="2"/>
  <c r="S369" i="2"/>
  <c r="Q369" i="2" s="1"/>
  <c r="T369" i="2"/>
  <c r="R369" i="2" s="1"/>
  <c r="N370" i="2"/>
  <c r="S370" i="2"/>
  <c r="Q370" i="2" s="1"/>
  <c r="T370" i="2"/>
  <c r="R370" i="2" s="1"/>
  <c r="N371" i="2"/>
  <c r="S371" i="2"/>
  <c r="Q371" i="2" s="1"/>
  <c r="T371" i="2"/>
  <c r="R371" i="2" s="1"/>
  <c r="N372" i="2"/>
  <c r="S372" i="2"/>
  <c r="Q372" i="2" s="1"/>
  <c r="T372" i="2"/>
  <c r="R372" i="2" s="1"/>
  <c r="N373" i="2"/>
  <c r="S373" i="2"/>
  <c r="Q373" i="2" s="1"/>
  <c r="T373" i="2"/>
  <c r="R373" i="2" s="1"/>
  <c r="N374" i="2"/>
  <c r="S374" i="2"/>
  <c r="Q374" i="2" s="1"/>
  <c r="T374" i="2"/>
  <c r="R374" i="2" s="1"/>
  <c r="N375" i="2"/>
  <c r="S375" i="2"/>
  <c r="Q375" i="2" s="1"/>
  <c r="T375" i="2"/>
  <c r="R375" i="2" s="1"/>
  <c r="N376" i="2"/>
  <c r="S376" i="2"/>
  <c r="Q376" i="2" s="1"/>
  <c r="T376" i="2"/>
  <c r="R376" i="2" s="1"/>
  <c r="N377" i="2"/>
  <c r="S377" i="2"/>
  <c r="Q377" i="2" s="1"/>
  <c r="T377" i="2"/>
  <c r="R377" i="2" s="1"/>
  <c r="N378" i="2"/>
  <c r="S378" i="2"/>
  <c r="Q378" i="2" s="1"/>
  <c r="T378" i="2"/>
  <c r="R378" i="2" s="1"/>
  <c r="N379" i="2"/>
  <c r="S379" i="2"/>
  <c r="Q379" i="2" s="1"/>
  <c r="T379" i="2"/>
  <c r="R379" i="2" s="1"/>
  <c r="N380" i="2"/>
  <c r="S380" i="2"/>
  <c r="Q380" i="2" s="1"/>
  <c r="T380" i="2"/>
  <c r="R380" i="2" s="1"/>
  <c r="N381" i="2"/>
  <c r="S381" i="2"/>
  <c r="Q381" i="2" s="1"/>
  <c r="T381" i="2"/>
  <c r="R381" i="2" s="1"/>
  <c r="N382" i="2"/>
  <c r="S382" i="2"/>
  <c r="Q382" i="2" s="1"/>
  <c r="T382" i="2"/>
  <c r="R382" i="2" s="1"/>
  <c r="N383" i="2"/>
  <c r="S383" i="2"/>
  <c r="Q383" i="2" s="1"/>
  <c r="T383" i="2"/>
  <c r="R383" i="2" s="1"/>
  <c r="N384" i="2"/>
  <c r="S384" i="2"/>
  <c r="Q384" i="2" s="1"/>
  <c r="T384" i="2"/>
  <c r="R384" i="2" s="1"/>
  <c r="N385" i="2"/>
  <c r="S385" i="2"/>
  <c r="Q385" i="2" s="1"/>
  <c r="T385" i="2"/>
  <c r="R385" i="2" s="1"/>
  <c r="N386" i="2"/>
  <c r="S386" i="2"/>
  <c r="Q386" i="2" s="1"/>
  <c r="T386" i="2"/>
  <c r="R386" i="2" s="1"/>
  <c r="N387" i="2"/>
  <c r="S387" i="2"/>
  <c r="Q387" i="2" s="1"/>
  <c r="T387" i="2"/>
  <c r="R387" i="2" s="1"/>
  <c r="N388" i="2"/>
  <c r="S388" i="2"/>
  <c r="Q388" i="2" s="1"/>
  <c r="T388" i="2"/>
  <c r="R388" i="2" s="1"/>
  <c r="N389" i="2"/>
  <c r="S389" i="2"/>
  <c r="Q389" i="2" s="1"/>
  <c r="T389" i="2"/>
  <c r="R389" i="2" s="1"/>
  <c r="N390" i="2"/>
  <c r="S390" i="2"/>
  <c r="Q390" i="2" s="1"/>
  <c r="T390" i="2"/>
  <c r="R390" i="2" s="1"/>
  <c r="N391" i="2"/>
  <c r="S391" i="2"/>
  <c r="Q391" i="2" s="1"/>
  <c r="T391" i="2"/>
  <c r="R391" i="2" s="1"/>
  <c r="N392" i="2"/>
  <c r="S392" i="2"/>
  <c r="Q392" i="2" s="1"/>
  <c r="T392" i="2"/>
  <c r="R392" i="2" s="1"/>
  <c r="N393" i="2"/>
  <c r="S393" i="2"/>
  <c r="Q393" i="2" s="1"/>
  <c r="T393" i="2"/>
  <c r="R393" i="2" s="1"/>
  <c r="N394" i="2"/>
  <c r="S394" i="2"/>
  <c r="Q394" i="2" s="1"/>
  <c r="T394" i="2"/>
  <c r="R394" i="2" s="1"/>
  <c r="N395" i="2"/>
  <c r="S395" i="2"/>
  <c r="Q395" i="2" s="1"/>
  <c r="T395" i="2"/>
  <c r="R395" i="2" s="1"/>
  <c r="N396" i="2"/>
  <c r="S396" i="2"/>
  <c r="Q396" i="2" s="1"/>
  <c r="T396" i="2"/>
  <c r="R396" i="2" s="1"/>
  <c r="N397" i="2"/>
  <c r="S397" i="2"/>
  <c r="Q397" i="2" s="1"/>
  <c r="T397" i="2"/>
  <c r="R397" i="2" s="1"/>
  <c r="N398" i="2"/>
  <c r="S398" i="2"/>
  <c r="Q398" i="2" s="1"/>
  <c r="T398" i="2"/>
  <c r="R398" i="2" s="1"/>
  <c r="N399" i="2"/>
  <c r="S399" i="2"/>
  <c r="Q399" i="2" s="1"/>
  <c r="T399" i="2"/>
  <c r="R399" i="2" s="1"/>
  <c r="N400" i="2"/>
  <c r="S400" i="2"/>
  <c r="Q400" i="2" s="1"/>
  <c r="T400" i="2"/>
  <c r="R400" i="2" s="1"/>
  <c r="N401" i="2"/>
  <c r="S401" i="2"/>
  <c r="Q401" i="2" s="1"/>
  <c r="T401" i="2"/>
  <c r="R401" i="2" s="1"/>
  <c r="N402" i="2"/>
  <c r="S402" i="2"/>
  <c r="Q402" i="2" s="1"/>
  <c r="T402" i="2"/>
  <c r="R402" i="2" s="1"/>
  <c r="N403" i="2"/>
  <c r="S403" i="2"/>
  <c r="Q403" i="2" s="1"/>
  <c r="T403" i="2"/>
  <c r="R403" i="2" s="1"/>
  <c r="N404" i="2"/>
  <c r="S404" i="2"/>
  <c r="Q404" i="2" s="1"/>
  <c r="T404" i="2"/>
  <c r="R404" i="2" s="1"/>
  <c r="N405" i="2"/>
  <c r="S405" i="2"/>
  <c r="Q405" i="2" s="1"/>
  <c r="T405" i="2"/>
  <c r="R405" i="2" s="1"/>
  <c r="N406" i="2"/>
  <c r="S406" i="2"/>
  <c r="Q406" i="2" s="1"/>
  <c r="T406" i="2"/>
  <c r="R406" i="2" s="1"/>
  <c r="N407" i="2"/>
  <c r="S407" i="2"/>
  <c r="Q407" i="2" s="1"/>
  <c r="T407" i="2"/>
  <c r="R407" i="2" s="1"/>
  <c r="N408" i="2"/>
  <c r="S408" i="2"/>
  <c r="Q408" i="2" s="1"/>
  <c r="T408" i="2"/>
  <c r="R408" i="2" s="1"/>
  <c r="N409" i="2"/>
  <c r="S409" i="2"/>
  <c r="Q409" i="2" s="1"/>
  <c r="T409" i="2"/>
  <c r="R409" i="2" s="1"/>
  <c r="N410" i="2"/>
  <c r="S410" i="2"/>
  <c r="Q410" i="2" s="1"/>
  <c r="T410" i="2"/>
  <c r="R410" i="2" s="1"/>
  <c r="N411" i="2"/>
  <c r="S411" i="2"/>
  <c r="Q411" i="2" s="1"/>
  <c r="T411" i="2"/>
  <c r="R411" i="2" s="1"/>
  <c r="N412" i="2"/>
  <c r="S412" i="2"/>
  <c r="Q412" i="2" s="1"/>
  <c r="T412" i="2"/>
  <c r="R412" i="2" s="1"/>
  <c r="N413" i="2"/>
  <c r="S413" i="2"/>
  <c r="Q413" i="2" s="1"/>
  <c r="T413" i="2"/>
  <c r="R413" i="2" s="1"/>
  <c r="N414" i="2"/>
  <c r="S414" i="2"/>
  <c r="Q414" i="2" s="1"/>
  <c r="T414" i="2"/>
  <c r="R414" i="2" s="1"/>
  <c r="N415" i="2"/>
  <c r="S415" i="2"/>
  <c r="Q415" i="2" s="1"/>
  <c r="T415" i="2"/>
  <c r="R415" i="2" s="1"/>
  <c r="N416" i="2"/>
  <c r="S416" i="2"/>
  <c r="Q416" i="2" s="1"/>
  <c r="T416" i="2"/>
  <c r="R416" i="2" s="1"/>
  <c r="N417" i="2"/>
  <c r="S417" i="2"/>
  <c r="Q417" i="2" s="1"/>
  <c r="T417" i="2"/>
  <c r="R417" i="2" s="1"/>
  <c r="N418" i="2"/>
  <c r="S418" i="2"/>
  <c r="Q418" i="2" s="1"/>
  <c r="T418" i="2"/>
  <c r="R418" i="2" s="1"/>
  <c r="N419" i="2"/>
  <c r="S419" i="2"/>
  <c r="Q419" i="2" s="1"/>
  <c r="T419" i="2"/>
  <c r="R419" i="2" s="1"/>
  <c r="N420" i="2"/>
  <c r="S420" i="2"/>
  <c r="Q420" i="2" s="1"/>
  <c r="T420" i="2"/>
  <c r="R420" i="2" s="1"/>
  <c r="N421" i="2"/>
  <c r="S421" i="2"/>
  <c r="Q421" i="2" s="1"/>
  <c r="T421" i="2"/>
  <c r="R421" i="2" s="1"/>
  <c r="N422" i="2"/>
  <c r="S422" i="2"/>
  <c r="Q422" i="2" s="1"/>
  <c r="T422" i="2"/>
  <c r="R422" i="2" s="1"/>
  <c r="N423" i="2"/>
  <c r="S423" i="2"/>
  <c r="Q423" i="2" s="1"/>
  <c r="T423" i="2"/>
  <c r="R423" i="2" s="1"/>
  <c r="N424" i="2"/>
  <c r="S424" i="2"/>
  <c r="Q424" i="2" s="1"/>
  <c r="T424" i="2"/>
  <c r="R424" i="2" s="1"/>
  <c r="N425" i="2"/>
  <c r="S425" i="2"/>
  <c r="Q425" i="2" s="1"/>
  <c r="T425" i="2"/>
  <c r="R425" i="2" s="1"/>
  <c r="N426" i="2"/>
  <c r="S426" i="2"/>
  <c r="Q426" i="2" s="1"/>
  <c r="T426" i="2"/>
  <c r="R426" i="2" s="1"/>
  <c r="N427" i="2"/>
  <c r="S427" i="2"/>
  <c r="Q427" i="2" s="1"/>
  <c r="T427" i="2"/>
  <c r="R427" i="2" s="1"/>
  <c r="N428" i="2"/>
  <c r="S428" i="2"/>
  <c r="Q428" i="2" s="1"/>
  <c r="T428" i="2"/>
  <c r="R428" i="2" s="1"/>
  <c r="N429" i="2"/>
  <c r="S429" i="2"/>
  <c r="Q429" i="2" s="1"/>
  <c r="T429" i="2"/>
  <c r="R429" i="2" s="1"/>
  <c r="N430" i="2"/>
  <c r="S430" i="2"/>
  <c r="Q430" i="2" s="1"/>
  <c r="T430" i="2"/>
  <c r="R430" i="2" s="1"/>
  <c r="N431" i="2"/>
  <c r="S431" i="2"/>
  <c r="Q431" i="2" s="1"/>
  <c r="T431" i="2"/>
  <c r="R431" i="2" s="1"/>
  <c r="N432" i="2"/>
  <c r="S432" i="2"/>
  <c r="Q432" i="2" s="1"/>
  <c r="T432" i="2"/>
  <c r="R432" i="2" s="1"/>
  <c r="N433" i="2"/>
  <c r="S433" i="2"/>
  <c r="Q433" i="2" s="1"/>
  <c r="T433" i="2"/>
  <c r="R433" i="2" s="1"/>
  <c r="N434" i="2"/>
  <c r="S434" i="2"/>
  <c r="Q434" i="2" s="1"/>
  <c r="T434" i="2"/>
  <c r="R434" i="2" s="1"/>
  <c r="N435" i="2"/>
  <c r="S435" i="2"/>
  <c r="Q435" i="2" s="1"/>
  <c r="T435" i="2"/>
  <c r="R435" i="2" s="1"/>
  <c r="N436" i="2"/>
  <c r="S436" i="2"/>
  <c r="Q436" i="2" s="1"/>
  <c r="T436" i="2"/>
  <c r="R436" i="2" s="1"/>
  <c r="N437" i="2"/>
  <c r="S437" i="2"/>
  <c r="Q437" i="2" s="1"/>
  <c r="T437" i="2"/>
  <c r="R437" i="2" s="1"/>
  <c r="N438" i="2"/>
  <c r="S438" i="2"/>
  <c r="Q438" i="2" s="1"/>
  <c r="T438" i="2"/>
  <c r="R438" i="2" s="1"/>
  <c r="N439" i="2"/>
  <c r="S439" i="2"/>
  <c r="Q439" i="2" s="1"/>
  <c r="T439" i="2"/>
  <c r="R439" i="2" s="1"/>
  <c r="N440" i="2"/>
  <c r="S440" i="2"/>
  <c r="Q440" i="2" s="1"/>
  <c r="T440" i="2"/>
  <c r="R440" i="2" s="1"/>
  <c r="N441" i="2"/>
  <c r="S441" i="2"/>
  <c r="Q441" i="2" s="1"/>
  <c r="T441" i="2"/>
  <c r="R441" i="2" s="1"/>
  <c r="N442" i="2"/>
  <c r="S442" i="2"/>
  <c r="Q442" i="2" s="1"/>
  <c r="T442" i="2"/>
  <c r="R442" i="2" s="1"/>
  <c r="N443" i="2"/>
  <c r="S443" i="2"/>
  <c r="Q443" i="2" s="1"/>
  <c r="T443" i="2"/>
  <c r="R443" i="2" s="1"/>
  <c r="N444" i="2"/>
  <c r="S444" i="2"/>
  <c r="Q444" i="2" s="1"/>
  <c r="T444" i="2"/>
  <c r="R444" i="2" s="1"/>
  <c r="N445" i="2"/>
  <c r="S445" i="2"/>
  <c r="Q445" i="2" s="1"/>
  <c r="T445" i="2"/>
  <c r="R445" i="2" s="1"/>
  <c r="N446" i="2"/>
  <c r="S446" i="2"/>
  <c r="Q446" i="2" s="1"/>
  <c r="T446" i="2"/>
  <c r="R446" i="2" s="1"/>
  <c r="N447" i="2"/>
  <c r="S447" i="2"/>
  <c r="Q447" i="2" s="1"/>
  <c r="T447" i="2"/>
  <c r="R447" i="2" s="1"/>
  <c r="N448" i="2"/>
  <c r="S448" i="2"/>
  <c r="Q448" i="2" s="1"/>
  <c r="T448" i="2"/>
  <c r="R448" i="2" s="1"/>
  <c r="N449" i="2"/>
  <c r="S449" i="2"/>
  <c r="Q449" i="2" s="1"/>
  <c r="T449" i="2"/>
  <c r="R449" i="2" s="1"/>
  <c r="N450" i="2"/>
  <c r="S450" i="2"/>
  <c r="Q450" i="2" s="1"/>
  <c r="T450" i="2"/>
  <c r="R450" i="2" s="1"/>
  <c r="N451" i="2"/>
  <c r="S451" i="2"/>
  <c r="Q451" i="2" s="1"/>
  <c r="T451" i="2"/>
  <c r="R451" i="2" s="1"/>
  <c r="N452" i="2"/>
  <c r="S452" i="2"/>
  <c r="Q452" i="2" s="1"/>
  <c r="T452" i="2"/>
  <c r="R452" i="2" s="1"/>
  <c r="N453" i="2"/>
  <c r="S453" i="2"/>
  <c r="Q453" i="2" s="1"/>
  <c r="T453" i="2"/>
  <c r="R453" i="2" s="1"/>
  <c r="N454" i="2"/>
  <c r="S454" i="2"/>
  <c r="Q454" i="2" s="1"/>
  <c r="T454" i="2"/>
  <c r="R454" i="2" s="1"/>
  <c r="N455" i="2"/>
  <c r="S455" i="2"/>
  <c r="Q455" i="2" s="1"/>
  <c r="T455" i="2"/>
  <c r="R455" i="2" s="1"/>
  <c r="N456" i="2"/>
  <c r="S456" i="2"/>
  <c r="Q456" i="2" s="1"/>
  <c r="T456" i="2"/>
  <c r="R456" i="2" s="1"/>
  <c r="N457" i="2"/>
  <c r="S457" i="2"/>
  <c r="Q457" i="2" s="1"/>
  <c r="T457" i="2"/>
  <c r="R457" i="2" s="1"/>
  <c r="N458" i="2"/>
  <c r="S458" i="2"/>
  <c r="Q458" i="2" s="1"/>
  <c r="T458" i="2"/>
  <c r="R458" i="2" s="1"/>
  <c r="N459" i="2"/>
  <c r="S459" i="2"/>
  <c r="Q459" i="2" s="1"/>
  <c r="T459" i="2"/>
  <c r="R459" i="2" s="1"/>
  <c r="N460" i="2"/>
  <c r="S460" i="2"/>
  <c r="Q460" i="2" s="1"/>
  <c r="T460" i="2"/>
  <c r="R460" i="2" s="1"/>
  <c r="N461" i="2"/>
  <c r="S461" i="2"/>
  <c r="Q461" i="2" s="1"/>
  <c r="T461" i="2"/>
  <c r="R461" i="2" s="1"/>
  <c r="N462" i="2"/>
  <c r="S462" i="2"/>
  <c r="Q462" i="2" s="1"/>
  <c r="T462" i="2"/>
  <c r="R462" i="2" s="1"/>
  <c r="N463" i="2"/>
  <c r="S463" i="2"/>
  <c r="Q463" i="2" s="1"/>
  <c r="T463" i="2"/>
  <c r="R463" i="2" s="1"/>
  <c r="N464" i="2"/>
  <c r="S464" i="2"/>
  <c r="Q464" i="2" s="1"/>
  <c r="T464" i="2"/>
  <c r="R464" i="2" s="1"/>
  <c r="N465" i="2"/>
  <c r="S465" i="2"/>
  <c r="Q465" i="2" s="1"/>
  <c r="T465" i="2"/>
  <c r="R465" i="2" s="1"/>
  <c r="N466" i="2"/>
  <c r="S466" i="2"/>
  <c r="Q466" i="2" s="1"/>
  <c r="T466" i="2"/>
  <c r="R466" i="2" s="1"/>
  <c r="N467" i="2"/>
  <c r="S467" i="2"/>
  <c r="Q467" i="2" s="1"/>
  <c r="T467" i="2"/>
  <c r="R467" i="2" s="1"/>
  <c r="N468" i="2"/>
  <c r="S468" i="2"/>
  <c r="Q468" i="2" s="1"/>
  <c r="T468" i="2"/>
  <c r="R468" i="2" s="1"/>
  <c r="N469" i="2"/>
  <c r="S469" i="2"/>
  <c r="Q469" i="2" s="1"/>
  <c r="T469" i="2"/>
  <c r="R469" i="2" s="1"/>
  <c r="N470" i="2"/>
  <c r="S470" i="2"/>
  <c r="Q470" i="2" s="1"/>
  <c r="T470" i="2"/>
  <c r="R470" i="2" s="1"/>
  <c r="N471" i="2"/>
  <c r="S471" i="2"/>
  <c r="Q471" i="2" s="1"/>
  <c r="T471" i="2"/>
  <c r="R471" i="2" s="1"/>
  <c r="N472" i="2"/>
  <c r="S472" i="2"/>
  <c r="Q472" i="2" s="1"/>
  <c r="T472" i="2"/>
  <c r="R472" i="2" s="1"/>
  <c r="N473" i="2"/>
  <c r="S473" i="2"/>
  <c r="Q473" i="2" s="1"/>
  <c r="T473" i="2"/>
  <c r="R473" i="2" s="1"/>
  <c r="N474" i="2"/>
  <c r="S474" i="2"/>
  <c r="Q474" i="2" s="1"/>
  <c r="T474" i="2"/>
  <c r="R474" i="2" s="1"/>
  <c r="N475" i="2"/>
  <c r="S475" i="2"/>
  <c r="Q475" i="2" s="1"/>
  <c r="T475" i="2"/>
  <c r="R475" i="2" s="1"/>
  <c r="N476" i="2"/>
  <c r="S476" i="2"/>
  <c r="Q476" i="2" s="1"/>
  <c r="T476" i="2"/>
  <c r="R476" i="2" s="1"/>
  <c r="N477" i="2"/>
  <c r="S477" i="2"/>
  <c r="Q477" i="2" s="1"/>
  <c r="T477" i="2"/>
  <c r="R477" i="2" s="1"/>
  <c r="N478" i="2"/>
  <c r="S478" i="2"/>
  <c r="Q478" i="2" s="1"/>
  <c r="T478" i="2"/>
  <c r="R478" i="2" s="1"/>
  <c r="N479" i="2"/>
  <c r="S479" i="2"/>
  <c r="Q479" i="2" s="1"/>
  <c r="T479" i="2"/>
  <c r="R479" i="2" s="1"/>
  <c r="N480" i="2"/>
  <c r="S480" i="2"/>
  <c r="Q480" i="2" s="1"/>
  <c r="T480" i="2"/>
  <c r="R480" i="2" s="1"/>
  <c r="N481" i="2"/>
  <c r="S481" i="2"/>
  <c r="Q481" i="2" s="1"/>
  <c r="T481" i="2"/>
  <c r="R481" i="2" s="1"/>
  <c r="N482" i="2"/>
  <c r="S482" i="2"/>
  <c r="Q482" i="2" s="1"/>
  <c r="T482" i="2"/>
  <c r="R482" i="2" s="1"/>
  <c r="N483" i="2"/>
  <c r="S483" i="2"/>
  <c r="Q483" i="2" s="1"/>
  <c r="T483" i="2"/>
  <c r="R483" i="2" s="1"/>
  <c r="N484" i="2"/>
  <c r="S484" i="2"/>
  <c r="Q484" i="2" s="1"/>
  <c r="T484" i="2"/>
  <c r="R484" i="2" s="1"/>
  <c r="N485" i="2"/>
  <c r="S485" i="2"/>
  <c r="Q485" i="2" s="1"/>
  <c r="T485" i="2"/>
  <c r="R485" i="2" s="1"/>
  <c r="N486" i="2"/>
  <c r="S486" i="2"/>
  <c r="Q486" i="2" s="1"/>
  <c r="T486" i="2"/>
  <c r="R486" i="2" s="1"/>
  <c r="N487" i="2"/>
  <c r="S487" i="2"/>
  <c r="Q487" i="2" s="1"/>
  <c r="T487" i="2"/>
  <c r="R487" i="2" s="1"/>
  <c r="N488" i="2"/>
  <c r="S488" i="2"/>
  <c r="Q488" i="2" s="1"/>
  <c r="T488" i="2"/>
  <c r="R488" i="2" s="1"/>
  <c r="N489" i="2"/>
  <c r="S489" i="2"/>
  <c r="Q489" i="2" s="1"/>
  <c r="T489" i="2"/>
  <c r="R489" i="2" s="1"/>
  <c r="N490" i="2"/>
  <c r="S490" i="2"/>
  <c r="Q490" i="2" s="1"/>
  <c r="T490" i="2"/>
  <c r="R490" i="2" s="1"/>
  <c r="N491" i="2"/>
  <c r="S491" i="2"/>
  <c r="Q491" i="2" s="1"/>
  <c r="T491" i="2"/>
  <c r="R491" i="2" s="1"/>
  <c r="N492" i="2"/>
  <c r="S492" i="2"/>
  <c r="Q492" i="2" s="1"/>
  <c r="T492" i="2"/>
  <c r="R492" i="2" s="1"/>
  <c r="N493" i="2"/>
  <c r="S493" i="2"/>
  <c r="Q493" i="2" s="1"/>
  <c r="T493" i="2"/>
  <c r="R493" i="2" s="1"/>
  <c r="N494" i="2"/>
  <c r="S494" i="2"/>
  <c r="Q494" i="2" s="1"/>
  <c r="T494" i="2"/>
  <c r="R494" i="2" s="1"/>
  <c r="N495" i="2"/>
  <c r="S495" i="2"/>
  <c r="Q495" i="2" s="1"/>
  <c r="T495" i="2"/>
  <c r="R495" i="2" s="1"/>
  <c r="N496" i="2"/>
  <c r="S496" i="2"/>
  <c r="Q496" i="2" s="1"/>
  <c r="T496" i="2"/>
  <c r="R496" i="2" s="1"/>
  <c r="N497" i="2"/>
  <c r="S497" i="2"/>
  <c r="Q497" i="2" s="1"/>
  <c r="T497" i="2"/>
  <c r="R497" i="2" s="1"/>
  <c r="N498" i="2"/>
  <c r="S498" i="2"/>
  <c r="Q498" i="2" s="1"/>
  <c r="T498" i="2"/>
  <c r="R498" i="2" s="1"/>
  <c r="N499" i="2"/>
  <c r="S499" i="2"/>
  <c r="Q499" i="2" s="1"/>
  <c r="T499" i="2"/>
  <c r="R499" i="2" s="1"/>
  <c r="N500" i="2"/>
  <c r="S500" i="2"/>
  <c r="Q500" i="2" s="1"/>
  <c r="T500" i="2"/>
  <c r="R500" i="2" s="1"/>
  <c r="N501" i="2"/>
  <c r="S501" i="2"/>
  <c r="Q501" i="2" s="1"/>
  <c r="T501" i="2"/>
  <c r="R501" i="2" s="1"/>
  <c r="N502" i="2"/>
  <c r="S502" i="2"/>
  <c r="Q502" i="2" s="1"/>
  <c r="T502" i="2"/>
  <c r="R502" i="2" s="1"/>
  <c r="N503" i="2"/>
  <c r="S503" i="2"/>
  <c r="Q503" i="2" s="1"/>
  <c r="T503" i="2"/>
  <c r="R503" i="2" s="1"/>
  <c r="N504" i="2"/>
  <c r="S504" i="2"/>
  <c r="Q504" i="2" s="1"/>
  <c r="T504" i="2"/>
  <c r="R504" i="2" s="1"/>
  <c r="N505" i="2"/>
  <c r="S505" i="2"/>
  <c r="Q505" i="2" s="1"/>
  <c r="T505" i="2"/>
  <c r="R505" i="2" s="1"/>
  <c r="N506" i="2"/>
  <c r="S506" i="2"/>
  <c r="Q506" i="2" s="1"/>
  <c r="T506" i="2"/>
  <c r="R506" i="2" s="1"/>
  <c r="N507" i="2"/>
  <c r="S507" i="2"/>
  <c r="Q507" i="2" s="1"/>
  <c r="T507" i="2"/>
  <c r="R507" i="2" s="1"/>
  <c r="N508" i="2"/>
  <c r="S508" i="2"/>
  <c r="Q508" i="2" s="1"/>
  <c r="T508" i="2"/>
  <c r="R508" i="2" s="1"/>
  <c r="N509" i="2"/>
  <c r="S509" i="2"/>
  <c r="Q509" i="2" s="1"/>
  <c r="T509" i="2"/>
  <c r="R509" i="2" s="1"/>
  <c r="N510" i="2"/>
  <c r="S510" i="2"/>
  <c r="Q510" i="2" s="1"/>
  <c r="T510" i="2"/>
  <c r="R510" i="2" s="1"/>
  <c r="N511" i="2"/>
  <c r="S511" i="2"/>
  <c r="Q511" i="2" s="1"/>
  <c r="T511" i="2"/>
  <c r="R511" i="2" s="1"/>
  <c r="N512" i="2"/>
  <c r="S512" i="2"/>
  <c r="Q512" i="2" s="1"/>
  <c r="T512" i="2"/>
  <c r="R512" i="2" s="1"/>
  <c r="N513" i="2"/>
  <c r="S513" i="2"/>
  <c r="Q513" i="2" s="1"/>
  <c r="T513" i="2"/>
  <c r="R513" i="2" s="1"/>
  <c r="N514" i="2"/>
  <c r="S514" i="2"/>
  <c r="Q514" i="2" s="1"/>
  <c r="T514" i="2"/>
  <c r="R514" i="2" s="1"/>
  <c r="N515" i="2"/>
  <c r="S515" i="2"/>
  <c r="Q515" i="2" s="1"/>
  <c r="T515" i="2"/>
  <c r="R515" i="2" s="1"/>
  <c r="N516" i="2"/>
  <c r="S516" i="2"/>
  <c r="Q516" i="2" s="1"/>
  <c r="T516" i="2"/>
  <c r="R516" i="2" s="1"/>
  <c r="N517" i="2"/>
  <c r="S517" i="2"/>
  <c r="Q517" i="2" s="1"/>
  <c r="T517" i="2"/>
  <c r="R517" i="2" s="1"/>
  <c r="N518" i="2"/>
  <c r="S518" i="2"/>
  <c r="Q518" i="2" s="1"/>
  <c r="T518" i="2"/>
  <c r="R518" i="2" s="1"/>
  <c r="N519" i="2"/>
  <c r="S519" i="2"/>
  <c r="Q519" i="2" s="1"/>
  <c r="T519" i="2"/>
  <c r="R519" i="2" s="1"/>
  <c r="N520" i="2"/>
  <c r="S520" i="2"/>
  <c r="Q520" i="2" s="1"/>
  <c r="T520" i="2"/>
  <c r="R520" i="2" s="1"/>
  <c r="N521" i="2"/>
  <c r="S521" i="2"/>
  <c r="Q521" i="2" s="1"/>
  <c r="T521" i="2"/>
  <c r="R521" i="2" s="1"/>
  <c r="N522" i="2"/>
  <c r="S522" i="2"/>
  <c r="Q522" i="2" s="1"/>
  <c r="T522" i="2"/>
  <c r="R522" i="2" s="1"/>
  <c r="N523" i="2"/>
  <c r="S523" i="2"/>
  <c r="Q523" i="2" s="1"/>
  <c r="T523" i="2"/>
  <c r="R523" i="2" s="1"/>
  <c r="N524" i="2"/>
  <c r="S524" i="2"/>
  <c r="Q524" i="2" s="1"/>
  <c r="T524" i="2"/>
  <c r="R524" i="2" s="1"/>
  <c r="N525" i="2"/>
  <c r="S525" i="2"/>
  <c r="Q525" i="2" s="1"/>
  <c r="T525" i="2"/>
  <c r="R525" i="2" s="1"/>
  <c r="N526" i="2"/>
  <c r="S526" i="2"/>
  <c r="Q526" i="2" s="1"/>
  <c r="T526" i="2"/>
  <c r="R526" i="2" s="1"/>
  <c r="N527" i="2"/>
  <c r="S527" i="2"/>
  <c r="Q527" i="2" s="1"/>
  <c r="T527" i="2"/>
  <c r="R527" i="2" s="1"/>
  <c r="N528" i="2"/>
  <c r="S528" i="2"/>
  <c r="Q528" i="2" s="1"/>
  <c r="T528" i="2"/>
  <c r="R528" i="2" s="1"/>
  <c r="N529" i="2"/>
  <c r="S529" i="2"/>
  <c r="Q529" i="2" s="1"/>
  <c r="T529" i="2"/>
  <c r="R529" i="2" s="1"/>
  <c r="N530" i="2"/>
  <c r="S530" i="2"/>
  <c r="Q530" i="2" s="1"/>
  <c r="T530" i="2"/>
  <c r="R530" i="2" s="1"/>
  <c r="N531" i="2"/>
  <c r="S531" i="2"/>
  <c r="Q531" i="2" s="1"/>
  <c r="T531" i="2"/>
  <c r="R531" i="2" s="1"/>
  <c r="N532" i="2"/>
  <c r="S532" i="2"/>
  <c r="Q532" i="2" s="1"/>
  <c r="T532" i="2"/>
  <c r="R532" i="2" s="1"/>
  <c r="N533" i="2"/>
  <c r="S533" i="2"/>
  <c r="Q533" i="2" s="1"/>
  <c r="T533" i="2"/>
  <c r="R533" i="2" s="1"/>
  <c r="N534" i="2"/>
  <c r="S534" i="2"/>
  <c r="Q534" i="2" s="1"/>
  <c r="T534" i="2"/>
  <c r="R534" i="2" s="1"/>
  <c r="N535" i="2"/>
  <c r="S535" i="2"/>
  <c r="Q535" i="2" s="1"/>
  <c r="T535" i="2"/>
  <c r="R535" i="2" s="1"/>
  <c r="N536" i="2"/>
  <c r="S536" i="2"/>
  <c r="Q536" i="2" s="1"/>
  <c r="T536" i="2"/>
  <c r="R536" i="2" s="1"/>
  <c r="N537" i="2"/>
  <c r="S537" i="2"/>
  <c r="Q537" i="2" s="1"/>
  <c r="T537" i="2"/>
  <c r="R537" i="2" s="1"/>
  <c r="N538" i="2"/>
  <c r="S538" i="2"/>
  <c r="Q538" i="2" s="1"/>
  <c r="T538" i="2"/>
  <c r="R538" i="2" s="1"/>
  <c r="N539" i="2"/>
  <c r="S539" i="2"/>
  <c r="Q539" i="2" s="1"/>
  <c r="T539" i="2"/>
  <c r="R539" i="2" s="1"/>
  <c r="N540" i="2"/>
  <c r="S540" i="2"/>
  <c r="Q540" i="2" s="1"/>
  <c r="T540" i="2"/>
  <c r="R540" i="2" s="1"/>
  <c r="N541" i="2"/>
  <c r="S541" i="2"/>
  <c r="Q541" i="2" s="1"/>
  <c r="T541" i="2"/>
  <c r="R541" i="2" s="1"/>
  <c r="N542" i="2"/>
  <c r="S542" i="2"/>
  <c r="Q542" i="2" s="1"/>
  <c r="T542" i="2"/>
  <c r="R542" i="2" s="1"/>
  <c r="N543" i="2"/>
  <c r="S543" i="2"/>
  <c r="Q543" i="2" s="1"/>
  <c r="T543" i="2"/>
  <c r="R543" i="2" s="1"/>
  <c r="N544" i="2"/>
  <c r="S544" i="2"/>
  <c r="Q544" i="2" s="1"/>
  <c r="T544" i="2"/>
  <c r="R544" i="2" s="1"/>
  <c r="N545" i="2"/>
  <c r="S545" i="2"/>
  <c r="Q545" i="2" s="1"/>
  <c r="T545" i="2"/>
  <c r="R545" i="2" s="1"/>
  <c r="N546" i="2"/>
  <c r="S546" i="2"/>
  <c r="Q546" i="2" s="1"/>
  <c r="T546" i="2"/>
  <c r="R546" i="2" s="1"/>
  <c r="N547" i="2"/>
  <c r="S547" i="2"/>
  <c r="Q547" i="2" s="1"/>
  <c r="T547" i="2"/>
  <c r="R547" i="2" s="1"/>
  <c r="N548" i="2"/>
  <c r="S548" i="2"/>
  <c r="Q548" i="2" s="1"/>
  <c r="T548" i="2"/>
  <c r="R548" i="2" s="1"/>
  <c r="N549" i="2"/>
  <c r="S549" i="2"/>
  <c r="Q549" i="2" s="1"/>
  <c r="T549" i="2"/>
  <c r="R549" i="2" s="1"/>
  <c r="N550" i="2"/>
  <c r="S550" i="2"/>
  <c r="Q550" i="2" s="1"/>
  <c r="T550" i="2"/>
  <c r="R550" i="2" s="1"/>
  <c r="N551" i="2"/>
  <c r="S551" i="2"/>
  <c r="Q551" i="2" s="1"/>
  <c r="T551" i="2"/>
  <c r="R551" i="2" s="1"/>
  <c r="N552" i="2"/>
  <c r="S552" i="2"/>
  <c r="Q552" i="2" s="1"/>
  <c r="T552" i="2"/>
  <c r="R552" i="2" s="1"/>
  <c r="N553" i="2"/>
  <c r="S553" i="2"/>
  <c r="Q553" i="2" s="1"/>
  <c r="T553" i="2"/>
  <c r="R553" i="2" s="1"/>
  <c r="N554" i="2"/>
  <c r="S554" i="2"/>
  <c r="Q554" i="2" s="1"/>
  <c r="T554" i="2"/>
  <c r="R554" i="2" s="1"/>
  <c r="N555" i="2"/>
  <c r="S555" i="2"/>
  <c r="Q555" i="2" s="1"/>
  <c r="T555" i="2"/>
  <c r="R555" i="2" s="1"/>
  <c r="N556" i="2"/>
  <c r="S556" i="2"/>
  <c r="Q556" i="2" s="1"/>
  <c r="T556" i="2"/>
  <c r="R556" i="2" s="1"/>
  <c r="N557" i="2"/>
  <c r="S557" i="2"/>
  <c r="Q557" i="2" s="1"/>
  <c r="T557" i="2"/>
  <c r="R557" i="2" s="1"/>
  <c r="N558" i="2"/>
  <c r="S558" i="2"/>
  <c r="Q558" i="2" s="1"/>
  <c r="T558" i="2"/>
  <c r="R558" i="2" s="1"/>
  <c r="N559" i="2"/>
  <c r="S559" i="2"/>
  <c r="Q559" i="2" s="1"/>
  <c r="T559" i="2"/>
  <c r="R559" i="2" s="1"/>
  <c r="N560" i="2"/>
  <c r="S560" i="2"/>
  <c r="Q560" i="2" s="1"/>
  <c r="T560" i="2"/>
  <c r="R560" i="2" s="1"/>
  <c r="N561" i="2"/>
  <c r="S561" i="2"/>
  <c r="Q561" i="2" s="1"/>
  <c r="T561" i="2"/>
  <c r="R561" i="2" s="1"/>
  <c r="N562" i="2"/>
  <c r="S562" i="2"/>
  <c r="Q562" i="2" s="1"/>
  <c r="T562" i="2"/>
  <c r="R562" i="2" s="1"/>
  <c r="N563" i="2"/>
  <c r="S563" i="2"/>
  <c r="Q563" i="2" s="1"/>
  <c r="T563" i="2"/>
  <c r="R563" i="2" s="1"/>
  <c r="N564" i="2"/>
  <c r="S564" i="2"/>
  <c r="Q564" i="2" s="1"/>
  <c r="T564" i="2"/>
  <c r="R564" i="2" s="1"/>
  <c r="N565" i="2"/>
  <c r="S565" i="2"/>
  <c r="Q565" i="2" s="1"/>
  <c r="T565" i="2"/>
  <c r="R565" i="2" s="1"/>
  <c r="N566" i="2"/>
  <c r="S566" i="2"/>
  <c r="Q566" i="2" s="1"/>
  <c r="T566" i="2"/>
  <c r="R566" i="2" s="1"/>
  <c r="N567" i="2"/>
  <c r="S567" i="2"/>
  <c r="Q567" i="2" s="1"/>
  <c r="T567" i="2"/>
  <c r="R567" i="2" s="1"/>
  <c r="N568" i="2"/>
  <c r="S568" i="2"/>
  <c r="Q568" i="2" s="1"/>
  <c r="T568" i="2"/>
  <c r="R568" i="2" s="1"/>
  <c r="N569" i="2"/>
  <c r="S569" i="2"/>
  <c r="Q569" i="2" s="1"/>
  <c r="T569" i="2"/>
  <c r="R569" i="2" s="1"/>
  <c r="N570" i="2"/>
  <c r="S570" i="2"/>
  <c r="Q570" i="2" s="1"/>
  <c r="T570" i="2"/>
  <c r="R570" i="2" s="1"/>
  <c r="N571" i="2"/>
  <c r="S571" i="2"/>
  <c r="Q571" i="2" s="1"/>
  <c r="T571" i="2"/>
  <c r="R571" i="2" s="1"/>
  <c r="N572" i="2"/>
  <c r="S572" i="2"/>
  <c r="Q572" i="2" s="1"/>
  <c r="T572" i="2"/>
  <c r="R572" i="2" s="1"/>
  <c r="N573" i="2"/>
  <c r="T573" i="2"/>
  <c r="R573" i="2" s="1"/>
  <c r="N574" i="2"/>
  <c r="S574" i="2"/>
  <c r="Q574" i="2" s="1"/>
  <c r="T574" i="2"/>
  <c r="R574" i="2" s="1"/>
  <c r="N575" i="2"/>
  <c r="S575" i="2"/>
  <c r="Q575" i="2" s="1"/>
  <c r="T575" i="2"/>
  <c r="R575" i="2" s="1"/>
  <c r="N576" i="2"/>
  <c r="T576" i="2"/>
  <c r="R576" i="2" s="1"/>
  <c r="N577" i="2"/>
  <c r="S577" i="2"/>
  <c r="Q577" i="2" s="1"/>
  <c r="T577" i="2"/>
  <c r="R577" i="2" s="1"/>
  <c r="N578" i="2"/>
  <c r="S578" i="2"/>
  <c r="Q578" i="2" s="1"/>
  <c r="T578" i="2"/>
  <c r="R578" i="2" s="1"/>
  <c r="N579" i="2"/>
  <c r="S579" i="2"/>
  <c r="Q579" i="2" s="1"/>
  <c r="T579" i="2"/>
  <c r="R579" i="2" s="1"/>
  <c r="N580" i="2"/>
  <c r="T580" i="2"/>
  <c r="R580" i="2" s="1"/>
  <c r="M64" i="1"/>
  <c r="M65" i="1"/>
  <c r="N65" i="1" s="1"/>
  <c r="M66" i="1"/>
  <c r="Z567" i="2" l="1"/>
  <c r="AA567" i="2"/>
  <c r="Z551" i="2"/>
  <c r="AA551" i="2"/>
  <c r="Z535" i="2"/>
  <c r="AA535" i="2"/>
  <c r="Z519" i="2"/>
  <c r="AA519" i="2"/>
  <c r="Z503" i="2"/>
  <c r="AA503" i="2"/>
  <c r="Z487" i="2"/>
  <c r="AA487" i="2"/>
  <c r="AA471" i="2"/>
  <c r="Z471" i="2"/>
  <c r="Z455" i="2"/>
  <c r="AA455" i="2"/>
  <c r="Z439" i="2"/>
  <c r="AA439" i="2"/>
  <c r="Z423" i="2"/>
  <c r="AA423" i="2"/>
  <c r="Z407" i="2"/>
  <c r="AA407" i="2"/>
  <c r="Z391" i="2"/>
  <c r="AA391" i="2"/>
  <c r="Z375" i="2"/>
  <c r="AA375" i="2"/>
  <c r="Z359" i="2"/>
  <c r="AA359" i="2"/>
  <c r="Z343" i="2"/>
  <c r="AA343" i="2"/>
  <c r="Z327" i="2"/>
  <c r="AA327" i="2"/>
  <c r="Z311" i="2"/>
  <c r="AA311" i="2"/>
  <c r="Z295" i="2"/>
  <c r="AA295" i="2"/>
  <c r="Z279" i="2"/>
  <c r="AA279" i="2"/>
  <c r="Z263" i="2"/>
  <c r="AA263" i="2"/>
  <c r="Z236" i="2"/>
  <c r="AA236" i="2"/>
  <c r="Z220" i="2"/>
  <c r="AA220" i="2"/>
  <c r="Z204" i="2"/>
  <c r="AA204" i="2"/>
  <c r="Z188" i="2"/>
  <c r="AA188" i="2"/>
  <c r="Z172" i="2"/>
  <c r="AA172" i="2"/>
  <c r="Z156" i="2"/>
  <c r="AA156" i="2"/>
  <c r="Z140" i="2"/>
  <c r="AA140" i="2"/>
  <c r="Z124" i="2"/>
  <c r="AA124" i="2"/>
  <c r="Z108" i="2"/>
  <c r="AA108" i="2"/>
  <c r="Z92" i="2"/>
  <c r="AA92" i="2"/>
  <c r="Z76" i="2"/>
  <c r="AA76" i="2"/>
  <c r="Z60" i="2"/>
  <c r="AA60" i="2"/>
  <c r="Z44" i="2"/>
  <c r="AA44" i="2"/>
  <c r="Z28" i="2"/>
  <c r="AA28" i="2"/>
  <c r="Z578" i="2"/>
  <c r="AA578" i="2"/>
  <c r="Z572" i="2"/>
  <c r="AA572" i="2"/>
  <c r="Z556" i="2"/>
  <c r="AA556" i="2"/>
  <c r="Z540" i="2"/>
  <c r="AA540" i="2"/>
  <c r="Z524" i="2"/>
  <c r="AA524" i="2"/>
  <c r="Z508" i="2"/>
  <c r="AA508" i="2"/>
  <c r="Z492" i="2"/>
  <c r="AA492" i="2"/>
  <c r="Z476" i="2"/>
  <c r="AA476" i="2"/>
  <c r="Z460" i="2"/>
  <c r="AA460" i="2"/>
  <c r="Z444" i="2"/>
  <c r="AA444" i="2"/>
  <c r="Z428" i="2"/>
  <c r="AA428" i="2"/>
  <c r="Z412" i="2"/>
  <c r="AA412" i="2"/>
  <c r="Z396" i="2"/>
  <c r="AA396" i="2"/>
  <c r="Z380" i="2"/>
  <c r="AA380" i="2"/>
  <c r="Z364" i="2"/>
  <c r="AA364" i="2"/>
  <c r="Z348" i="2"/>
  <c r="AA348" i="2"/>
  <c r="Z332" i="2"/>
  <c r="AA332" i="2"/>
  <c r="Z316" i="2"/>
  <c r="AA316" i="2"/>
  <c r="Z300" i="2"/>
  <c r="AA300" i="2"/>
  <c r="Z284" i="2"/>
  <c r="AA284" i="2"/>
  <c r="Z268" i="2"/>
  <c r="AA268" i="2"/>
  <c r="Z252" i="2"/>
  <c r="AA252" i="2"/>
  <c r="Z241" i="2"/>
  <c r="AA241" i="2"/>
  <c r="Z225" i="2"/>
  <c r="AA225" i="2"/>
  <c r="Z209" i="2"/>
  <c r="AA209" i="2"/>
  <c r="Z193" i="2"/>
  <c r="AA193" i="2"/>
  <c r="Z177" i="2"/>
  <c r="AA177" i="2"/>
  <c r="Z161" i="2"/>
  <c r="AA161" i="2"/>
  <c r="Z145" i="2"/>
  <c r="AA145" i="2"/>
  <c r="Z129" i="2"/>
  <c r="AA129" i="2"/>
  <c r="Z113" i="2"/>
  <c r="AA113" i="2"/>
  <c r="Z97" i="2"/>
  <c r="AA97" i="2"/>
  <c r="Z81" i="2"/>
  <c r="AA81" i="2"/>
  <c r="Z65" i="2"/>
  <c r="AA65" i="2"/>
  <c r="Z49" i="2"/>
  <c r="AA49" i="2"/>
  <c r="Z33" i="2"/>
  <c r="AA33" i="2"/>
  <c r="Z17" i="2"/>
  <c r="AA17" i="2"/>
  <c r="Z561" i="2"/>
  <c r="AA561" i="2"/>
  <c r="Z545" i="2"/>
  <c r="AA545" i="2"/>
  <c r="Z529" i="2"/>
  <c r="AA529" i="2"/>
  <c r="Z513" i="2"/>
  <c r="AA513" i="2"/>
  <c r="Z497" i="2"/>
  <c r="AA497" i="2"/>
  <c r="Z481" i="2"/>
  <c r="AA481" i="2"/>
  <c r="Z465" i="2"/>
  <c r="AA465" i="2"/>
  <c r="Z449" i="2"/>
  <c r="AA449" i="2"/>
  <c r="Z433" i="2"/>
  <c r="AA433" i="2"/>
  <c r="Z417" i="2"/>
  <c r="AA417" i="2"/>
  <c r="Z401" i="2"/>
  <c r="AA401" i="2"/>
  <c r="Z385" i="2"/>
  <c r="AA385" i="2"/>
  <c r="Z369" i="2"/>
  <c r="AA369" i="2"/>
  <c r="Z353" i="2"/>
  <c r="AA353" i="2"/>
  <c r="Z337" i="2"/>
  <c r="AA337" i="2"/>
  <c r="Z321" i="2"/>
  <c r="AA321" i="2"/>
  <c r="Z305" i="2"/>
  <c r="AA305" i="2"/>
  <c r="Z289" i="2"/>
  <c r="AA289" i="2"/>
  <c r="Z273" i="2"/>
  <c r="AA273" i="2"/>
  <c r="Z257" i="2"/>
  <c r="AA257" i="2"/>
  <c r="Z246" i="2"/>
  <c r="AA246" i="2"/>
  <c r="Z230" i="2"/>
  <c r="AA230" i="2"/>
  <c r="Z214" i="2"/>
  <c r="AA214" i="2"/>
  <c r="Z198" i="2"/>
  <c r="AA198" i="2"/>
  <c r="Z182" i="2"/>
  <c r="AA182" i="2"/>
  <c r="Z166" i="2"/>
  <c r="AA166" i="2"/>
  <c r="Z150" i="2"/>
  <c r="AA150" i="2"/>
  <c r="Z134" i="2"/>
  <c r="AA134" i="2"/>
  <c r="Z118" i="2"/>
  <c r="AA118" i="2"/>
  <c r="Z102" i="2"/>
  <c r="AA102" i="2"/>
  <c r="Z86" i="2"/>
  <c r="AA86" i="2"/>
  <c r="Z70" i="2"/>
  <c r="AA70" i="2"/>
  <c r="Z54" i="2"/>
  <c r="AA54" i="2"/>
  <c r="Z38" i="2"/>
  <c r="AA38" i="2"/>
  <c r="Z22" i="2"/>
  <c r="AA22" i="2"/>
  <c r="Z566" i="2"/>
  <c r="AA566" i="2"/>
  <c r="Z550" i="2"/>
  <c r="AA550" i="2"/>
  <c r="Z534" i="2"/>
  <c r="AA534" i="2"/>
  <c r="Z518" i="2"/>
  <c r="AA518" i="2"/>
  <c r="Z502" i="2"/>
  <c r="AA502" i="2"/>
  <c r="Z486" i="2"/>
  <c r="AA486" i="2"/>
  <c r="Z470" i="2"/>
  <c r="AA470" i="2"/>
  <c r="Z454" i="2"/>
  <c r="AA454" i="2"/>
  <c r="Z438" i="2"/>
  <c r="AA438" i="2"/>
  <c r="Z422" i="2"/>
  <c r="AA422" i="2"/>
  <c r="Z406" i="2"/>
  <c r="AA406" i="2"/>
  <c r="Z390" i="2"/>
  <c r="AA390" i="2"/>
  <c r="Z374" i="2"/>
  <c r="AA374" i="2"/>
  <c r="Z358" i="2"/>
  <c r="AA358" i="2"/>
  <c r="Z342" i="2"/>
  <c r="AA342" i="2"/>
  <c r="Z326" i="2"/>
  <c r="AA326" i="2"/>
  <c r="Z310" i="2"/>
  <c r="AA310" i="2"/>
  <c r="Z294" i="2"/>
  <c r="AA294" i="2"/>
  <c r="Z278" i="2"/>
  <c r="AA278" i="2"/>
  <c r="Z262" i="2"/>
  <c r="AA262" i="2"/>
  <c r="Z235" i="2"/>
  <c r="AA235" i="2"/>
  <c r="Z219" i="2"/>
  <c r="AA219" i="2"/>
  <c r="Z203" i="2"/>
  <c r="AA203" i="2"/>
  <c r="Z187" i="2"/>
  <c r="AA187" i="2"/>
  <c r="Z171" i="2"/>
  <c r="AA171" i="2"/>
  <c r="Z155" i="2"/>
  <c r="AA155" i="2"/>
  <c r="Z139" i="2"/>
  <c r="AA139" i="2"/>
  <c r="Z123" i="2"/>
  <c r="AA123" i="2"/>
  <c r="Z107" i="2"/>
  <c r="AA107" i="2"/>
  <c r="Z91" i="2"/>
  <c r="AA91" i="2"/>
  <c r="Z75" i="2"/>
  <c r="AA75" i="2"/>
  <c r="Z59" i="2"/>
  <c r="AA59" i="2"/>
  <c r="Z43" i="2"/>
  <c r="AA43" i="2"/>
  <c r="Z27" i="2"/>
  <c r="AA27" i="2"/>
  <c r="Z577" i="2"/>
  <c r="AA577" i="2"/>
  <c r="Z571" i="2"/>
  <c r="AA571" i="2"/>
  <c r="Z555" i="2"/>
  <c r="AA555" i="2"/>
  <c r="Z539" i="2"/>
  <c r="AA539" i="2"/>
  <c r="Z523" i="2"/>
  <c r="AA523" i="2"/>
  <c r="Z507" i="2"/>
  <c r="AA507" i="2"/>
  <c r="Z491" i="2"/>
  <c r="AA491" i="2"/>
  <c r="Z475" i="2"/>
  <c r="AA475" i="2"/>
  <c r="Z459" i="2"/>
  <c r="AA459" i="2"/>
  <c r="Z443" i="2"/>
  <c r="AA443" i="2"/>
  <c r="Z427" i="2"/>
  <c r="AA427" i="2"/>
  <c r="Z411" i="2"/>
  <c r="AA411" i="2"/>
  <c r="Z395" i="2"/>
  <c r="AA395" i="2"/>
  <c r="Z379" i="2"/>
  <c r="AA379" i="2"/>
  <c r="Z363" i="2"/>
  <c r="AA363" i="2"/>
  <c r="Z347" i="2"/>
  <c r="AA347" i="2"/>
  <c r="Z331" i="2"/>
  <c r="AA331" i="2"/>
  <c r="Z315" i="2"/>
  <c r="AA315" i="2"/>
  <c r="Z299" i="2"/>
  <c r="AA299" i="2"/>
  <c r="Z283" i="2"/>
  <c r="AA283" i="2"/>
  <c r="Z267" i="2"/>
  <c r="AA267" i="2"/>
  <c r="Z251" i="2"/>
  <c r="AA251" i="2"/>
  <c r="Z240" i="2"/>
  <c r="AA240" i="2"/>
  <c r="Z224" i="2"/>
  <c r="AA224" i="2"/>
  <c r="Z208" i="2"/>
  <c r="AA208" i="2"/>
  <c r="Z192" i="2"/>
  <c r="AA192" i="2"/>
  <c r="Z176" i="2"/>
  <c r="AA176" i="2"/>
  <c r="Z160" i="2"/>
  <c r="AA160" i="2"/>
  <c r="Z144" i="2"/>
  <c r="AA144" i="2"/>
  <c r="Z128" i="2"/>
  <c r="AA128" i="2"/>
  <c r="Z112" i="2"/>
  <c r="AA112" i="2"/>
  <c r="Z96" i="2"/>
  <c r="AA96" i="2"/>
  <c r="Z80" i="2"/>
  <c r="AA80" i="2"/>
  <c r="Z64" i="2"/>
  <c r="AA64" i="2"/>
  <c r="Z48" i="2"/>
  <c r="AA48" i="2"/>
  <c r="Z32" i="2"/>
  <c r="AA32" i="2"/>
  <c r="Z16" i="2"/>
  <c r="AA16" i="2"/>
  <c r="Z560" i="2"/>
  <c r="AA560" i="2"/>
  <c r="AA544" i="2"/>
  <c r="Z544" i="2"/>
  <c r="Z528" i="2"/>
  <c r="AA528" i="2"/>
  <c r="Z512" i="2"/>
  <c r="AA512" i="2"/>
  <c r="Z496" i="2"/>
  <c r="AA496" i="2"/>
  <c r="Z480" i="2"/>
  <c r="AA480" i="2"/>
  <c r="Z464" i="2"/>
  <c r="AA464" i="2"/>
  <c r="Z448" i="2"/>
  <c r="AA448" i="2"/>
  <c r="Z432" i="2"/>
  <c r="AA432" i="2"/>
  <c r="Z416" i="2"/>
  <c r="AA416" i="2"/>
  <c r="Z400" i="2"/>
  <c r="AA400" i="2"/>
  <c r="Z384" i="2"/>
  <c r="AA384" i="2"/>
  <c r="Z368" i="2"/>
  <c r="AA368" i="2"/>
  <c r="Z352" i="2"/>
  <c r="AA352" i="2"/>
  <c r="Z336" i="2"/>
  <c r="AA336" i="2"/>
  <c r="Z320" i="2"/>
  <c r="AA320" i="2"/>
  <c r="Z304" i="2"/>
  <c r="AA304" i="2"/>
  <c r="Z288" i="2"/>
  <c r="AA288" i="2"/>
  <c r="Z272" i="2"/>
  <c r="AA272" i="2"/>
  <c r="Z256" i="2"/>
  <c r="AA256" i="2"/>
  <c r="Z245" i="2"/>
  <c r="AA245" i="2"/>
  <c r="Z229" i="2"/>
  <c r="AA229" i="2"/>
  <c r="Z213" i="2"/>
  <c r="AA213" i="2"/>
  <c r="Z197" i="2"/>
  <c r="AA197" i="2"/>
  <c r="Z181" i="2"/>
  <c r="AA181" i="2"/>
  <c r="Z165" i="2"/>
  <c r="AA165" i="2"/>
  <c r="Z149" i="2"/>
  <c r="AA149" i="2"/>
  <c r="Z133" i="2"/>
  <c r="AA133" i="2"/>
  <c r="Z117" i="2"/>
  <c r="AA117" i="2"/>
  <c r="Z101" i="2"/>
  <c r="AA101" i="2"/>
  <c r="Z85" i="2"/>
  <c r="AA85" i="2"/>
  <c r="Z69" i="2"/>
  <c r="AA69" i="2"/>
  <c r="Z53" i="2"/>
  <c r="AA53" i="2"/>
  <c r="Z37" i="2"/>
  <c r="AA37" i="2"/>
  <c r="Z21" i="2"/>
  <c r="AA21" i="2"/>
  <c r="Z576" i="2"/>
  <c r="AA576" i="2"/>
  <c r="Z565" i="2"/>
  <c r="AA565" i="2"/>
  <c r="Z549" i="2"/>
  <c r="AA549" i="2"/>
  <c r="Z533" i="2"/>
  <c r="AA533" i="2"/>
  <c r="Z517" i="2"/>
  <c r="AA517" i="2"/>
  <c r="Z501" i="2"/>
  <c r="AA501" i="2"/>
  <c r="Z485" i="2"/>
  <c r="AA485" i="2"/>
  <c r="Z469" i="2"/>
  <c r="AA469" i="2"/>
  <c r="Z453" i="2"/>
  <c r="AA453" i="2"/>
  <c r="Z437" i="2"/>
  <c r="AA437" i="2"/>
  <c r="Z421" i="2"/>
  <c r="AA421" i="2"/>
  <c r="Z405" i="2"/>
  <c r="AA405" i="2"/>
  <c r="Z389" i="2"/>
  <c r="AA389" i="2"/>
  <c r="Z373" i="2"/>
  <c r="AA373" i="2"/>
  <c r="Z357" i="2"/>
  <c r="AA357" i="2"/>
  <c r="Z341" i="2"/>
  <c r="AA341" i="2"/>
  <c r="Z325" i="2"/>
  <c r="AA325" i="2"/>
  <c r="Z309" i="2"/>
  <c r="AA309" i="2"/>
  <c r="Z293" i="2"/>
  <c r="AA293" i="2"/>
  <c r="Z277" i="2"/>
  <c r="AA277" i="2"/>
  <c r="Z261" i="2"/>
  <c r="AA261" i="2"/>
  <c r="Z250" i="2"/>
  <c r="AA250" i="2"/>
  <c r="Z234" i="2"/>
  <c r="AA234" i="2"/>
  <c r="Z218" i="2"/>
  <c r="AA218" i="2"/>
  <c r="Z202" i="2"/>
  <c r="AA202" i="2"/>
  <c r="Z186" i="2"/>
  <c r="AA186" i="2"/>
  <c r="Z170" i="2"/>
  <c r="AA170" i="2"/>
  <c r="Z154" i="2"/>
  <c r="AA154" i="2"/>
  <c r="Z138" i="2"/>
  <c r="AA138" i="2"/>
  <c r="Z122" i="2"/>
  <c r="AA122" i="2"/>
  <c r="Z106" i="2"/>
  <c r="AA106" i="2"/>
  <c r="Z90" i="2"/>
  <c r="AA90" i="2"/>
  <c r="Z74" i="2"/>
  <c r="AA74" i="2"/>
  <c r="Z58" i="2"/>
  <c r="AA58" i="2"/>
  <c r="Z42" i="2"/>
  <c r="AA42" i="2"/>
  <c r="Z26" i="2"/>
  <c r="AA26" i="2"/>
  <c r="Z570" i="2"/>
  <c r="AA570" i="2"/>
  <c r="Z554" i="2"/>
  <c r="AA554" i="2"/>
  <c r="Z538" i="2"/>
  <c r="AA538" i="2"/>
  <c r="Z522" i="2"/>
  <c r="AA522" i="2"/>
  <c r="Z506" i="2"/>
  <c r="AA506" i="2"/>
  <c r="Z490" i="2"/>
  <c r="AA490" i="2"/>
  <c r="Z474" i="2"/>
  <c r="AA474" i="2"/>
  <c r="Z458" i="2"/>
  <c r="AA458" i="2"/>
  <c r="Z442" i="2"/>
  <c r="AA442" i="2"/>
  <c r="Z426" i="2"/>
  <c r="AA426" i="2"/>
  <c r="Z410" i="2"/>
  <c r="AA410" i="2"/>
  <c r="Z394" i="2"/>
  <c r="AA394" i="2"/>
  <c r="Z378" i="2"/>
  <c r="AA378" i="2"/>
  <c r="Z362" i="2"/>
  <c r="AA362" i="2"/>
  <c r="Z346" i="2"/>
  <c r="AA346" i="2"/>
  <c r="Z330" i="2"/>
  <c r="AA330" i="2"/>
  <c r="Z314" i="2"/>
  <c r="AA314" i="2"/>
  <c r="Z298" i="2"/>
  <c r="AA298" i="2"/>
  <c r="Z282" i="2"/>
  <c r="AA282" i="2"/>
  <c r="Z266" i="2"/>
  <c r="AA266" i="2"/>
  <c r="Z239" i="2"/>
  <c r="AA239" i="2"/>
  <c r="Z223" i="2"/>
  <c r="AA223" i="2"/>
  <c r="Z207" i="2"/>
  <c r="AA207" i="2"/>
  <c r="Z191" i="2"/>
  <c r="AA191" i="2"/>
  <c r="Z175" i="2"/>
  <c r="AA175" i="2"/>
  <c r="Z159" i="2"/>
  <c r="AA159" i="2"/>
  <c r="Z143" i="2"/>
  <c r="AA143" i="2"/>
  <c r="Z127" i="2"/>
  <c r="AA127" i="2"/>
  <c r="Z111" i="2"/>
  <c r="AA111" i="2"/>
  <c r="Z95" i="2"/>
  <c r="AA95" i="2"/>
  <c r="Z79" i="2"/>
  <c r="AA79" i="2"/>
  <c r="Z63" i="2"/>
  <c r="AA63" i="2"/>
  <c r="Z47" i="2"/>
  <c r="AA47" i="2"/>
  <c r="Z31" i="2"/>
  <c r="AA31" i="2"/>
  <c r="Z15" i="2"/>
  <c r="AA15" i="2"/>
  <c r="Z559" i="2"/>
  <c r="AA559" i="2"/>
  <c r="Z543" i="2"/>
  <c r="AA543" i="2"/>
  <c r="AA527" i="2"/>
  <c r="Z527" i="2"/>
  <c r="Z511" i="2"/>
  <c r="AA511" i="2"/>
  <c r="Z495" i="2"/>
  <c r="AA495" i="2"/>
  <c r="Z479" i="2"/>
  <c r="AA479" i="2"/>
  <c r="Z463" i="2"/>
  <c r="AA463" i="2"/>
  <c r="Z447" i="2"/>
  <c r="AA447" i="2"/>
  <c r="Z431" i="2"/>
  <c r="AA431" i="2"/>
  <c r="Z415" i="2"/>
  <c r="AA415" i="2"/>
  <c r="Z399" i="2"/>
  <c r="AA399" i="2"/>
  <c r="Z383" i="2"/>
  <c r="AA383" i="2"/>
  <c r="Z367" i="2"/>
  <c r="AA367" i="2"/>
  <c r="Z351" i="2"/>
  <c r="AA351" i="2"/>
  <c r="Z335" i="2"/>
  <c r="AA335" i="2"/>
  <c r="Z319" i="2"/>
  <c r="AA319" i="2"/>
  <c r="Z303" i="2"/>
  <c r="AA303" i="2"/>
  <c r="Z287" i="2"/>
  <c r="AA287" i="2"/>
  <c r="Z271" i="2"/>
  <c r="AA271" i="2"/>
  <c r="Z255" i="2"/>
  <c r="AA255" i="2"/>
  <c r="Z244" i="2"/>
  <c r="AA244" i="2"/>
  <c r="Z228" i="2"/>
  <c r="AA228" i="2"/>
  <c r="Z212" i="2"/>
  <c r="AA212" i="2"/>
  <c r="Z196" i="2"/>
  <c r="AA196" i="2"/>
  <c r="Z180" i="2"/>
  <c r="AA180" i="2"/>
  <c r="Z164" i="2"/>
  <c r="AA164" i="2"/>
  <c r="Z148" i="2"/>
  <c r="AA148" i="2"/>
  <c r="Z132" i="2"/>
  <c r="AA132" i="2"/>
  <c r="Z116" i="2"/>
  <c r="AA116" i="2"/>
  <c r="Z100" i="2"/>
  <c r="AA100" i="2"/>
  <c r="Z84" i="2"/>
  <c r="AA84" i="2"/>
  <c r="Z68" i="2"/>
  <c r="AA68" i="2"/>
  <c r="Z52" i="2"/>
  <c r="AA52" i="2"/>
  <c r="Z36" i="2"/>
  <c r="AA36" i="2"/>
  <c r="Z20" i="2"/>
  <c r="AA20" i="2"/>
  <c r="Z575" i="2"/>
  <c r="AA575" i="2"/>
  <c r="Z564" i="2"/>
  <c r="AA564" i="2"/>
  <c r="Z548" i="2"/>
  <c r="AA548" i="2"/>
  <c r="Z532" i="2"/>
  <c r="AA532" i="2"/>
  <c r="Z516" i="2"/>
  <c r="AA516" i="2"/>
  <c r="Z500" i="2"/>
  <c r="AA500" i="2"/>
  <c r="Z484" i="2"/>
  <c r="AA484" i="2"/>
  <c r="Z468" i="2"/>
  <c r="AA468" i="2"/>
  <c r="Z452" i="2"/>
  <c r="AA452" i="2"/>
  <c r="Z436" i="2"/>
  <c r="AA436" i="2"/>
  <c r="Z420" i="2"/>
  <c r="AA420" i="2"/>
  <c r="Z404" i="2"/>
  <c r="AA404" i="2"/>
  <c r="Z388" i="2"/>
  <c r="AA388" i="2"/>
  <c r="Z372" i="2"/>
  <c r="AA372" i="2"/>
  <c r="Z356" i="2"/>
  <c r="AA356" i="2"/>
  <c r="Z340" i="2"/>
  <c r="AA340" i="2"/>
  <c r="Z324" i="2"/>
  <c r="AA324" i="2"/>
  <c r="Z308" i="2"/>
  <c r="AA308" i="2"/>
  <c r="Z292" i="2"/>
  <c r="AA292" i="2"/>
  <c r="Z276" i="2"/>
  <c r="AA276" i="2"/>
  <c r="Z260" i="2"/>
  <c r="AA260" i="2"/>
  <c r="Z249" i="2"/>
  <c r="AA249" i="2"/>
  <c r="Z233" i="2"/>
  <c r="AA233" i="2"/>
  <c r="Z217" i="2"/>
  <c r="AA217" i="2"/>
  <c r="Z201" i="2"/>
  <c r="AA201" i="2"/>
  <c r="Z185" i="2"/>
  <c r="AA185" i="2"/>
  <c r="Z169" i="2"/>
  <c r="AA169" i="2"/>
  <c r="Z153" i="2"/>
  <c r="AA153" i="2"/>
  <c r="Z137" i="2"/>
  <c r="AA137" i="2"/>
  <c r="Z121" i="2"/>
  <c r="AA121" i="2"/>
  <c r="Z105" i="2"/>
  <c r="AA105" i="2"/>
  <c r="Z89" i="2"/>
  <c r="AA89" i="2"/>
  <c r="Z73" i="2"/>
  <c r="AA73" i="2"/>
  <c r="Z57" i="2"/>
  <c r="AA57" i="2"/>
  <c r="Z41" i="2"/>
  <c r="AA41" i="2"/>
  <c r="Z25" i="2"/>
  <c r="AA25" i="2"/>
  <c r="Z569" i="2"/>
  <c r="AA569" i="2"/>
  <c r="Z553" i="2"/>
  <c r="AA553" i="2"/>
  <c r="Z537" i="2"/>
  <c r="AA537" i="2"/>
  <c r="Z521" i="2"/>
  <c r="AA521" i="2"/>
  <c r="Z505" i="2"/>
  <c r="AA505" i="2"/>
  <c r="Z489" i="2"/>
  <c r="AA489" i="2"/>
  <c r="Z473" i="2"/>
  <c r="AA473" i="2"/>
  <c r="Z457" i="2"/>
  <c r="AA457" i="2"/>
  <c r="Z441" i="2"/>
  <c r="AA441" i="2"/>
  <c r="Z425" i="2"/>
  <c r="AA425" i="2"/>
  <c r="Z409" i="2"/>
  <c r="AA409" i="2"/>
  <c r="Z393" i="2"/>
  <c r="AA393" i="2"/>
  <c r="Z377" i="2"/>
  <c r="AA377" i="2"/>
  <c r="Z361" i="2"/>
  <c r="AA361" i="2"/>
  <c r="Z345" i="2"/>
  <c r="AA345" i="2"/>
  <c r="Z329" i="2"/>
  <c r="AA329" i="2"/>
  <c r="Z313" i="2"/>
  <c r="AA313" i="2"/>
  <c r="Z297" i="2"/>
  <c r="AA297" i="2"/>
  <c r="Z281" i="2"/>
  <c r="AA281" i="2"/>
  <c r="Z265" i="2"/>
  <c r="AA265" i="2"/>
  <c r="Z238" i="2"/>
  <c r="AA238" i="2"/>
  <c r="Z222" i="2"/>
  <c r="AA222" i="2"/>
  <c r="Z206" i="2"/>
  <c r="AA206" i="2"/>
  <c r="Z190" i="2"/>
  <c r="AA190" i="2"/>
  <c r="Z174" i="2"/>
  <c r="AA174" i="2"/>
  <c r="Z158" i="2"/>
  <c r="AA158" i="2"/>
  <c r="Z142" i="2"/>
  <c r="AA142" i="2"/>
  <c r="Z126" i="2"/>
  <c r="AA126" i="2"/>
  <c r="Z110" i="2"/>
  <c r="AA110" i="2"/>
  <c r="Z94" i="2"/>
  <c r="AA94" i="2"/>
  <c r="Z78" i="2"/>
  <c r="AA78" i="2"/>
  <c r="Z62" i="2"/>
  <c r="AA62" i="2"/>
  <c r="AA46" i="2"/>
  <c r="Z46" i="2"/>
  <c r="Z30" i="2"/>
  <c r="AA30" i="2"/>
  <c r="Z14" i="2"/>
  <c r="AA14" i="2"/>
  <c r="Z580" i="2"/>
  <c r="AA580" i="2"/>
  <c r="Z558" i="2"/>
  <c r="AA558" i="2"/>
  <c r="Z542" i="2"/>
  <c r="AA542" i="2"/>
  <c r="Z526" i="2"/>
  <c r="AA526" i="2"/>
  <c r="Z510" i="2"/>
  <c r="AA510" i="2"/>
  <c r="Z494" i="2"/>
  <c r="AA494" i="2"/>
  <c r="Z478" i="2"/>
  <c r="AA478" i="2"/>
  <c r="Z462" i="2"/>
  <c r="AA462" i="2"/>
  <c r="Z446" i="2"/>
  <c r="AA446" i="2"/>
  <c r="Z430" i="2"/>
  <c r="AA430" i="2"/>
  <c r="Z414" i="2"/>
  <c r="AA414" i="2"/>
  <c r="Z398" i="2"/>
  <c r="AA398" i="2"/>
  <c r="Z382" i="2"/>
  <c r="AA382" i="2"/>
  <c r="Z366" i="2"/>
  <c r="AA366" i="2"/>
  <c r="Z350" i="2"/>
  <c r="AA350" i="2"/>
  <c r="Z334" i="2"/>
  <c r="AA334" i="2"/>
  <c r="Z318" i="2"/>
  <c r="AA318" i="2"/>
  <c r="Z302" i="2"/>
  <c r="AA302" i="2"/>
  <c r="Z286" i="2"/>
  <c r="AA286" i="2"/>
  <c r="Z270" i="2"/>
  <c r="AA270" i="2"/>
  <c r="Z254" i="2"/>
  <c r="AA254" i="2"/>
  <c r="Z243" i="2"/>
  <c r="AA243" i="2"/>
  <c r="Z227" i="2"/>
  <c r="AA227" i="2"/>
  <c r="Z211" i="2"/>
  <c r="AA211" i="2"/>
  <c r="Z195" i="2"/>
  <c r="AA195" i="2"/>
  <c r="Z179" i="2"/>
  <c r="AA179" i="2"/>
  <c r="Z163" i="2"/>
  <c r="AA163" i="2"/>
  <c r="Z147" i="2"/>
  <c r="AA147" i="2"/>
  <c r="Z131" i="2"/>
  <c r="AA131" i="2"/>
  <c r="Z115" i="2"/>
  <c r="AA115" i="2"/>
  <c r="Z99" i="2"/>
  <c r="AA99" i="2"/>
  <c r="Z83" i="2"/>
  <c r="AA83" i="2"/>
  <c r="Z67" i="2"/>
  <c r="AA67" i="2"/>
  <c r="Z51" i="2"/>
  <c r="AA51" i="2"/>
  <c r="Z35" i="2"/>
  <c r="AA35" i="2"/>
  <c r="Z19" i="2"/>
  <c r="AA19" i="2"/>
  <c r="Z574" i="2"/>
  <c r="AA574" i="2"/>
  <c r="Z563" i="2"/>
  <c r="AA563" i="2"/>
  <c r="Z547" i="2"/>
  <c r="AA547" i="2"/>
  <c r="Z531" i="2"/>
  <c r="AA531" i="2"/>
  <c r="Z515" i="2"/>
  <c r="AA515" i="2"/>
  <c r="Z499" i="2"/>
  <c r="AA499" i="2"/>
  <c r="Z483" i="2"/>
  <c r="AA483" i="2"/>
  <c r="Z467" i="2"/>
  <c r="AA467" i="2"/>
  <c r="Z451" i="2"/>
  <c r="AA451" i="2"/>
  <c r="Z435" i="2"/>
  <c r="AA435" i="2"/>
  <c r="Z419" i="2"/>
  <c r="AA419" i="2"/>
  <c r="Z403" i="2"/>
  <c r="AA403" i="2"/>
  <c r="Z387" i="2"/>
  <c r="AA387" i="2"/>
  <c r="Z371" i="2"/>
  <c r="AA371" i="2"/>
  <c r="Z355" i="2"/>
  <c r="AA355" i="2"/>
  <c r="Z339" i="2"/>
  <c r="AA339" i="2"/>
  <c r="Z323" i="2"/>
  <c r="AA323" i="2"/>
  <c r="Z307" i="2"/>
  <c r="AA307" i="2"/>
  <c r="Z291" i="2"/>
  <c r="AA291" i="2"/>
  <c r="Z275" i="2"/>
  <c r="AA275" i="2"/>
  <c r="Z259" i="2"/>
  <c r="AA259" i="2"/>
  <c r="Z248" i="2"/>
  <c r="AA248" i="2"/>
  <c r="Z232" i="2"/>
  <c r="AA232" i="2"/>
  <c r="Z216" i="2"/>
  <c r="AA216" i="2"/>
  <c r="Z200" i="2"/>
  <c r="AA200" i="2"/>
  <c r="Z184" i="2"/>
  <c r="AA184" i="2"/>
  <c r="Z168" i="2"/>
  <c r="AA168" i="2"/>
  <c r="Z152" i="2"/>
  <c r="AA152" i="2"/>
  <c r="Z136" i="2"/>
  <c r="AA136" i="2"/>
  <c r="Z120" i="2"/>
  <c r="AA120" i="2"/>
  <c r="Z104" i="2"/>
  <c r="AA104" i="2"/>
  <c r="Z88" i="2"/>
  <c r="AA88" i="2"/>
  <c r="Z72" i="2"/>
  <c r="AA72" i="2"/>
  <c r="AA56" i="2"/>
  <c r="Z56" i="2"/>
  <c r="Z40" i="2"/>
  <c r="AA40" i="2"/>
  <c r="Z24" i="2"/>
  <c r="AA24" i="2"/>
  <c r="Z568" i="2"/>
  <c r="AA568" i="2"/>
  <c r="Z552" i="2"/>
  <c r="AA552" i="2"/>
  <c r="Z536" i="2"/>
  <c r="AA536" i="2"/>
  <c r="Z520" i="2"/>
  <c r="AA520" i="2"/>
  <c r="Z504" i="2"/>
  <c r="AA504" i="2"/>
  <c r="Z488" i="2"/>
  <c r="AA488" i="2"/>
  <c r="Z472" i="2"/>
  <c r="AA472" i="2"/>
  <c r="Z456" i="2"/>
  <c r="AA456" i="2"/>
  <c r="Z440" i="2"/>
  <c r="AA440" i="2"/>
  <c r="Z424" i="2"/>
  <c r="AA424" i="2"/>
  <c r="Z408" i="2"/>
  <c r="AA408" i="2"/>
  <c r="Z392" i="2"/>
  <c r="AA392" i="2"/>
  <c r="Z376" i="2"/>
  <c r="AA376" i="2"/>
  <c r="Z360" i="2"/>
  <c r="AA360" i="2"/>
  <c r="Z344" i="2"/>
  <c r="AA344" i="2"/>
  <c r="Z328" i="2"/>
  <c r="AA328" i="2"/>
  <c r="Z312" i="2"/>
  <c r="AA312" i="2"/>
  <c r="Z296" i="2"/>
  <c r="AA296" i="2"/>
  <c r="Z280" i="2"/>
  <c r="AA280" i="2"/>
  <c r="Z264" i="2"/>
  <c r="AA264" i="2"/>
  <c r="Z237" i="2"/>
  <c r="AA237" i="2"/>
  <c r="Z221" i="2"/>
  <c r="AA221" i="2"/>
  <c r="Z205" i="2"/>
  <c r="AA205" i="2"/>
  <c r="Z189" i="2"/>
  <c r="AA189" i="2"/>
  <c r="Z173" i="2"/>
  <c r="AA173" i="2"/>
  <c r="Z157" i="2"/>
  <c r="AA157" i="2"/>
  <c r="Z141" i="2"/>
  <c r="AA141" i="2"/>
  <c r="Z125" i="2"/>
  <c r="AA125" i="2"/>
  <c r="Z109" i="2"/>
  <c r="AA109" i="2"/>
  <c r="Z93" i="2"/>
  <c r="AA93" i="2"/>
  <c r="Z77" i="2"/>
  <c r="AA77" i="2"/>
  <c r="Z61" i="2"/>
  <c r="AA61" i="2"/>
  <c r="Z45" i="2"/>
  <c r="AA45" i="2"/>
  <c r="Z29" i="2"/>
  <c r="AA29" i="2"/>
  <c r="Z579" i="2"/>
  <c r="AA579" i="2"/>
  <c r="Z573" i="2"/>
  <c r="AA573" i="2"/>
  <c r="Z557" i="2"/>
  <c r="AA557" i="2"/>
  <c r="Z541" i="2"/>
  <c r="AA541" i="2"/>
  <c r="Z525" i="2"/>
  <c r="AA525" i="2"/>
  <c r="Z509" i="2"/>
  <c r="AA509" i="2"/>
  <c r="Z493" i="2"/>
  <c r="AA493" i="2"/>
  <c r="Z477" i="2"/>
  <c r="AA477" i="2"/>
  <c r="Z461" i="2"/>
  <c r="AA461" i="2"/>
  <c r="Z445" i="2"/>
  <c r="AA445" i="2"/>
  <c r="Z429" i="2"/>
  <c r="AA429" i="2"/>
  <c r="Z413" i="2"/>
  <c r="AA413" i="2"/>
  <c r="Z397" i="2"/>
  <c r="AA397" i="2"/>
  <c r="Z381" i="2"/>
  <c r="AA381" i="2"/>
  <c r="Z365" i="2"/>
  <c r="AA365" i="2"/>
  <c r="Z349" i="2"/>
  <c r="AA349" i="2"/>
  <c r="Z333" i="2"/>
  <c r="AA333" i="2"/>
  <c r="Z317" i="2"/>
  <c r="AA317" i="2"/>
  <c r="Z301" i="2"/>
  <c r="AA301" i="2"/>
  <c r="Z285" i="2"/>
  <c r="AA285" i="2"/>
  <c r="Z269" i="2"/>
  <c r="AA269" i="2"/>
  <c r="Z253" i="2"/>
  <c r="AA253" i="2"/>
  <c r="Z242" i="2"/>
  <c r="AA242" i="2"/>
  <c r="Z226" i="2"/>
  <c r="AA226" i="2"/>
  <c r="Z210" i="2"/>
  <c r="AA210" i="2"/>
  <c r="Z194" i="2"/>
  <c r="AA194" i="2"/>
  <c r="Z178" i="2"/>
  <c r="AA178" i="2"/>
  <c r="Z162" i="2"/>
  <c r="AA162" i="2"/>
  <c r="Z146" i="2"/>
  <c r="AA146" i="2"/>
  <c r="Z130" i="2"/>
  <c r="AA130" i="2"/>
  <c r="Z114" i="2"/>
  <c r="AA114" i="2"/>
  <c r="Z98" i="2"/>
  <c r="AA98" i="2"/>
  <c r="Z82" i="2"/>
  <c r="AA82" i="2"/>
  <c r="Z66" i="2"/>
  <c r="AA66" i="2"/>
  <c r="Z50" i="2"/>
  <c r="AA50" i="2"/>
  <c r="AA34" i="2"/>
  <c r="Z34" i="2"/>
  <c r="Z18" i="2"/>
  <c r="AA18" i="2"/>
  <c r="Z562" i="2"/>
  <c r="AA562" i="2"/>
  <c r="Z546" i="2"/>
  <c r="AA546" i="2"/>
  <c r="Z530" i="2"/>
  <c r="AA530" i="2"/>
  <c r="Z514" i="2"/>
  <c r="AA514" i="2"/>
  <c r="Z498" i="2"/>
  <c r="AA498" i="2"/>
  <c r="Z482" i="2"/>
  <c r="AA482" i="2"/>
  <c r="Z466" i="2"/>
  <c r="AA466" i="2"/>
  <c r="Z450" i="2"/>
  <c r="AA450" i="2"/>
  <c r="Z434" i="2"/>
  <c r="AA434" i="2"/>
  <c r="Z418" i="2"/>
  <c r="AA418" i="2"/>
  <c r="Z402" i="2"/>
  <c r="AA402" i="2"/>
  <c r="Z386" i="2"/>
  <c r="AA386" i="2"/>
  <c r="Z370" i="2"/>
  <c r="AA370" i="2"/>
  <c r="Z354" i="2"/>
  <c r="AA354" i="2"/>
  <c r="Z338" i="2"/>
  <c r="AA338" i="2"/>
  <c r="Z322" i="2"/>
  <c r="AA322" i="2"/>
  <c r="Z306" i="2"/>
  <c r="AA306" i="2"/>
  <c r="Z290" i="2"/>
  <c r="AA290" i="2"/>
  <c r="Z274" i="2"/>
  <c r="AA274" i="2"/>
  <c r="Z258" i="2"/>
  <c r="AA258" i="2"/>
  <c r="Z247" i="2"/>
  <c r="AA247" i="2"/>
  <c r="Z231" i="2"/>
  <c r="AA231" i="2"/>
  <c r="Z215" i="2"/>
  <c r="AA215" i="2"/>
  <c r="Z199" i="2"/>
  <c r="AA199" i="2"/>
  <c r="Z183" i="2"/>
  <c r="AA183" i="2"/>
  <c r="Z167" i="2"/>
  <c r="AA167" i="2"/>
  <c r="Z151" i="2"/>
  <c r="AA151" i="2"/>
  <c r="Z135" i="2"/>
  <c r="AA135" i="2"/>
  <c r="Z119" i="2"/>
  <c r="AA119" i="2"/>
  <c r="Z103" i="2"/>
  <c r="AA103" i="2"/>
  <c r="Z87" i="2"/>
  <c r="AA87" i="2"/>
  <c r="Z71" i="2"/>
  <c r="AA71" i="2"/>
  <c r="Z55" i="2"/>
  <c r="AA55" i="2"/>
  <c r="Z39" i="2"/>
  <c r="AA39" i="2"/>
  <c r="AA23" i="2"/>
  <c r="Z23" i="2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B34" i="28"/>
  <c r="D34" i="28" s="1"/>
  <c r="C34" i="28"/>
  <c r="B35" i="28"/>
  <c r="D35" i="28" s="1"/>
  <c r="C35" i="28"/>
  <c r="B36" i="28"/>
  <c r="D36" i="28" s="1"/>
  <c r="C36" i="28"/>
  <c r="B37" i="28"/>
  <c r="D37" i="28" s="1"/>
  <c r="C37" i="28"/>
  <c r="B38" i="28"/>
  <c r="D38" i="28" s="1"/>
  <c r="C38" i="28"/>
  <c r="B39" i="28"/>
  <c r="D39" i="28" s="1"/>
  <c r="C39" i="28"/>
  <c r="B40" i="28"/>
  <c r="D40" i="28" s="1"/>
  <c r="C40" i="28"/>
  <c r="B41" i="28"/>
  <c r="D41" i="28" s="1"/>
  <c r="C41" i="28"/>
  <c r="B42" i="28"/>
  <c r="D42" i="28" s="1"/>
  <c r="C42" i="28"/>
  <c r="B43" i="28"/>
  <c r="D43" i="28" s="1"/>
  <c r="C43" i="28"/>
  <c r="B44" i="28"/>
  <c r="D44" i="28" s="1"/>
  <c r="C44" i="28"/>
  <c r="B45" i="28"/>
  <c r="D45" i="28" s="1"/>
  <c r="C45" i="28"/>
  <c r="B46" i="28"/>
  <c r="D46" i="28" s="1"/>
  <c r="C46" i="28"/>
  <c r="B47" i="28"/>
  <c r="D47" i="28" s="1"/>
  <c r="C47" i="28"/>
  <c r="B48" i="28"/>
  <c r="D48" i="28" s="1"/>
  <c r="C48" i="28"/>
  <c r="J56" i="1" l="1"/>
  <c r="J46" i="1"/>
  <c r="E100" i="10"/>
  <c r="E101" i="10"/>
  <c r="E102" i="10"/>
  <c r="E103" i="10"/>
  <c r="E104" i="10"/>
  <c r="E105" i="10"/>
  <c r="E106" i="10"/>
  <c r="E107" i="10"/>
  <c r="E108" i="10"/>
  <c r="B49" i="28"/>
  <c r="D49" i="28" s="1"/>
  <c r="C49" i="28"/>
  <c r="B50" i="28"/>
  <c r="D50" i="28" s="1"/>
  <c r="C50" i="28"/>
  <c r="A22" i="28"/>
  <c r="A43" i="28" s="1"/>
  <c r="A23" i="28"/>
  <c r="A44" i="28" s="1"/>
  <c r="A24" i="28"/>
  <c r="A45" i="28" s="1"/>
  <c r="A25" i="28"/>
  <c r="A46" i="28" s="1"/>
  <c r="A26" i="28"/>
  <c r="A47" i="28" s="1"/>
  <c r="A27" i="28"/>
  <c r="A48" i="28" s="1"/>
  <c r="D14" i="2"/>
  <c r="D20" i="56" l="1"/>
  <c r="D21" i="56"/>
  <c r="D22" i="56"/>
  <c r="D23" i="56"/>
  <c r="D24" i="56"/>
  <c r="D25" i="56"/>
  <c r="D26" i="56"/>
  <c r="D27" i="56"/>
  <c r="D28" i="56"/>
  <c r="D29" i="56"/>
  <c r="AN23" i="56"/>
  <c r="AN22" i="56"/>
  <c r="AN21" i="56"/>
  <c r="AN20" i="56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J62" i="1" l="1"/>
  <c r="G62" i="1"/>
  <c r="J29" i="1"/>
  <c r="J27" i="1"/>
  <c r="J24" i="1"/>
  <c r="J23" i="1"/>
  <c r="J40" i="1"/>
  <c r="J39" i="1"/>
  <c r="J20" i="1"/>
  <c r="A14" i="28"/>
  <c r="A13" i="28"/>
  <c r="A18" i="28"/>
  <c r="A17" i="28"/>
  <c r="A16" i="28"/>
  <c r="A15" i="28"/>
  <c r="A21" i="28"/>
  <c r="A42" i="28" s="1"/>
  <c r="A20" i="28"/>
  <c r="A41" i="28" s="1"/>
  <c r="A19" i="28"/>
  <c r="A40" i="28" l="1"/>
  <c r="A36" i="28"/>
  <c r="A37" i="28"/>
  <c r="A38" i="28"/>
  <c r="A39" i="28"/>
  <c r="A34" i="28"/>
  <c r="A35" i="28"/>
  <c r="M14" i="1" l="1"/>
  <c r="K14" i="1"/>
  <c r="J14" i="1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A51" i="28" l="1"/>
  <c r="A49" i="28"/>
  <c r="A28" i="28"/>
  <c r="A50" i="28" s="1"/>
  <c r="J52" i="1" l="1"/>
  <c r="J41" i="1"/>
  <c r="J32" i="1"/>
  <c r="J37" i="1"/>
  <c r="J65" i="1" l="1"/>
  <c r="J64" i="1"/>
  <c r="J63" i="1"/>
  <c r="J58" i="1"/>
  <c r="J57" i="1"/>
  <c r="J55" i="1"/>
  <c r="J54" i="1"/>
  <c r="J53" i="1"/>
  <c r="J51" i="1"/>
  <c r="J50" i="1"/>
  <c r="J49" i="1"/>
  <c r="J48" i="1"/>
  <c r="J47" i="1"/>
  <c r="J45" i="1"/>
  <c r="J44" i="1"/>
  <c r="J42" i="1"/>
  <c r="J38" i="1"/>
  <c r="J36" i="1"/>
  <c r="J35" i="1"/>
  <c r="J34" i="1"/>
  <c r="J33" i="1"/>
  <c r="J31" i="1"/>
  <c r="J30" i="1"/>
  <c r="J26" i="1"/>
  <c r="J28" i="1"/>
  <c r="J25" i="1"/>
  <c r="J22" i="1"/>
  <c r="J21" i="1"/>
  <c r="J19" i="1"/>
  <c r="J18" i="1"/>
  <c r="J16" i="1"/>
  <c r="S576" i="2" l="1"/>
  <c r="Q576" i="2" s="1"/>
  <c r="S580" i="2"/>
  <c r="Q580" i="2" s="1"/>
  <c r="S573" i="2"/>
  <c r="Q573" i="2" s="1"/>
  <c r="S250" i="2"/>
  <c r="Q250" i="2" s="1"/>
  <c r="J17" i="1"/>
  <c r="I533" i="2" l="1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E11" i="31"/>
  <c r="I14" i="58"/>
  <c r="O14" i="58"/>
  <c r="U14" i="58"/>
  <c r="R14" i="58" s="1"/>
  <c r="V14" i="58"/>
  <c r="S14" i="58" s="1"/>
  <c r="W14" i="58"/>
  <c r="T14" i="58" s="1"/>
  <c r="X14" i="58"/>
  <c r="I15" i="58"/>
  <c r="O15" i="58"/>
  <c r="U15" i="58"/>
  <c r="R15" i="58" s="1"/>
  <c r="V15" i="58"/>
  <c r="S15" i="58" s="1"/>
  <c r="W15" i="58"/>
  <c r="T15" i="58" s="1"/>
  <c r="X15" i="58"/>
  <c r="I16" i="58"/>
  <c r="O16" i="58"/>
  <c r="U16" i="58"/>
  <c r="R16" i="58" s="1"/>
  <c r="V16" i="58"/>
  <c r="S16" i="58" s="1"/>
  <c r="W16" i="58"/>
  <c r="T16" i="58" s="1"/>
  <c r="X16" i="58"/>
  <c r="I17" i="58"/>
  <c r="O17" i="58"/>
  <c r="U17" i="58"/>
  <c r="R17" i="58" s="1"/>
  <c r="V17" i="58"/>
  <c r="S17" i="58" s="1"/>
  <c r="W17" i="58"/>
  <c r="T17" i="58" s="1"/>
  <c r="X17" i="58"/>
  <c r="I18" i="58"/>
  <c r="O18" i="58"/>
  <c r="U18" i="58"/>
  <c r="R18" i="58" s="1"/>
  <c r="V18" i="58"/>
  <c r="S18" i="58" s="1"/>
  <c r="W18" i="58"/>
  <c r="T18" i="58" s="1"/>
  <c r="X18" i="58"/>
  <c r="I19" i="58"/>
  <c r="O19" i="58"/>
  <c r="U19" i="58"/>
  <c r="R19" i="58" s="1"/>
  <c r="V19" i="58"/>
  <c r="S19" i="58" s="1"/>
  <c r="W19" i="58"/>
  <c r="T19" i="58" s="1"/>
  <c r="X19" i="58"/>
  <c r="I20" i="58"/>
  <c r="O20" i="58"/>
  <c r="U20" i="58"/>
  <c r="R20" i="58" s="1"/>
  <c r="V20" i="58"/>
  <c r="S20" i="58" s="1"/>
  <c r="W20" i="58"/>
  <c r="T20" i="58" s="1"/>
  <c r="X20" i="58"/>
  <c r="I21" i="58"/>
  <c r="O21" i="58"/>
  <c r="U21" i="58"/>
  <c r="R21" i="58" s="1"/>
  <c r="V21" i="58"/>
  <c r="S21" i="58" s="1"/>
  <c r="W21" i="58"/>
  <c r="T21" i="58" s="1"/>
  <c r="X21" i="58"/>
  <c r="I22" i="58"/>
  <c r="O22" i="58"/>
  <c r="U22" i="58"/>
  <c r="R22" i="58" s="1"/>
  <c r="V22" i="58"/>
  <c r="S22" i="58" s="1"/>
  <c r="W22" i="58"/>
  <c r="T22" i="58" s="1"/>
  <c r="X22" i="58"/>
  <c r="I23" i="58"/>
  <c r="O23" i="58"/>
  <c r="U23" i="58"/>
  <c r="R23" i="58" s="1"/>
  <c r="V23" i="58"/>
  <c r="S23" i="58" s="1"/>
  <c r="W23" i="58"/>
  <c r="T23" i="58" s="1"/>
  <c r="X23" i="58"/>
  <c r="I24" i="58"/>
  <c r="O24" i="58"/>
  <c r="U24" i="58"/>
  <c r="R24" i="58" s="1"/>
  <c r="V24" i="58"/>
  <c r="S24" i="58" s="1"/>
  <c r="W24" i="58"/>
  <c r="T24" i="58" s="1"/>
  <c r="X24" i="58"/>
  <c r="I25" i="58"/>
  <c r="O25" i="58"/>
  <c r="U25" i="58"/>
  <c r="R25" i="58" s="1"/>
  <c r="V25" i="58"/>
  <c r="S25" i="58" s="1"/>
  <c r="W25" i="58"/>
  <c r="T25" i="58" s="1"/>
  <c r="X25" i="58"/>
  <c r="I26" i="58"/>
  <c r="O26" i="58"/>
  <c r="U26" i="58"/>
  <c r="R26" i="58" s="1"/>
  <c r="V26" i="58"/>
  <c r="S26" i="58" s="1"/>
  <c r="W26" i="58"/>
  <c r="T26" i="58" s="1"/>
  <c r="X26" i="58"/>
  <c r="I27" i="58"/>
  <c r="O27" i="58"/>
  <c r="AC27" i="58" s="1"/>
  <c r="U27" i="58"/>
  <c r="R27" i="58" s="1"/>
  <c r="V27" i="58"/>
  <c r="S27" i="58" s="1"/>
  <c r="W27" i="58"/>
  <c r="T27" i="58" s="1"/>
  <c r="X27" i="58"/>
  <c r="I28" i="58"/>
  <c r="O28" i="58"/>
  <c r="AC28" i="58" s="1"/>
  <c r="U28" i="58"/>
  <c r="R28" i="58" s="1"/>
  <c r="V28" i="58"/>
  <c r="S28" i="58" s="1"/>
  <c r="W28" i="58"/>
  <c r="T28" i="58" s="1"/>
  <c r="X28" i="58"/>
  <c r="I29" i="58"/>
  <c r="O29" i="58"/>
  <c r="AD29" i="58" s="1"/>
  <c r="U29" i="58"/>
  <c r="R29" i="58" s="1"/>
  <c r="V29" i="58"/>
  <c r="S29" i="58" s="1"/>
  <c r="W29" i="58"/>
  <c r="T29" i="58" s="1"/>
  <c r="X29" i="58"/>
  <c r="I30" i="58"/>
  <c r="O30" i="58"/>
  <c r="U30" i="58"/>
  <c r="R30" i="58" s="1"/>
  <c r="V30" i="58"/>
  <c r="S30" i="58" s="1"/>
  <c r="W30" i="58"/>
  <c r="T30" i="58" s="1"/>
  <c r="X30" i="58"/>
  <c r="I31" i="58"/>
  <c r="O31" i="58"/>
  <c r="U31" i="58"/>
  <c r="R31" i="58" s="1"/>
  <c r="V31" i="58"/>
  <c r="S31" i="58" s="1"/>
  <c r="W31" i="58"/>
  <c r="T31" i="58" s="1"/>
  <c r="X31" i="58"/>
  <c r="I32" i="58"/>
  <c r="O32" i="58"/>
  <c r="U32" i="58"/>
  <c r="R32" i="58" s="1"/>
  <c r="V32" i="58"/>
  <c r="S32" i="58" s="1"/>
  <c r="W32" i="58"/>
  <c r="T32" i="58" s="1"/>
  <c r="X32" i="58"/>
  <c r="I33" i="58"/>
  <c r="O33" i="58"/>
  <c r="U33" i="58"/>
  <c r="R33" i="58" s="1"/>
  <c r="V33" i="58"/>
  <c r="S33" i="58" s="1"/>
  <c r="W33" i="58"/>
  <c r="T33" i="58" s="1"/>
  <c r="X33" i="58"/>
  <c r="I34" i="58"/>
  <c r="O34" i="58"/>
  <c r="U34" i="58"/>
  <c r="R34" i="58" s="1"/>
  <c r="V34" i="58"/>
  <c r="S34" i="58" s="1"/>
  <c r="W34" i="58"/>
  <c r="T34" i="58" s="1"/>
  <c r="X34" i="58"/>
  <c r="I35" i="58"/>
  <c r="O35" i="58"/>
  <c r="U35" i="58"/>
  <c r="R35" i="58" s="1"/>
  <c r="V35" i="58"/>
  <c r="S35" i="58" s="1"/>
  <c r="W35" i="58"/>
  <c r="T35" i="58" s="1"/>
  <c r="X35" i="58"/>
  <c r="I36" i="58"/>
  <c r="O36" i="58"/>
  <c r="U36" i="58"/>
  <c r="R36" i="58" s="1"/>
  <c r="V36" i="58"/>
  <c r="S36" i="58" s="1"/>
  <c r="W36" i="58"/>
  <c r="T36" i="58" s="1"/>
  <c r="X36" i="58"/>
  <c r="AD25" i="58"/>
  <c r="AC25" i="58"/>
  <c r="G22" i="55"/>
  <c r="AD28" i="58" l="1"/>
  <c r="AD27" i="58"/>
  <c r="AC29" i="58"/>
  <c r="AE14" i="58" l="1"/>
  <c r="AD14" i="58"/>
  <c r="C65" i="28"/>
  <c r="D65" i="28" s="1"/>
  <c r="M63" i="1" l="1"/>
  <c r="K63" i="1"/>
  <c r="K65" i="1"/>
  <c r="K66" i="1"/>
  <c r="K73" i="1" l="1"/>
  <c r="M73" i="1"/>
  <c r="M74" i="1" l="1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N25" i="1" l="1"/>
  <c r="N41" i="1"/>
  <c r="N38" i="1"/>
  <c r="N54" i="1"/>
  <c r="N27" i="1"/>
  <c r="N43" i="1"/>
  <c r="N57" i="1"/>
  <c r="N29" i="1"/>
  <c r="N24" i="1"/>
  <c r="N40" i="1"/>
  <c r="N61" i="1"/>
  <c r="N21" i="1"/>
  <c r="N58" i="1"/>
  <c r="N44" i="1"/>
  <c r="N20" i="1"/>
  <c r="N42" i="1"/>
  <c r="N30" i="1"/>
  <c r="N49" i="1"/>
  <c r="N60" i="1"/>
  <c r="N32" i="1"/>
  <c r="N36" i="1"/>
  <c r="N62" i="1"/>
  <c r="N51" i="1"/>
  <c r="N39" i="1"/>
  <c r="N26" i="1"/>
  <c r="N31" i="1"/>
  <c r="N48" i="1"/>
  <c r="N15" i="1"/>
  <c r="N16" i="1"/>
  <c r="N19" i="1"/>
  <c r="N34" i="1"/>
  <c r="N18" i="1"/>
  <c r="N17" i="1"/>
  <c r="N47" i="1"/>
  <c r="N23" i="1"/>
  <c r="N66" i="1"/>
  <c r="N64" i="1"/>
  <c r="N63" i="1"/>
  <c r="N14" i="1"/>
  <c r="N73" i="1" l="1"/>
  <c r="L47" i="28" l="1"/>
  <c r="L48" i="28"/>
  <c r="L46" i="28"/>
  <c r="L44" i="28"/>
  <c r="L45" i="28"/>
  <c r="L41" i="28"/>
  <c r="L34" i="28"/>
  <c r="L35" i="28"/>
  <c r="L39" i="28"/>
  <c r="L43" i="28"/>
  <c r="L36" i="28"/>
  <c r="L42" i="28"/>
  <c r="L38" i="28"/>
  <c r="L37" i="28"/>
  <c r="L40" i="28"/>
  <c r="L23" i="28"/>
  <c r="L24" i="28"/>
  <c r="L25" i="28"/>
  <c r="L26" i="28"/>
  <c r="L27" i="28"/>
  <c r="L21" i="28"/>
  <c r="L22" i="28"/>
  <c r="L49" i="28"/>
  <c r="L50" i="28"/>
  <c r="Q50" i="28" s="1"/>
  <c r="L14" i="28"/>
  <c r="L13" i="28"/>
  <c r="L18" i="28"/>
  <c r="L16" i="28"/>
  <c r="L17" i="28"/>
  <c r="L15" i="28"/>
  <c r="L20" i="28"/>
  <c r="L19" i="28"/>
  <c r="E62" i="28"/>
  <c r="F62" i="28" s="1"/>
  <c r="G62" i="28" s="1"/>
  <c r="H62" i="28" s="1"/>
  <c r="I62" i="28" s="1"/>
  <c r="J62" i="28" s="1"/>
  <c r="K62" i="28" s="1"/>
  <c r="L75" i="55"/>
  <c r="L74" i="55"/>
  <c r="L73" i="55"/>
  <c r="L71" i="55"/>
  <c r="L70" i="55"/>
  <c r="L72" i="55"/>
  <c r="AC37" i="58" l="1"/>
  <c r="AC36" i="58"/>
  <c r="AC35" i="58"/>
  <c r="AD34" i="58"/>
  <c r="AD33" i="58"/>
  <c r="AD32" i="58"/>
  <c r="AD30" i="58"/>
  <c r="AC33" i="58" l="1"/>
  <c r="AC30" i="58"/>
  <c r="AC32" i="58"/>
  <c r="AC34" i="58"/>
  <c r="AD35" i="58"/>
  <c r="AD36" i="58"/>
  <c r="AD37" i="58"/>
  <c r="H73" i="31" l="1"/>
  <c r="G72" i="31"/>
  <c r="F71" i="31"/>
  <c r="J75" i="31"/>
  <c r="G10" i="58" l="1"/>
  <c r="G9" i="58"/>
  <c r="G7" i="58"/>
  <c r="G6" i="58"/>
  <c r="G5" i="58"/>
  <c r="E4" i="58"/>
  <c r="J41" i="28" l="1"/>
  <c r="J38" i="28"/>
  <c r="J48" i="28"/>
  <c r="J46" i="28"/>
  <c r="J39" i="28"/>
  <c r="J47" i="28"/>
  <c r="J40" i="28"/>
  <c r="J35" i="28"/>
  <c r="J44" i="28"/>
  <c r="J45" i="28"/>
  <c r="J43" i="28"/>
  <c r="J42" i="28"/>
  <c r="J37" i="28"/>
  <c r="J36" i="28"/>
  <c r="J34" i="28"/>
  <c r="J49" i="28"/>
  <c r="J50" i="28"/>
  <c r="M28" i="28"/>
  <c r="P16" i="55"/>
  <c r="J154" i="10" l="1"/>
  <c r="E26" i="33"/>
  <c r="G8" i="58" l="1"/>
  <c r="G6" i="2" l="1"/>
  <c r="G10" i="2"/>
  <c r="G9" i="2"/>
  <c r="G8" i="2"/>
  <c r="G7" i="2"/>
  <c r="G5" i="2"/>
  <c r="E99" i="10" l="1"/>
  <c r="H84" i="10" l="1"/>
  <c r="H79" i="10"/>
  <c r="H87" i="10" s="1"/>
  <c r="H59" i="10"/>
  <c r="H67" i="10" s="1"/>
  <c r="H39" i="10"/>
  <c r="H47" i="10" s="1"/>
  <c r="H64" i="10" l="1"/>
  <c r="H44" i="10"/>
  <c r="H86" i="10"/>
  <c r="H89" i="10" s="1"/>
  <c r="H91" i="10" s="1"/>
  <c r="H66" i="10"/>
  <c r="H46" i="10"/>
  <c r="H49" i="10" l="1"/>
  <c r="H51" i="10" s="1"/>
  <c r="H69" i="10"/>
  <c r="H71" i="10" s="1"/>
  <c r="I32" i="31" l="1"/>
  <c r="U16" i="55"/>
  <c r="X16" i="55"/>
  <c r="R16" i="55"/>
  <c r="E11" i="56" l="1"/>
  <c r="E10" i="56"/>
  <c r="E9" i="56"/>
  <c r="E8" i="56"/>
  <c r="E7" i="56"/>
  <c r="E6" i="56"/>
  <c r="L69" i="55" l="1"/>
  <c r="E35" i="31"/>
  <c r="E25" i="31"/>
  <c r="Y16" i="55"/>
  <c r="V16" i="55"/>
  <c r="Y24" i="55"/>
  <c r="X24" i="55"/>
  <c r="V24" i="55"/>
  <c r="U24" i="55"/>
  <c r="T24" i="55"/>
  <c r="R24" i="55"/>
  <c r="P24" i="55"/>
  <c r="O24" i="55"/>
  <c r="N24" i="55"/>
  <c r="E4" i="2" l="1"/>
  <c r="H19" i="10"/>
  <c r="H26" i="10" s="1"/>
  <c r="E157" i="10"/>
  <c r="F10" i="55"/>
  <c r="F9" i="55"/>
  <c r="F8" i="55"/>
  <c r="F7" i="55"/>
  <c r="F6" i="55"/>
  <c r="F5" i="55"/>
  <c r="F62" i="55"/>
  <c r="G51" i="55"/>
  <c r="G57" i="55" s="1"/>
  <c r="I43" i="55"/>
  <c r="Y27" i="55"/>
  <c r="X27" i="55"/>
  <c r="V27" i="55"/>
  <c r="U27" i="55"/>
  <c r="U29" i="55" s="1"/>
  <c r="T27" i="55"/>
  <c r="R27" i="55"/>
  <c r="P27" i="55"/>
  <c r="O27" i="55"/>
  <c r="N27" i="55"/>
  <c r="G18" i="55"/>
  <c r="C4" i="28"/>
  <c r="N25" i="31"/>
  <c r="G10" i="5"/>
  <c r="G9" i="5"/>
  <c r="G8" i="5"/>
  <c r="G7" i="5"/>
  <c r="G6" i="5"/>
  <c r="G5" i="5"/>
  <c r="F10" i="10"/>
  <c r="F9" i="10"/>
  <c r="F8" i="10"/>
  <c r="F7" i="10"/>
  <c r="F6" i="10"/>
  <c r="F5" i="10"/>
  <c r="F10" i="1"/>
  <c r="F9" i="1"/>
  <c r="F8" i="1"/>
  <c r="F7" i="1"/>
  <c r="F6" i="1"/>
  <c r="F5" i="1"/>
  <c r="C9" i="28"/>
  <c r="C5" i="28"/>
  <c r="C8" i="28"/>
  <c r="C7" i="28"/>
  <c r="C6" i="28"/>
  <c r="E10" i="31"/>
  <c r="E9" i="31"/>
  <c r="E8" i="31"/>
  <c r="H10" i="44"/>
  <c r="H9" i="44"/>
  <c r="H8" i="44"/>
  <c r="H27" i="28" l="1"/>
  <c r="H23" i="28"/>
  <c r="I23" i="28"/>
  <c r="H24" i="28"/>
  <c r="I24" i="28"/>
  <c r="H25" i="28"/>
  <c r="I25" i="28"/>
  <c r="H26" i="28"/>
  <c r="I26" i="28"/>
  <c r="I27" i="28"/>
  <c r="H21" i="28"/>
  <c r="I21" i="28"/>
  <c r="H22" i="28"/>
  <c r="I22" i="28"/>
  <c r="E21" i="28"/>
  <c r="E26" i="28"/>
  <c r="F22" i="28"/>
  <c r="F23" i="28"/>
  <c r="F21" i="28"/>
  <c r="F24" i="28"/>
  <c r="F25" i="28"/>
  <c r="F26" i="28"/>
  <c r="F27" i="28"/>
  <c r="E27" i="28"/>
  <c r="E23" i="28"/>
  <c r="E24" i="28"/>
  <c r="E22" i="28"/>
  <c r="E25" i="28"/>
  <c r="I17" i="28"/>
  <c r="H20" i="28"/>
  <c r="I14" i="28"/>
  <c r="H17" i="28"/>
  <c r="H14" i="28"/>
  <c r="I19" i="28"/>
  <c r="I16" i="28"/>
  <c r="H19" i="28"/>
  <c r="I20" i="28"/>
  <c r="I13" i="28"/>
  <c r="H16" i="28"/>
  <c r="H13" i="28"/>
  <c r="I15" i="28"/>
  <c r="H15" i="28"/>
  <c r="H18" i="28"/>
  <c r="I18" i="28"/>
  <c r="F14" i="28"/>
  <c r="E20" i="28"/>
  <c r="E15" i="28"/>
  <c r="F20" i="28"/>
  <c r="F19" i="28"/>
  <c r="F16" i="28"/>
  <c r="E17" i="28"/>
  <c r="E14" i="28"/>
  <c r="E13" i="28"/>
  <c r="E16" i="28"/>
  <c r="F18" i="28"/>
  <c r="F13" i="28"/>
  <c r="E18" i="28"/>
  <c r="F15" i="28"/>
  <c r="E19" i="28"/>
  <c r="F17" i="28"/>
  <c r="E65" i="28"/>
  <c r="F65" i="28" s="1"/>
  <c r="G65" i="28" s="1"/>
  <c r="H65" i="28" s="1"/>
  <c r="I65" i="28" s="1"/>
  <c r="N29" i="55"/>
  <c r="N31" i="55" s="1"/>
  <c r="N33" i="55" s="1"/>
  <c r="O69" i="55" s="1"/>
  <c r="H24" i="10"/>
  <c r="H27" i="10"/>
  <c r="F59" i="55"/>
  <c r="F60" i="55"/>
  <c r="F61" i="55"/>
  <c r="D25" i="31"/>
  <c r="P29" i="55"/>
  <c r="T29" i="55"/>
  <c r="T31" i="55" s="1"/>
  <c r="T33" i="55" s="1"/>
  <c r="O73" i="55" s="1"/>
  <c r="O29" i="55"/>
  <c r="O31" i="55" s="1"/>
  <c r="O33" i="55" s="1"/>
  <c r="O70" i="55" s="1"/>
  <c r="X29" i="55"/>
  <c r="X31" i="55" s="1"/>
  <c r="X33" i="55" s="1"/>
  <c r="R29" i="55"/>
  <c r="R31" i="55" s="1"/>
  <c r="R33" i="55" s="1"/>
  <c r="V29" i="55"/>
  <c r="V31" i="55" s="1"/>
  <c r="V33" i="55" s="1"/>
  <c r="O75" i="55" s="1"/>
  <c r="Y29" i="55"/>
  <c r="Y31" i="55" s="1"/>
  <c r="Y33" i="55" s="1"/>
  <c r="U31" i="55"/>
  <c r="U33" i="55" s="1"/>
  <c r="O74" i="55" s="1"/>
  <c r="Q47" i="28" l="1"/>
  <c r="Q37" i="28"/>
  <c r="Q42" i="28"/>
  <c r="Q34" i="28"/>
  <c r="Q35" i="28"/>
  <c r="Q38" i="28"/>
  <c r="Q46" i="28"/>
  <c r="Q43" i="28"/>
  <c r="Q45" i="28"/>
  <c r="Q44" i="28"/>
  <c r="Q48" i="28"/>
  <c r="Q36" i="28"/>
  <c r="Q40" i="28"/>
  <c r="Q41" i="28"/>
  <c r="Q39" i="28"/>
  <c r="K22" i="28"/>
  <c r="M22" i="28"/>
  <c r="K21" i="28"/>
  <c r="M21" i="28"/>
  <c r="K26" i="28"/>
  <c r="M26" i="28"/>
  <c r="M25" i="28"/>
  <c r="K25" i="28"/>
  <c r="M24" i="28"/>
  <c r="K24" i="28"/>
  <c r="M23" i="28"/>
  <c r="K23" i="28"/>
  <c r="K27" i="28"/>
  <c r="M27" i="28"/>
  <c r="M13" i="28"/>
  <c r="K13" i="28"/>
  <c r="M16" i="28"/>
  <c r="K16" i="28"/>
  <c r="M19" i="28"/>
  <c r="K19" i="28"/>
  <c r="M18" i="28"/>
  <c r="K18" i="28"/>
  <c r="M14" i="28"/>
  <c r="K14" i="28"/>
  <c r="M17" i="28"/>
  <c r="K17" i="28"/>
  <c r="M20" i="28"/>
  <c r="K20" i="28"/>
  <c r="M15" i="28"/>
  <c r="K15" i="28"/>
  <c r="Q49" i="28"/>
  <c r="J65" i="28"/>
  <c r="K65" i="28" s="1"/>
  <c r="H29" i="10"/>
  <c r="H31" i="10" s="1"/>
  <c r="H94" i="10" s="1"/>
  <c r="H99" i="10" s="1"/>
  <c r="G63" i="55"/>
  <c r="M38" i="55" s="1"/>
  <c r="P31" i="55"/>
  <c r="P33" i="55" s="1"/>
  <c r="O71" i="55" s="1"/>
  <c r="H109" i="10" l="1"/>
  <c r="H117" i="10"/>
  <c r="H125" i="10"/>
  <c r="H133" i="10"/>
  <c r="E34" i="28" s="1"/>
  <c r="H141" i="10"/>
  <c r="E42" i="28" s="1"/>
  <c r="H149" i="10"/>
  <c r="H110" i="10"/>
  <c r="H118" i="10"/>
  <c r="H126" i="10"/>
  <c r="H134" i="10"/>
  <c r="E35" i="28" s="1"/>
  <c r="H142" i="10"/>
  <c r="E43" i="28" s="1"/>
  <c r="H111" i="10"/>
  <c r="H119" i="10"/>
  <c r="H127" i="10"/>
  <c r="H135" i="10"/>
  <c r="E36" i="28" s="1"/>
  <c r="H143" i="10"/>
  <c r="E44" i="28" s="1"/>
  <c r="H112" i="10"/>
  <c r="H120" i="10"/>
  <c r="H128" i="10"/>
  <c r="H136" i="10"/>
  <c r="E37" i="28" s="1"/>
  <c r="H144" i="10"/>
  <c r="E45" i="28" s="1"/>
  <c r="H121" i="10"/>
  <c r="H129" i="10"/>
  <c r="H137" i="10"/>
  <c r="E38" i="28" s="1"/>
  <c r="H145" i="10"/>
  <c r="E46" i="28" s="1"/>
  <c r="H130" i="10"/>
  <c r="H138" i="10"/>
  <c r="E39" i="28" s="1"/>
  <c r="H146" i="10"/>
  <c r="E47" i="28" s="1"/>
  <c r="H113" i="10"/>
  <c r="H114" i="10"/>
  <c r="H122" i="10"/>
  <c r="H123" i="10"/>
  <c r="H131" i="10"/>
  <c r="H139" i="10"/>
  <c r="E40" i="28" s="1"/>
  <c r="H147" i="10"/>
  <c r="E48" i="28" s="1"/>
  <c r="H115" i="10"/>
  <c r="H116" i="10"/>
  <c r="H124" i="10"/>
  <c r="H132" i="10"/>
  <c r="H140" i="10"/>
  <c r="E41" i="28" s="1"/>
  <c r="H148" i="10"/>
  <c r="H102" i="10"/>
  <c r="H101" i="10"/>
  <c r="H103" i="10"/>
  <c r="H104" i="10"/>
  <c r="H105" i="10"/>
  <c r="H106" i="10"/>
  <c r="H107" i="10"/>
  <c r="H108" i="10"/>
  <c r="H100" i="10"/>
  <c r="X17" i="2"/>
  <c r="X26" i="2"/>
  <c r="X24" i="2"/>
  <c r="X15" i="2"/>
  <c r="X22" i="2"/>
  <c r="X20" i="2"/>
  <c r="X27" i="2"/>
  <c r="X18" i="2"/>
  <c r="X25" i="2"/>
  <c r="X16" i="2"/>
  <c r="X23" i="2"/>
  <c r="X14" i="2"/>
  <c r="X21" i="2"/>
  <c r="X19" i="2"/>
  <c r="X80" i="2"/>
  <c r="X72" i="2"/>
  <c r="X64" i="2"/>
  <c r="X56" i="2"/>
  <c r="X48" i="2"/>
  <c r="X40" i="2"/>
  <c r="X32" i="2"/>
  <c r="X83" i="2"/>
  <c r="X75" i="2"/>
  <c r="X67" i="2"/>
  <c r="X59" i="2"/>
  <c r="X51" i="2"/>
  <c r="X43" i="2"/>
  <c r="X35" i="2"/>
  <c r="X78" i="2"/>
  <c r="X70" i="2"/>
  <c r="X62" i="2"/>
  <c r="X54" i="2"/>
  <c r="X46" i="2"/>
  <c r="X38" i="2"/>
  <c r="X30" i="2"/>
  <c r="X81" i="2"/>
  <c r="X73" i="2"/>
  <c r="X65" i="2"/>
  <c r="X57" i="2"/>
  <c r="X49" i="2"/>
  <c r="X41" i="2"/>
  <c r="X33" i="2"/>
  <c r="X76" i="2"/>
  <c r="X68" i="2"/>
  <c r="X60" i="2"/>
  <c r="X52" i="2"/>
  <c r="X44" i="2"/>
  <c r="X36" i="2"/>
  <c r="X28" i="2"/>
  <c r="X79" i="2"/>
  <c r="X71" i="2"/>
  <c r="X63" i="2"/>
  <c r="X55" i="2"/>
  <c r="X47" i="2"/>
  <c r="X39" i="2"/>
  <c r="X31" i="2"/>
  <c r="X45" i="2"/>
  <c r="X66" i="2"/>
  <c r="X42" i="2"/>
  <c r="X61" i="2"/>
  <c r="X82" i="2"/>
  <c r="X37" i="2"/>
  <c r="X77" i="2"/>
  <c r="X58" i="2"/>
  <c r="X34" i="2"/>
  <c r="X53" i="2"/>
  <c r="X74" i="2"/>
  <c r="X29" i="2"/>
  <c r="X69" i="2"/>
  <c r="X50" i="2"/>
  <c r="X345" i="2"/>
  <c r="X337" i="2"/>
  <c r="X329" i="2"/>
  <c r="X321" i="2"/>
  <c r="X313" i="2"/>
  <c r="X305" i="2"/>
  <c r="X297" i="2"/>
  <c r="X289" i="2"/>
  <c r="X281" i="2"/>
  <c r="X273" i="2"/>
  <c r="X265" i="2"/>
  <c r="X257" i="2"/>
  <c r="X252" i="2"/>
  <c r="X247" i="2"/>
  <c r="X239" i="2"/>
  <c r="X234" i="2"/>
  <c r="X226" i="2"/>
  <c r="X218" i="2"/>
  <c r="X210" i="2"/>
  <c r="X202" i="2"/>
  <c r="X194" i="2"/>
  <c r="X186" i="2"/>
  <c r="X178" i="2"/>
  <c r="X168" i="2"/>
  <c r="X160" i="2"/>
  <c r="X152" i="2"/>
  <c r="X144" i="2"/>
  <c r="X136" i="2"/>
  <c r="X348" i="2"/>
  <c r="X340" i="2"/>
  <c r="X332" i="2"/>
  <c r="X324" i="2"/>
  <c r="X316" i="2"/>
  <c r="X308" i="2"/>
  <c r="X300" i="2"/>
  <c r="X292" i="2"/>
  <c r="X284" i="2"/>
  <c r="X276" i="2"/>
  <c r="X268" i="2"/>
  <c r="X260" i="2"/>
  <c r="X250" i="2"/>
  <c r="X242" i="2"/>
  <c r="X229" i="2"/>
  <c r="X221" i="2"/>
  <c r="X213" i="2"/>
  <c r="X205" i="2"/>
  <c r="X171" i="2"/>
  <c r="X163" i="2"/>
  <c r="X155" i="2"/>
  <c r="X147" i="2"/>
  <c r="X139" i="2"/>
  <c r="X131" i="2"/>
  <c r="X343" i="2"/>
  <c r="X335" i="2"/>
  <c r="X327" i="2"/>
  <c r="X319" i="2"/>
  <c r="X311" i="2"/>
  <c r="X303" i="2"/>
  <c r="X295" i="2"/>
  <c r="X287" i="2"/>
  <c r="X279" i="2"/>
  <c r="X271" i="2"/>
  <c r="X263" i="2"/>
  <c r="X255" i="2"/>
  <c r="X245" i="2"/>
  <c r="X237" i="2"/>
  <c r="X232" i="2"/>
  <c r="X224" i="2"/>
  <c r="X216" i="2"/>
  <c r="X208" i="2"/>
  <c r="X200" i="2"/>
  <c r="X192" i="2"/>
  <c r="X184" i="2"/>
  <c r="X174" i="2"/>
  <c r="X166" i="2"/>
  <c r="X158" i="2"/>
  <c r="X150" i="2"/>
  <c r="X142" i="2"/>
  <c r="X134" i="2"/>
  <c r="X346" i="2"/>
  <c r="X338" i="2"/>
  <c r="X330" i="2"/>
  <c r="X322" i="2"/>
  <c r="X314" i="2"/>
  <c r="X306" i="2"/>
  <c r="X298" i="2"/>
  <c r="X290" i="2"/>
  <c r="X282" i="2"/>
  <c r="X274" i="2"/>
  <c r="X266" i="2"/>
  <c r="X258" i="2"/>
  <c r="X253" i="2"/>
  <c r="X248" i="2"/>
  <c r="X240" i="2"/>
  <c r="X235" i="2"/>
  <c r="X227" i="2"/>
  <c r="X219" i="2"/>
  <c r="X211" i="2"/>
  <c r="X203" i="2"/>
  <c r="X195" i="2"/>
  <c r="X187" i="2"/>
  <c r="X169" i="2"/>
  <c r="X161" i="2"/>
  <c r="X153" i="2"/>
  <c r="X145" i="2"/>
  <c r="X137" i="2"/>
  <c r="X129" i="2"/>
  <c r="X341" i="2"/>
  <c r="X333" i="2"/>
  <c r="X325" i="2"/>
  <c r="X317" i="2"/>
  <c r="X309" i="2"/>
  <c r="X301" i="2"/>
  <c r="X293" i="2"/>
  <c r="X285" i="2"/>
  <c r="X277" i="2"/>
  <c r="X269" i="2"/>
  <c r="X261" i="2"/>
  <c r="X251" i="2"/>
  <c r="X243" i="2"/>
  <c r="X230" i="2"/>
  <c r="X222" i="2"/>
  <c r="X214" i="2"/>
  <c r="X206" i="2"/>
  <c r="X307" i="2"/>
  <c r="X246" i="2"/>
  <c r="X244" i="2"/>
  <c r="X220" i="2"/>
  <c r="X209" i="2"/>
  <c r="X207" i="2"/>
  <c r="X180" i="2"/>
  <c r="X130" i="2"/>
  <c r="X128" i="2"/>
  <c r="X114" i="2"/>
  <c r="X106" i="2"/>
  <c r="X98" i="2"/>
  <c r="X90" i="2"/>
  <c r="X339" i="2"/>
  <c r="X296" i="2"/>
  <c r="X294" i="2"/>
  <c r="X190" i="2"/>
  <c r="X328" i="2"/>
  <c r="X326" i="2"/>
  <c r="X283" i="2"/>
  <c r="X272" i="2"/>
  <c r="X270" i="2"/>
  <c r="X259" i="2"/>
  <c r="X188" i="2"/>
  <c r="X122" i="2"/>
  <c r="X117" i="2"/>
  <c r="X109" i="2"/>
  <c r="X101" i="2"/>
  <c r="X93" i="2"/>
  <c r="X85" i="2"/>
  <c r="X198" i="2"/>
  <c r="X143" i="2"/>
  <c r="X141" i="2"/>
  <c r="X315" i="2"/>
  <c r="X196" i="2"/>
  <c r="X151" i="2"/>
  <c r="X149" i="2"/>
  <c r="X120" i="2"/>
  <c r="X112" i="2"/>
  <c r="X104" i="2"/>
  <c r="X96" i="2"/>
  <c r="X88" i="2"/>
  <c r="X228" i="2"/>
  <c r="X217" i="2"/>
  <c r="X215" i="2"/>
  <c r="X159" i="2"/>
  <c r="X157" i="2"/>
  <c r="X135" i="2"/>
  <c r="X347" i="2"/>
  <c r="X304" i="2"/>
  <c r="X302" i="2"/>
  <c r="X204" i="2"/>
  <c r="X179" i="2"/>
  <c r="X177" i="2"/>
  <c r="X175" i="2"/>
  <c r="X173" i="2"/>
  <c r="X167" i="2"/>
  <c r="X165" i="2"/>
  <c r="X133" i="2"/>
  <c r="X127" i="2"/>
  <c r="X115" i="2"/>
  <c r="X107" i="2"/>
  <c r="X99" i="2"/>
  <c r="X91" i="2"/>
  <c r="X336" i="2"/>
  <c r="X334" i="2"/>
  <c r="X291" i="2"/>
  <c r="X256" i="2"/>
  <c r="X254" i="2"/>
  <c r="X241" i="2"/>
  <c r="X185" i="2"/>
  <c r="X181" i="2"/>
  <c r="X125" i="2"/>
  <c r="X323" i="2"/>
  <c r="X280" i="2"/>
  <c r="X278" i="2"/>
  <c r="X267" i="2"/>
  <c r="X183" i="2"/>
  <c r="X118" i="2"/>
  <c r="X110" i="2"/>
  <c r="X102" i="2"/>
  <c r="X94" i="2"/>
  <c r="X86" i="2"/>
  <c r="X193" i="2"/>
  <c r="X189" i="2"/>
  <c r="X123" i="2"/>
  <c r="X312" i="2"/>
  <c r="X310" i="2"/>
  <c r="X236" i="2"/>
  <c r="X225" i="2"/>
  <c r="X223" i="2"/>
  <c r="X191" i="2"/>
  <c r="X148" i="2"/>
  <c r="X146" i="2"/>
  <c r="X140" i="2"/>
  <c r="X113" i="2"/>
  <c r="X105" i="2"/>
  <c r="X97" i="2"/>
  <c r="X89" i="2"/>
  <c r="X299" i="2"/>
  <c r="X249" i="2"/>
  <c r="X212" i="2"/>
  <c r="X201" i="2"/>
  <c r="X197" i="2"/>
  <c r="X156" i="2"/>
  <c r="X154" i="2"/>
  <c r="X344" i="2"/>
  <c r="X342" i="2"/>
  <c r="X331" i="2"/>
  <c r="X238" i="2"/>
  <c r="X199" i="2"/>
  <c r="X172" i="2"/>
  <c r="X170" i="2"/>
  <c r="X164" i="2"/>
  <c r="X162" i="2"/>
  <c r="X138" i="2"/>
  <c r="X121" i="2"/>
  <c r="X116" i="2"/>
  <c r="X108" i="2"/>
  <c r="X100" i="2"/>
  <c r="X92" i="2"/>
  <c r="X84" i="2"/>
  <c r="X288" i="2"/>
  <c r="X286" i="2"/>
  <c r="X275" i="2"/>
  <c r="X264" i="2"/>
  <c r="X262" i="2"/>
  <c r="X132" i="2"/>
  <c r="X320" i="2"/>
  <c r="X318" i="2"/>
  <c r="X176" i="2"/>
  <c r="X119" i="2"/>
  <c r="X111" i="2"/>
  <c r="X103" i="2"/>
  <c r="X95" i="2"/>
  <c r="X87" i="2"/>
  <c r="X233" i="2"/>
  <c r="X231" i="2"/>
  <c r="X182" i="2"/>
  <c r="X126" i="2"/>
  <c r="X124" i="2"/>
  <c r="L65" i="28"/>
  <c r="C66" i="28" s="1"/>
  <c r="E49" i="28" l="1"/>
  <c r="E50" i="28"/>
  <c r="J51" i="31"/>
  <c r="J52" i="31" l="1"/>
  <c r="J50" i="31"/>
  <c r="J49" i="31"/>
  <c r="Y34" i="55"/>
  <c r="Y36" i="55" s="1"/>
  <c r="Y38" i="55" s="1"/>
  <c r="Y39" i="55" s="1"/>
  <c r="X34" i="55"/>
  <c r="X36" i="55" s="1"/>
  <c r="X38" i="55" s="1"/>
  <c r="X39" i="55" s="1"/>
  <c r="X44" i="55" l="1"/>
  <c r="X55" i="55" s="1"/>
  <c r="X57" i="55" s="1"/>
  <c r="X59" i="55" s="1"/>
  <c r="X65" i="55" s="1"/>
  <c r="Y44" i="55"/>
  <c r="Y55" i="55" s="1"/>
  <c r="Y57" i="55" s="1"/>
  <c r="Y59" i="55" s="1"/>
  <c r="Y61" i="55" s="1"/>
  <c r="X63" i="55" l="1"/>
  <c r="X61" i="55"/>
  <c r="Y65" i="55"/>
  <c r="Y63" i="55"/>
  <c r="H25" i="31" l="1"/>
  <c r="H20" i="31" l="1"/>
  <c r="H30" i="31"/>
  <c r="H24" i="31"/>
  <c r="N71" i="55" s="1"/>
  <c r="P71" i="55" s="1"/>
  <c r="H32" i="31"/>
  <c r="N74" i="55" s="1"/>
  <c r="P74" i="55" s="1"/>
  <c r="H22" i="31"/>
  <c r="N70" i="55" s="1"/>
  <c r="P70" i="55" s="1"/>
  <c r="H34" i="31"/>
  <c r="N75" i="55" s="1"/>
  <c r="P75" i="55" s="1"/>
  <c r="N73" i="55" l="1"/>
  <c r="P73" i="55" s="1"/>
  <c r="F32" i="31"/>
  <c r="J32" i="31"/>
  <c r="F34" i="31"/>
  <c r="F22" i="31"/>
  <c r="F24" i="31"/>
  <c r="F30" i="31"/>
  <c r="H35" i="31"/>
  <c r="F20" i="31"/>
  <c r="N69" i="55"/>
  <c r="F35" i="31" l="1"/>
  <c r="F25" i="31"/>
  <c r="P69" i="55"/>
  <c r="P76" i="55" s="1"/>
  <c r="N76" i="55"/>
  <c r="O78" i="55" l="1"/>
  <c r="G38" i="55" s="1"/>
  <c r="G40" i="55" s="1"/>
  <c r="G43" i="55" s="1"/>
  <c r="F154" i="10"/>
  <c r="G28" i="55" l="1"/>
  <c r="G33" i="55" s="1"/>
  <c r="O34" i="55" s="1"/>
  <c r="O36" i="55" s="1"/>
  <c r="O38" i="55" s="1"/>
  <c r="O39" i="55" s="1"/>
  <c r="U34" i="55"/>
  <c r="U36" i="55" s="1"/>
  <c r="U38" i="55" s="1"/>
  <c r="U39" i="55" s="1"/>
  <c r="V34" i="55"/>
  <c r="V36" i="55" s="1"/>
  <c r="V38" i="55" s="1"/>
  <c r="V39" i="55" s="1"/>
  <c r="P34" i="55"/>
  <c r="P36" i="55" s="1"/>
  <c r="P38" i="55" s="1"/>
  <c r="P39" i="55" s="1"/>
  <c r="H154" i="10"/>
  <c r="R34" i="55" l="1"/>
  <c r="R36" i="55" s="1"/>
  <c r="R38" i="55" s="1"/>
  <c r="R39" i="55" s="1"/>
  <c r="T34" i="55"/>
  <c r="T36" i="55" s="1"/>
  <c r="T38" i="55" s="1"/>
  <c r="T39" i="55" s="1"/>
  <c r="T44" i="55" s="1"/>
  <c r="T55" i="55" s="1"/>
  <c r="T57" i="55" s="1"/>
  <c r="T59" i="55" s="1"/>
  <c r="I30" i="31" s="1"/>
  <c r="J30" i="31" s="1"/>
  <c r="M34" i="55"/>
  <c r="N34" i="55"/>
  <c r="N36" i="55" s="1"/>
  <c r="V44" i="55"/>
  <c r="V55" i="55" s="1"/>
  <c r="V57" i="55" s="1"/>
  <c r="V59" i="55" s="1"/>
  <c r="U44" i="55"/>
  <c r="U55" i="55" s="1"/>
  <c r="U57" i="55" s="1"/>
  <c r="U59" i="55" s="1"/>
  <c r="U65" i="55" s="1"/>
  <c r="O44" i="55"/>
  <c r="O55" i="55" s="1"/>
  <c r="O57" i="55" s="1"/>
  <c r="O59" i="55" s="1"/>
  <c r="P44" i="55"/>
  <c r="P55" i="55" s="1"/>
  <c r="P57" i="55" s="1"/>
  <c r="P59" i="55" s="1"/>
  <c r="I24" i="31" s="1"/>
  <c r="J24" i="31" s="1"/>
  <c r="N38" i="55" l="1"/>
  <c r="N39" i="55" s="1"/>
  <c r="N44" i="55" s="1"/>
  <c r="R44" i="55"/>
  <c r="R55" i="55" s="1"/>
  <c r="R57" i="55" s="1"/>
  <c r="R59" i="55" s="1"/>
  <c r="I22" i="31"/>
  <c r="J22" i="31" s="1"/>
  <c r="V61" i="55"/>
  <c r="I34" i="31"/>
  <c r="J34" i="31" s="1"/>
  <c r="J35" i="31" s="1"/>
  <c r="L35" i="31" s="1"/>
  <c r="L30" i="28" s="1"/>
  <c r="V63" i="55"/>
  <c r="U63" i="55"/>
  <c r="V65" i="55"/>
  <c r="U61" i="55"/>
  <c r="T63" i="55"/>
  <c r="T61" i="55"/>
  <c r="T65" i="55"/>
  <c r="O63" i="55"/>
  <c r="O65" i="55"/>
  <c r="O61" i="55"/>
  <c r="P63" i="55"/>
  <c r="P65" i="55"/>
  <c r="P61" i="55"/>
  <c r="N55" i="55" l="1"/>
  <c r="N57" i="55" s="1"/>
  <c r="N59" i="55" s="1"/>
  <c r="G42" i="28"/>
  <c r="G36" i="28"/>
  <c r="G38" i="28"/>
  <c r="G46" i="28"/>
  <c r="G34" i="28"/>
  <c r="G40" i="28"/>
  <c r="G44" i="28"/>
  <c r="G48" i="28"/>
  <c r="G35" i="28"/>
  <c r="G37" i="28"/>
  <c r="G39" i="28"/>
  <c r="G47" i="28"/>
  <c r="G45" i="28"/>
  <c r="G43" i="28"/>
  <c r="G41" i="28"/>
  <c r="G49" i="28"/>
  <c r="G50" i="28"/>
  <c r="R63" i="55"/>
  <c r="R65" i="55"/>
  <c r="R61" i="55"/>
  <c r="N63" i="55" l="1"/>
  <c r="I20" i="31"/>
  <c r="J20" i="31" s="1"/>
  <c r="J25" i="31" s="1"/>
  <c r="L25" i="31" s="1"/>
  <c r="H30" i="28" s="1"/>
  <c r="H42" i="28" s="1"/>
  <c r="N61" i="55"/>
  <c r="N65" i="55"/>
  <c r="N35" i="31" l="1"/>
  <c r="L37" i="31" s="1"/>
  <c r="H45" i="28"/>
  <c r="H37" i="28"/>
  <c r="J39" i="31"/>
  <c r="J56" i="31" s="1"/>
  <c r="H47" i="28"/>
  <c r="H35" i="28"/>
  <c r="H39" i="28"/>
  <c r="H44" i="28"/>
  <c r="H40" i="28"/>
  <c r="H34" i="28"/>
  <c r="H38" i="28"/>
  <c r="I30" i="28"/>
  <c r="H46" i="28"/>
  <c r="H50" i="28"/>
  <c r="H36" i="28"/>
  <c r="H48" i="28"/>
  <c r="H49" i="28"/>
  <c r="H41" i="28"/>
  <c r="H43" i="28"/>
  <c r="W25" i="2"/>
  <c r="W17" i="2"/>
  <c r="W45" i="2"/>
  <c r="W63" i="2"/>
  <c r="W31" i="2"/>
  <c r="W57" i="2"/>
  <c r="W60" i="2"/>
  <c r="W34" i="2"/>
  <c r="W70" i="2"/>
  <c r="W75" i="2"/>
  <c r="W59" i="2"/>
  <c r="W55" i="2"/>
  <c r="W51" i="2"/>
  <c r="W244" i="2"/>
  <c r="W294" i="2"/>
  <c r="W326" i="2"/>
  <c r="W270" i="2"/>
  <c r="W241" i="2"/>
  <c r="W125" i="2"/>
  <c r="W278" i="2"/>
  <c r="W310" i="2"/>
  <c r="W152" i="2"/>
  <c r="W160" i="2"/>
  <c r="W275" i="2"/>
  <c r="W262" i="2"/>
  <c r="W333" i="2"/>
  <c r="W320" i="2"/>
  <c r="W318" i="2"/>
  <c r="W119" i="2"/>
  <c r="W111" i="2"/>
  <c r="W103" i="2"/>
  <c r="W95" i="2"/>
  <c r="W87" i="2"/>
  <c r="W97" i="2"/>
  <c r="W177" i="2"/>
  <c r="W150" i="2"/>
  <c r="W238" i="2"/>
  <c r="W230" i="2"/>
  <c r="W93" i="2"/>
  <c r="W196" i="2"/>
  <c r="W267" i="2"/>
  <c r="W346" i="2"/>
  <c r="W208" i="2"/>
  <c r="W276" i="2"/>
  <c r="W237" i="2"/>
  <c r="W184" i="2"/>
  <c r="W218" i="2"/>
  <c r="W107" i="2"/>
  <c r="W298" i="2"/>
  <c r="W158" i="2"/>
  <c r="W256" i="2"/>
  <c r="W248" i="2"/>
  <c r="W106" i="2"/>
  <c r="W322" i="2"/>
  <c r="W216" i="2"/>
  <c r="W343" i="2"/>
  <c r="W120" i="2"/>
  <c r="W301" i="2"/>
  <c r="W180" i="2"/>
  <c r="W261" i="2"/>
  <c r="W251" i="2"/>
  <c r="W143" i="2"/>
  <c r="W212" i="2"/>
  <c r="W88" i="2"/>
  <c r="W328" i="2"/>
  <c r="W134" i="2"/>
  <c r="W260" i="2"/>
  <c r="W221" i="2"/>
  <c r="W235" i="2"/>
  <c r="W229" i="2"/>
  <c r="W205" i="2"/>
  <c r="W142" i="2"/>
  <c r="W100" i="2"/>
  <c r="W203" i="2"/>
  <c r="W304" i="2"/>
  <c r="W299" i="2"/>
  <c r="W156" i="2"/>
  <c r="W272" i="2"/>
  <c r="W146" i="2"/>
  <c r="W104" i="2"/>
  <c r="W242" i="2"/>
  <c r="W303" i="2"/>
  <c r="W255" i="2"/>
  <c r="W263" i="2"/>
  <c r="W182" i="2"/>
  <c r="W115" i="2"/>
  <c r="W219" i="2"/>
  <c r="W344" i="2"/>
  <c r="W312" i="2"/>
  <c r="W159" i="2"/>
  <c r="W277" i="2"/>
  <c r="W231" i="2"/>
  <c r="W139" i="2"/>
  <c r="W227" i="2"/>
  <c r="W284" i="2"/>
  <c r="W321" i="2"/>
  <c r="W300" i="2"/>
  <c r="W226" i="2"/>
  <c r="W176" i="2"/>
  <c r="W325" i="2"/>
  <c r="W236" i="2"/>
  <c r="W144" i="2"/>
  <c r="W332" i="2"/>
  <c r="W268" i="2"/>
  <c r="W279" i="2"/>
  <c r="W124" i="2"/>
  <c r="W175" i="2"/>
  <c r="W347" i="2"/>
  <c r="W280" i="2"/>
  <c r="W154" i="2"/>
  <c r="W178" i="2"/>
  <c r="W253" i="2"/>
  <c r="W292" i="2"/>
  <c r="W296" i="2"/>
  <c r="W185" i="2"/>
  <c r="W132" i="2"/>
  <c r="W116" i="2"/>
  <c r="W164" i="2"/>
  <c r="W191" i="2"/>
  <c r="W109" i="2"/>
  <c r="W86" i="2"/>
  <c r="W290" i="2"/>
  <c r="W295" i="2"/>
  <c r="W258" i="2"/>
  <c r="W257" i="2"/>
  <c r="W348" i="2"/>
  <c r="W330" i="2"/>
  <c r="W341" i="2"/>
  <c r="W207" i="2"/>
  <c r="W128" i="2"/>
  <c r="W91" i="2"/>
  <c r="W329" i="2"/>
  <c r="W297" i="2"/>
  <c r="W282" i="2"/>
  <c r="W165" i="2"/>
  <c r="W157" i="2"/>
  <c r="W141" i="2"/>
  <c r="W311" i="2"/>
  <c r="W92" i="2"/>
  <c r="W243" i="2"/>
  <c r="W183" i="2"/>
  <c r="W225" i="2"/>
  <c r="W101" i="2"/>
  <c r="W215" i="2"/>
  <c r="W136" i="2"/>
  <c r="W102" i="2"/>
  <c r="W340" i="2"/>
  <c r="W308" i="2"/>
  <c r="W173" i="2"/>
  <c r="W163" i="2"/>
  <c r="W149" i="2"/>
  <c r="W324" i="2"/>
  <c r="W206" i="2"/>
  <c r="W307" i="2"/>
  <c r="W133" i="2"/>
  <c r="W228" i="2"/>
  <c r="W315" i="2"/>
  <c r="W84" i="2"/>
  <c r="W162" i="2"/>
  <c r="W99" i="2"/>
  <c r="W195" i="2"/>
  <c r="W187" i="2"/>
  <c r="W252" i="2"/>
  <c r="W265" i="2"/>
  <c r="W472" i="2"/>
  <c r="W395" i="2"/>
  <c r="W496" i="2"/>
  <c r="W488" i="2"/>
  <c r="W480" i="2"/>
  <c r="W424" i="2"/>
  <c r="W403" i="2"/>
  <c r="W375" i="2"/>
  <c r="W362" i="2"/>
  <c r="W469" i="2"/>
  <c r="W370" i="2"/>
  <c r="W419" i="2"/>
  <c r="W351" i="2"/>
  <c r="W372" i="2"/>
  <c r="W514" i="2"/>
  <c r="W526" i="2"/>
  <c r="W508" i="2"/>
  <c r="W521" i="2"/>
  <c r="W479" i="2"/>
  <c r="W513" i="2"/>
  <c r="W468" i="2"/>
  <c r="W529" i="2"/>
  <c r="W367" i="2"/>
  <c r="W482" i="2"/>
  <c r="W416" i="2"/>
  <c r="W366" i="2"/>
  <c r="W364" i="2"/>
  <c r="W516" i="2"/>
  <c r="W504" i="2"/>
  <c r="W365" i="2"/>
  <c r="W453" i="2"/>
  <c r="W394" i="2"/>
  <c r="W358" i="2"/>
  <c r="W518" i="2"/>
  <c r="W510" i="2"/>
  <c r="W422" i="2"/>
  <c r="W486" i="2"/>
  <c r="W470" i="2"/>
  <c r="W429" i="2"/>
  <c r="W444" i="2"/>
  <c r="W495" i="2"/>
  <c r="W481" i="2"/>
  <c r="W406" i="2"/>
  <c r="W489" i="2"/>
  <c r="W460" i="2"/>
  <c r="W398" i="2"/>
  <c r="W378" i="2"/>
  <c r="W506" i="2"/>
  <c r="W396" i="2"/>
  <c r="W450" i="2"/>
  <c r="W384" i="2"/>
  <c r="W533" i="2"/>
  <c r="W505" i="2"/>
  <c r="W471" i="2"/>
  <c r="W483" i="2"/>
  <c r="W517" i="2"/>
  <c r="W511" i="2"/>
  <c r="W408" i="2"/>
  <c r="W388" i="2"/>
  <c r="W427" i="2"/>
  <c r="W385" i="2"/>
  <c r="W417" i="2"/>
  <c r="W392" i="2"/>
  <c r="W530" i="2"/>
  <c r="W520" i="2"/>
  <c r="W484" i="2"/>
  <c r="W497" i="2"/>
  <c r="W433" i="2"/>
  <c r="W452" i="2"/>
  <c r="W501" i="2"/>
  <c r="W400" i="2"/>
  <c r="W459" i="2"/>
  <c r="W441" i="2"/>
  <c r="W409" i="2"/>
  <c r="W354" i="2"/>
  <c r="W440" i="2"/>
  <c r="W449" i="2"/>
  <c r="W439" i="2"/>
  <c r="W386" i="2"/>
  <c r="W359" i="2"/>
  <c r="W493" i="2"/>
  <c r="W357" i="2"/>
  <c r="W538" i="2"/>
  <c r="W554" i="2"/>
  <c r="W570" i="2"/>
  <c r="W539" i="2"/>
  <c r="W555" i="2"/>
  <c r="W573" i="2"/>
  <c r="W542" i="2"/>
  <c r="W558" i="2"/>
  <c r="W574" i="2"/>
  <c r="W543" i="2"/>
  <c r="W559" i="2"/>
  <c r="W575" i="2"/>
  <c r="W544" i="2"/>
  <c r="W560" i="2"/>
  <c r="W551" i="2"/>
  <c r="W567" i="2"/>
  <c r="W536" i="2"/>
  <c r="W552" i="2"/>
  <c r="W568" i="2"/>
  <c r="W537" i="2"/>
  <c r="W553" i="2"/>
  <c r="W569" i="2"/>
  <c r="L52" i="31"/>
  <c r="W155" i="2" l="1"/>
  <c r="W35" i="2"/>
  <c r="W82" i="2"/>
  <c r="W44" i="2"/>
  <c r="W58" i="2"/>
  <c r="W46" i="2"/>
  <c r="W36" i="2"/>
  <c r="W32" i="2"/>
  <c r="W52" i="2"/>
  <c r="W38" i="2"/>
  <c r="W67" i="2"/>
  <c r="W56" i="2"/>
  <c r="W54" i="2"/>
  <c r="W64" i="2"/>
  <c r="W66" i="2"/>
  <c r="W79" i="2"/>
  <c r="W65" i="2"/>
  <c r="W81" i="2"/>
  <c r="W68" i="2"/>
  <c r="W40" i="2"/>
  <c r="W302" i="2"/>
  <c r="W131" i="2"/>
  <c r="W334" i="2"/>
  <c r="W291" i="2"/>
  <c r="W254" i="2"/>
  <c r="W170" i="2"/>
  <c r="W110" i="2"/>
  <c r="W232" i="2"/>
  <c r="W289" i="2"/>
  <c r="W337" i="2"/>
  <c r="W314" i="2"/>
  <c r="W137" i="2"/>
  <c r="W309" i="2"/>
  <c r="W193" i="2"/>
  <c r="W269" i="2"/>
  <c r="W266" i="2"/>
  <c r="W148" i="2"/>
  <c r="W264" i="2"/>
  <c r="W122" i="2"/>
  <c r="W94" i="2"/>
  <c r="W179" i="2"/>
  <c r="W271" i="2"/>
  <c r="W234" i="2"/>
  <c r="W250" i="2"/>
  <c r="W288" i="2"/>
  <c r="W273" i="2"/>
  <c r="W319" i="2"/>
  <c r="W274" i="2"/>
  <c r="W224" i="2"/>
  <c r="W345" i="2"/>
  <c r="W305" i="2"/>
  <c r="W283" i="2"/>
  <c r="W174" i="2"/>
  <c r="W121" i="2"/>
  <c r="W90" i="2"/>
  <c r="W240" i="2"/>
  <c r="W140" i="2"/>
  <c r="W153" i="2"/>
  <c r="W188" i="2"/>
  <c r="W233" i="2"/>
  <c r="W186" i="2"/>
  <c r="W313" i="2"/>
  <c r="W105" i="2"/>
  <c r="W306" i="2"/>
  <c r="W161" i="2"/>
  <c r="W201" i="2"/>
  <c r="W246" i="2"/>
  <c r="W127" i="2"/>
  <c r="W223" i="2"/>
  <c r="W285" i="2"/>
  <c r="W112" i="2"/>
  <c r="W338" i="2"/>
  <c r="W171" i="2"/>
  <c r="W62" i="2"/>
  <c r="W118" i="2"/>
  <c r="W331" i="2"/>
  <c r="W169" i="2"/>
  <c r="W200" i="2"/>
  <c r="W376" i="2"/>
  <c r="W368" i="2"/>
  <c r="W360" i="2"/>
  <c r="W352" i="2"/>
  <c r="W519" i="2"/>
  <c r="W509" i="2"/>
  <c r="W527" i="2"/>
  <c r="W448" i="2"/>
  <c r="W456" i="2"/>
  <c r="W464" i="2"/>
  <c r="W435" i="2"/>
  <c r="W502" i="2"/>
  <c r="W412" i="2"/>
  <c r="W499" i="2"/>
  <c r="W374" i="2"/>
  <c r="W438" i="2"/>
  <c r="W382" i="2"/>
  <c r="W410" i="2"/>
  <c r="W451" i="2"/>
  <c r="W421" i="2"/>
  <c r="W466" i="2"/>
  <c r="W389" i="2"/>
  <c r="W522" i="2"/>
  <c r="W498" i="2"/>
  <c r="W494" i="2"/>
  <c r="W492" i="2"/>
  <c r="W523" i="2"/>
  <c r="W353" i="2"/>
  <c r="W355" i="2"/>
  <c r="W434" i="2"/>
  <c r="W455" i="2"/>
  <c r="W407" i="2"/>
  <c r="W361" i="2"/>
  <c r="W515" i="2"/>
  <c r="W478" i="2"/>
  <c r="W458" i="2"/>
  <c r="W411" i="2"/>
  <c r="W436" i="2"/>
  <c r="W465" i="2"/>
  <c r="W397" i="2"/>
  <c r="W490" i="2"/>
  <c r="W461" i="2"/>
  <c r="W467" i="2"/>
  <c r="W377" i="2"/>
  <c r="W418" i="2"/>
  <c r="W349" i="2"/>
  <c r="W507" i="2"/>
  <c r="W387" i="2"/>
  <c r="W363" i="2"/>
  <c r="W576" i="2"/>
  <c r="W545" i="2"/>
  <c r="W561" i="2"/>
  <c r="W577" i="2"/>
  <c r="W546" i="2"/>
  <c r="W562" i="2"/>
  <c r="W578" i="2"/>
  <c r="W547" i="2"/>
  <c r="W563" i="2"/>
  <c r="W579" i="2"/>
  <c r="W548" i="2"/>
  <c r="W564" i="2"/>
  <c r="W580" i="2"/>
  <c r="W549" i="2"/>
  <c r="W565" i="2"/>
  <c r="W534" i="2"/>
  <c r="W550" i="2"/>
  <c r="W566" i="2"/>
  <c r="W535" i="2"/>
  <c r="W30" i="2"/>
  <c r="W47" i="2"/>
  <c r="W342" i="2"/>
  <c r="W199" i="2"/>
  <c r="W168" i="2"/>
  <c r="W286" i="2"/>
  <c r="W204" i="2"/>
  <c r="W245" i="2"/>
  <c r="W247" i="2"/>
  <c r="W281" i="2"/>
  <c r="W190" i="2"/>
  <c r="W166" i="2"/>
  <c r="W222" i="2"/>
  <c r="W85" i="2"/>
  <c r="W98" i="2"/>
  <c r="W167" i="2"/>
  <c r="W197" i="2"/>
  <c r="W147" i="2"/>
  <c r="W336" i="2"/>
  <c r="W198" i="2"/>
  <c r="W135" i="2"/>
  <c r="W130" i="2"/>
  <c r="W172" i="2"/>
  <c r="W220" i="2"/>
  <c r="W114" i="2"/>
  <c r="W117" i="2"/>
  <c r="W323" i="2"/>
  <c r="W327" i="2"/>
  <c r="W145" i="2"/>
  <c r="W316" i="2"/>
  <c r="W202" i="2"/>
  <c r="W123" i="2"/>
  <c r="W108" i="2"/>
  <c r="W211" i="2"/>
  <c r="W209" i="2"/>
  <c r="W317" i="2"/>
  <c r="W138" i="2"/>
  <c r="W249" i="2"/>
  <c r="W96" i="2"/>
  <c r="W89" i="2"/>
  <c r="W189" i="2"/>
  <c r="W181" i="2"/>
  <c r="W213" i="2"/>
  <c r="W126" i="2"/>
  <c r="W113" i="2"/>
  <c r="W214" i="2"/>
  <c r="W217" i="2"/>
  <c r="W339" i="2"/>
  <c r="W151" i="2"/>
  <c r="W259" i="2"/>
  <c r="W393" i="2"/>
  <c r="W423" i="2"/>
  <c r="W525" i="2"/>
  <c r="W487" i="2"/>
  <c r="W380" i="2"/>
  <c r="W531" i="2"/>
  <c r="W425" i="2"/>
  <c r="W446" i="2"/>
  <c r="W404" i="2"/>
  <c r="W399" i="2"/>
  <c r="W477" i="2"/>
  <c r="W532" i="2"/>
  <c r="W381" i="2"/>
  <c r="W528" i="2"/>
  <c r="W512" i="2"/>
  <c r="W476" i="2"/>
  <c r="W431" i="2"/>
  <c r="W369" i="2"/>
  <c r="W432" i="2"/>
  <c r="W442" i="2"/>
  <c r="W485" i="2"/>
  <c r="W415" i="2"/>
  <c r="W413" i="2"/>
  <c r="W500" i="2"/>
  <c r="W414" i="2"/>
  <c r="W462" i="2"/>
  <c r="W454" i="2"/>
  <c r="W491" i="2"/>
  <c r="W503" i="2"/>
  <c r="W401" i="2"/>
  <c r="W356" i="2"/>
  <c r="W445" i="2"/>
  <c r="W430" i="2"/>
  <c r="W405" i="2"/>
  <c r="W379" i="2"/>
  <c r="W420" i="2"/>
  <c r="W371" i="2"/>
  <c r="W391" i="2"/>
  <c r="W402" i="2"/>
  <c r="W383" i="2"/>
  <c r="W524" i="2"/>
  <c r="W473" i="2"/>
  <c r="W463" i="2"/>
  <c r="W447" i="2"/>
  <c r="W426" i="2"/>
  <c r="W350" i="2"/>
  <c r="W437" i="2"/>
  <c r="W443" i="2"/>
  <c r="W390" i="2"/>
  <c r="W475" i="2"/>
  <c r="W457" i="2"/>
  <c r="W428" i="2"/>
  <c r="W373" i="2"/>
  <c r="W474" i="2"/>
  <c r="W293" i="2"/>
  <c r="W129" i="2"/>
  <c r="W210" i="2"/>
  <c r="W287" i="2"/>
  <c r="W239" i="2"/>
  <c r="W192" i="2"/>
  <c r="W194" i="2"/>
  <c r="W335" i="2"/>
  <c r="W571" i="2"/>
  <c r="W540" i="2"/>
  <c r="W556" i="2"/>
  <c r="W572" i="2"/>
  <c r="W541" i="2"/>
  <c r="W557" i="2"/>
  <c r="W20" i="2"/>
  <c r="W26" i="2"/>
  <c r="W29" i="2"/>
  <c r="W74" i="2"/>
  <c r="W33" i="2"/>
  <c r="W78" i="2"/>
  <c r="W53" i="2"/>
  <c r="W15" i="2"/>
  <c r="W42" i="2"/>
  <c r="W72" i="2"/>
  <c r="W43" i="2"/>
  <c r="W19" i="2"/>
  <c r="W83" i="2"/>
  <c r="W39" i="2"/>
  <c r="W76" i="2"/>
  <c r="W73" i="2"/>
  <c r="W77" i="2"/>
  <c r="W14" i="2"/>
  <c r="W18" i="2"/>
  <c r="W28" i="2"/>
  <c r="W48" i="2"/>
  <c r="W80" i="2"/>
  <c r="W49" i="2"/>
  <c r="W23" i="2"/>
  <c r="W71" i="2"/>
  <c r="W37" i="2"/>
  <c r="W24" i="2"/>
  <c r="W22" i="2"/>
  <c r="W41" i="2"/>
  <c r="W50" i="2"/>
  <c r="W61" i="2"/>
  <c r="W21" i="2"/>
  <c r="W27" i="2"/>
  <c r="W69" i="2"/>
  <c r="W16" i="2"/>
  <c r="F63" i="31"/>
  <c r="F49" i="28"/>
  <c r="I49" i="28" s="1"/>
  <c r="M49" i="28" s="1"/>
  <c r="F50" i="28"/>
  <c r="I50" i="28" s="1"/>
  <c r="F41" i="28"/>
  <c r="I41" i="28" s="1"/>
  <c r="M41" i="28" s="1"/>
  <c r="F45" i="28"/>
  <c r="I45" i="28" s="1"/>
  <c r="M45" i="28" s="1"/>
  <c r="F35" i="28"/>
  <c r="I35" i="28" s="1"/>
  <c r="M35" i="28" s="1"/>
  <c r="F40" i="28"/>
  <c r="I40" i="28" s="1"/>
  <c r="M40" i="28" s="1"/>
  <c r="F48" i="28"/>
  <c r="I48" i="28" s="1"/>
  <c r="M48" i="28" s="1"/>
  <c r="F37" i="28"/>
  <c r="I37" i="28" s="1"/>
  <c r="M37" i="28" s="1"/>
  <c r="F43" i="28"/>
  <c r="I43" i="28" s="1"/>
  <c r="M43" i="28" s="1"/>
  <c r="F44" i="28"/>
  <c r="I44" i="28" s="1"/>
  <c r="M44" i="28" s="1"/>
  <c r="F36" i="28"/>
  <c r="I36" i="28" s="1"/>
  <c r="M36" i="28" s="1"/>
  <c r="F39" i="28"/>
  <c r="I39" i="28" s="1"/>
  <c r="T39" i="28" s="1"/>
  <c r="F47" i="28"/>
  <c r="I47" i="28" s="1"/>
  <c r="M47" i="28" s="1"/>
  <c r="F34" i="28"/>
  <c r="I34" i="28" s="1"/>
  <c r="T34" i="28" s="1"/>
  <c r="F38" i="28"/>
  <c r="I38" i="28" s="1"/>
  <c r="M38" i="28" s="1"/>
  <c r="F46" i="28"/>
  <c r="I46" i="28" s="1"/>
  <c r="M46" i="28" s="1"/>
  <c r="F42" i="28"/>
  <c r="I42" i="28" s="1"/>
  <c r="M42" i="28" s="1"/>
  <c r="J57" i="31"/>
  <c r="J58" i="31" s="1"/>
  <c r="T36" i="28" l="1"/>
  <c r="T41" i="28"/>
  <c r="M50" i="28"/>
  <c r="T50" i="28"/>
  <c r="T35" i="28"/>
  <c r="T44" i="28"/>
  <c r="T48" i="28"/>
  <c r="T42" i="28"/>
  <c r="T45" i="28"/>
  <c r="T40" i="28"/>
  <c r="T47" i="28"/>
  <c r="T37" i="28"/>
  <c r="M34" i="28"/>
  <c r="M39" i="28"/>
  <c r="T38" i="28"/>
  <c r="T46" i="28"/>
  <c r="T43" i="28"/>
  <c r="T49" i="28"/>
  <c r="D56" i="28" l="1"/>
  <c r="F56" i="28"/>
  <c r="J73" i="31"/>
  <c r="J71" i="31"/>
  <c r="J72" i="31" l="1"/>
  <c r="J79" i="31" s="1"/>
  <c r="L56" i="28" l="1"/>
  <c r="J80" i="31"/>
  <c r="J81" i="31" s="1"/>
  <c r="X366" i="2" l="1"/>
  <c r="X479" i="2"/>
  <c r="X526" i="2"/>
  <c r="X424" i="2"/>
  <c r="X464" i="2"/>
  <c r="X415" i="2"/>
  <c r="X451" i="2"/>
  <c r="X373" i="2"/>
  <c r="X483" i="2"/>
  <c r="X422" i="2"/>
  <c r="X417" i="2"/>
  <c r="X487" i="2"/>
  <c r="X437" i="2"/>
  <c r="X389" i="2"/>
  <c r="X361" i="2"/>
  <c r="X470" i="2"/>
  <c r="X432" i="2"/>
  <c r="X511" i="2"/>
  <c r="X378" i="2"/>
  <c r="X362" i="2"/>
  <c r="X497" i="2"/>
  <c r="X371" i="2"/>
  <c r="X390" i="2"/>
  <c r="X462" i="2"/>
  <c r="X492" i="2"/>
  <c r="X370" i="2"/>
  <c r="X380" i="2"/>
  <c r="X501" i="2"/>
  <c r="X527" i="2"/>
  <c r="X496" i="2"/>
  <c r="X442" i="2"/>
  <c r="X426" i="2"/>
  <c r="X407" i="2"/>
  <c r="X466" i="2"/>
  <c r="X531" i="2"/>
  <c r="X350" i="2"/>
  <c r="X463" i="2"/>
  <c r="X363" i="2"/>
  <c r="X446" i="2"/>
  <c r="X396" i="2"/>
  <c r="X467" i="2"/>
  <c r="X517" i="2"/>
  <c r="X365" i="2"/>
  <c r="X499" i="2"/>
  <c r="X441" i="2"/>
  <c r="X469" i="2"/>
  <c r="X388" i="2"/>
  <c r="X465" i="2"/>
  <c r="X408" i="2"/>
  <c r="X352" i="2"/>
  <c r="X377" i="2"/>
  <c r="X392" i="2"/>
  <c r="X355" i="2"/>
  <c r="X381" i="2"/>
  <c r="X493" i="2"/>
  <c r="X468" i="2"/>
  <c r="X452" i="2"/>
  <c r="X374" i="2"/>
  <c r="X489" i="2"/>
  <c r="X447" i="2"/>
  <c r="X510" i="2"/>
  <c r="X456" i="2"/>
  <c r="X495" i="2"/>
  <c r="X357" i="2"/>
  <c r="X356" i="2"/>
  <c r="X528" i="2"/>
  <c r="X375" i="2"/>
  <c r="X485" i="2"/>
  <c r="X506" i="2"/>
  <c r="X382" i="2"/>
  <c r="X433" i="2"/>
  <c r="X515" i="2"/>
  <c r="X434" i="2"/>
  <c r="X430" i="2"/>
  <c r="X406" i="2"/>
  <c r="X399" i="2"/>
  <c r="X520" i="2"/>
  <c r="X419" i="2"/>
  <c r="X454" i="2"/>
  <c r="X514" i="2"/>
  <c r="X503" i="2"/>
  <c r="X523" i="2"/>
  <c r="X504" i="2"/>
  <c r="X457" i="2"/>
  <c r="X387" i="2"/>
  <c r="X490" i="2"/>
  <c r="X369" i="2"/>
  <c r="X529" i="2"/>
  <c r="X411" i="2"/>
  <c r="X367" i="2"/>
  <c r="X391" i="2"/>
  <c r="X364" i="2"/>
  <c r="X498" i="2"/>
  <c r="X530" i="2"/>
  <c r="X502" i="2"/>
  <c r="X460" i="2"/>
  <c r="X423" i="2"/>
  <c r="X475" i="2"/>
  <c r="X486" i="2"/>
  <c r="X431" i="2"/>
  <c r="X444" i="2"/>
  <c r="X376" i="2"/>
  <c r="X440" i="2"/>
  <c r="X513" i="2"/>
  <c r="X521" i="2"/>
  <c r="X476" i="2"/>
  <c r="X525" i="2"/>
  <c r="X409" i="2"/>
  <c r="X425" i="2"/>
  <c r="X414" i="2"/>
  <c r="X449" i="2"/>
  <c r="X532" i="2"/>
  <c r="X418" i="2"/>
  <c r="X394" i="2"/>
  <c r="X471" i="2"/>
  <c r="X455" i="2"/>
  <c r="X439" i="2"/>
  <c r="X450" i="2"/>
  <c r="X403" i="2"/>
  <c r="X421" i="2"/>
  <c r="X448" i="2"/>
  <c r="X519" i="2"/>
  <c r="X413" i="2"/>
  <c r="X397" i="2"/>
  <c r="X484" i="2"/>
  <c r="X481" i="2"/>
  <c r="X478" i="2"/>
  <c r="X398" i="2"/>
  <c r="X428" i="2"/>
  <c r="X459" i="2"/>
  <c r="X480" i="2"/>
  <c r="X412" i="2"/>
  <c r="X472" i="2"/>
  <c r="X360" i="2"/>
  <c r="X358" i="2"/>
  <c r="X383" i="2"/>
  <c r="X410" i="2"/>
  <c r="X400" i="2"/>
  <c r="X458" i="2"/>
  <c r="X522" i="2"/>
  <c r="X461" i="2"/>
  <c r="X491" i="2"/>
  <c r="X482" i="2"/>
  <c r="X436" i="2"/>
  <c r="X443" i="2"/>
  <c r="X384" i="2"/>
  <c r="X353" i="2"/>
  <c r="X393" i="2"/>
  <c r="X516" i="2"/>
  <c r="X435" i="2"/>
  <c r="X351" i="2"/>
  <c r="X372" i="2"/>
  <c r="X474" i="2"/>
  <c r="X512" i="2"/>
  <c r="X359" i="2"/>
  <c r="X509" i="2"/>
  <c r="X494" i="2"/>
  <c r="X402" i="2"/>
  <c r="X445" i="2"/>
  <c r="X473" i="2"/>
  <c r="X508" i="2"/>
  <c r="X518" i="2"/>
  <c r="X453" i="2"/>
  <c r="X379" i="2"/>
  <c r="X395" i="2"/>
  <c r="X405" i="2"/>
  <c r="X386" i="2"/>
  <c r="X429" i="2"/>
  <c r="X533" i="2"/>
  <c r="X416" i="2"/>
  <c r="X420" i="2"/>
  <c r="X401" i="2"/>
  <c r="X385" i="2"/>
  <c r="X404" i="2"/>
  <c r="X488" i="2"/>
  <c r="X427" i="2"/>
  <c r="X368" i="2"/>
  <c r="X507" i="2"/>
  <c r="X354" i="2"/>
  <c r="X500" i="2"/>
  <c r="X438" i="2"/>
  <c r="X477" i="2"/>
  <c r="X349" i="2"/>
  <c r="X524" i="2"/>
  <c r="X505" i="2"/>
  <c r="X547" i="2"/>
  <c r="X563" i="2"/>
  <c r="X579" i="2"/>
  <c r="X539" i="2"/>
  <c r="X555" i="2"/>
  <c r="X571" i="2"/>
  <c r="X554" i="2"/>
  <c r="X540" i="2"/>
  <c r="X556" i="2"/>
  <c r="X572" i="2"/>
  <c r="X548" i="2"/>
  <c r="X564" i="2"/>
  <c r="X580" i="2"/>
  <c r="X549" i="2"/>
  <c r="X557" i="2"/>
  <c r="X573" i="2"/>
  <c r="X541" i="2"/>
  <c r="X565" i="2"/>
  <c r="X546" i="2"/>
  <c r="X534" i="2"/>
  <c r="X542" i="2"/>
  <c r="X558" i="2"/>
  <c r="X574" i="2"/>
  <c r="X570" i="2"/>
  <c r="X550" i="2"/>
  <c r="X566" i="2"/>
  <c r="X543" i="2"/>
  <c r="X559" i="2"/>
  <c r="X575" i="2"/>
  <c r="X569" i="2"/>
  <c r="X535" i="2"/>
  <c r="X551" i="2"/>
  <c r="X567" i="2"/>
  <c r="X545" i="2"/>
  <c r="X536" i="2"/>
  <c r="X560" i="2"/>
  <c r="X568" i="2"/>
  <c r="X553" i="2"/>
  <c r="X562" i="2"/>
  <c r="X544" i="2"/>
  <c r="X552" i="2"/>
  <c r="X576" i="2"/>
  <c r="X577" i="2"/>
  <c r="X537" i="2"/>
  <c r="X538" i="2"/>
  <c r="X561" i="2"/>
  <c r="X578" i="2"/>
  <c r="H56" i="28"/>
  <c r="E56" i="28"/>
  <c r="J56" i="28"/>
  <c r="G56" i="28"/>
  <c r="M56" i="28"/>
  <c r="I56" i="28"/>
  <c r="W30" i="31" l="1"/>
  <c r="W20" i="31"/>
</calcChain>
</file>

<file path=xl/sharedStrings.xml><?xml version="1.0" encoding="utf-8"?>
<sst xmlns="http://schemas.openxmlformats.org/spreadsheetml/2006/main" count="3840" uniqueCount="1046">
  <si>
    <t>Opslag niet werkbare dagen in procenten</t>
  </si>
  <si>
    <t xml:space="preserve">Vakantietoeslag </t>
  </si>
  <si>
    <t>Subtotaal loonkosten per uur inclusief sociale verzekeringen</t>
  </si>
  <si>
    <t>Opslag niet werkbare dagen</t>
  </si>
  <si>
    <t>TOTAAL KOSTEN PER JAAR EXCLUSIEF BTW</t>
  </si>
  <si>
    <t>B.T.W.</t>
  </si>
  <si>
    <t>Prijspeil</t>
  </si>
  <si>
    <t>Administratiekosten</t>
  </si>
  <si>
    <t>Huisvestingskosten</t>
  </si>
  <si>
    <t>Aantal kalenderdagen</t>
  </si>
  <si>
    <t>Weekenddagen</t>
  </si>
  <si>
    <t>Werkdagen per jaar</t>
  </si>
  <si>
    <t>PRESTATIE NORM</t>
  </si>
  <si>
    <t>Tariefgroep</t>
  </si>
  <si>
    <t>: cijfermatige notatie van het aantal keren dat een ruimte per jaar wordt schoongemaakt (zie onderstaande opgave)</t>
  </si>
  <si>
    <t>Opmerking</t>
  </si>
  <si>
    <t>Werkkleding en uitrusting</t>
  </si>
  <si>
    <t>nvt</t>
  </si>
  <si>
    <t>Totaal eindtarief feestdagen [incl. 150% toeslag]</t>
  </si>
  <si>
    <t>Grondslag loon voor berekening OP premie</t>
  </si>
  <si>
    <t>Premie Ouderdomspensioen (OP)</t>
  </si>
  <si>
    <t>Specialist - algemeen</t>
  </si>
  <si>
    <t>Bruto uurloon</t>
  </si>
  <si>
    <t>Afroepprijzen</t>
  </si>
  <si>
    <t>FREQ. NOTATIE</t>
  </si>
  <si>
    <t>VERD.</t>
  </si>
  <si>
    <t>Locatie</t>
  </si>
  <si>
    <t>Omschrijving blad</t>
  </si>
  <si>
    <t>Jaarkosten per locatie</t>
  </si>
  <si>
    <t>%</t>
  </si>
  <si>
    <t>Vakantiedagen</t>
  </si>
  <si>
    <t>Programmacode</t>
  </si>
  <si>
    <t xml:space="preserve">Renteverlies per jaar </t>
  </si>
  <si>
    <t>Adres/plaats</t>
  </si>
  <si>
    <t>: unieke code die is gekoppeld aan een schoonmaakprogramma voor een bepaalde ruimtecategorie</t>
  </si>
  <si>
    <t>Omschrijving</t>
  </si>
  <si>
    <t>Werkbare dagen per jaar</t>
  </si>
  <si>
    <t>Werktijden</t>
  </si>
  <si>
    <t>Korting</t>
  </si>
  <si>
    <t>Kengetal</t>
  </si>
  <si>
    <t xml:space="preserve">Feestdag tussen 06.00 en 21.30 uur   </t>
  </si>
  <si>
    <t>Glasbewassing</t>
  </si>
  <si>
    <t>Frequentienotatie</t>
  </si>
  <si>
    <t>Opmerking:</t>
  </si>
  <si>
    <t>Prestatienorm</t>
  </si>
  <si>
    <t>Totaal loonkosten per uur</t>
  </si>
  <si>
    <t>Frequentie-omschr.</t>
  </si>
  <si>
    <t>V</t>
  </si>
  <si>
    <t>Tapijt</t>
  </si>
  <si>
    <t>Totaal eindtarief weekenden [incl. 50% toeslag]</t>
  </si>
  <si>
    <t>M2 VLOER NIO</t>
  </si>
  <si>
    <t>BIJZONDERHEDEN</t>
  </si>
  <si>
    <t>Bruto uurloon inclusief toeslagen</t>
  </si>
  <si>
    <t>RUIMTE CATEGORIE</t>
  </si>
  <si>
    <t>Totaal kosten bij koop per jaar per machine</t>
  </si>
  <si>
    <t>P.Z. kosten</t>
  </si>
  <si>
    <t>Opleiding</t>
  </si>
  <si>
    <t>Kosten bij koop per jaar</t>
  </si>
  <si>
    <t>Nat. feestdagen, kort verzuim, bijz. CAO</t>
  </si>
  <si>
    <t>Ziektedagen</t>
  </si>
  <si>
    <t>Vorstverlet</t>
  </si>
  <si>
    <t xml:space="preserve">Za/zo tussen 06.00 en 21.30 uur   </t>
  </si>
  <si>
    <t>Machine investeringkosten</t>
  </si>
  <si>
    <t>Machine</t>
  </si>
  <si>
    <t>Franchise OP-premie per uur</t>
  </si>
  <si>
    <t>Effectieve OP premie</t>
  </si>
  <si>
    <t>Catalogusprijs</t>
  </si>
  <si>
    <t>VSR CODE</t>
  </si>
  <si>
    <t>Alle prijzen exclusief btw</t>
  </si>
  <si>
    <t>Nat. feestdagen, kort verzuim, bijz CAO</t>
  </si>
  <si>
    <t>Ruimtecategorie</t>
  </si>
  <si>
    <t xml:space="preserve">Verzekeringskosten per jaar </t>
  </si>
  <si>
    <t>FREQ. OMSCHRIJVING</t>
  </si>
  <si>
    <t>Kinderopvang</t>
  </si>
  <si>
    <t>werkgeversdeel</t>
  </si>
  <si>
    <t>SV uurloon inclusief toeslagen</t>
  </si>
  <si>
    <t>Risico en winst</t>
  </si>
  <si>
    <t>: onderverdeling van de aanwezige ruimten in een object in een aantal categorieën</t>
  </si>
  <si>
    <t>M2 VLOER IO</t>
  </si>
  <si>
    <t xml:space="preserve">Afschrijvingstermijn in jaren </t>
  </si>
  <si>
    <t>Prijs in € per m2 in staffelvorm</t>
  </si>
  <si>
    <t>Managementkosten</t>
  </si>
  <si>
    <t>Kosten bij koop (excl. btw)</t>
  </si>
  <si>
    <t>Naam leverancier</t>
  </si>
  <si>
    <t>Kengetallenoverzicht schoonmaakonderhoud</t>
  </si>
  <si>
    <t>Naam opdrachtgever</t>
  </si>
  <si>
    <t xml:space="preserve">RAS-heffing </t>
  </si>
  <si>
    <t>Totale kosten investering machines</t>
  </si>
  <si>
    <t>VSR-code</t>
  </si>
  <si>
    <t>Materiaal/- en middelen</t>
  </si>
  <si>
    <t>Totaal directe kosten</t>
  </si>
  <si>
    <t>: omschrijving van het aantal keren dat een ruimte per jaar wordt schoongemaakt (zie onderstaande opgave)</t>
  </si>
  <si>
    <t xml:space="preserve">Ma/ vrij tussen 06.00 en 21.30 uur   </t>
  </si>
  <si>
    <t>VERHOUDING VLOEROPP.</t>
  </si>
  <si>
    <t>Totale kosten per jaar inclusief B.T.W.</t>
  </si>
  <si>
    <t>Ma/ vrij tussen 06.00 en 21.30 uur</t>
  </si>
  <si>
    <t>VLOER SOORT</t>
  </si>
  <si>
    <t>Indirect toezicht</t>
  </si>
  <si>
    <t>Netto aanschafprijs</t>
  </si>
  <si>
    <t>Restwaarde</t>
  </si>
  <si>
    <t>INVESTERING MACHINEKOSTEN</t>
  </si>
  <si>
    <t>Inzet van het aantal machines [stuks]</t>
  </si>
  <si>
    <t>Premies Sociale Verzekeringen</t>
  </si>
  <si>
    <t>Afschrijvingskosten per jaar</t>
  </si>
  <si>
    <t>Prijs in € per stuk in staffelvorm</t>
  </si>
  <si>
    <t>Kostprijs</t>
  </si>
  <si>
    <t>JAARPRIJS SCHOONMAAK</t>
  </si>
  <si>
    <t xml:space="preserve">: uren per vierkante meter per jaar </t>
  </si>
  <si>
    <t>GEBOUW</t>
  </si>
  <si>
    <t>Totaal indirecte kosten</t>
  </si>
  <si>
    <t>Totaal eindtarief normale werktijden [06.00-21.30 uur]</t>
  </si>
  <si>
    <t>Onderhoudskosten per jaar*</t>
  </si>
  <si>
    <t>SV-loon grondslag voor berekening sociale verzekeringen</t>
  </si>
  <si>
    <t>Kosten ziektedagen</t>
  </si>
  <si>
    <t>Besteknummer</t>
  </si>
  <si>
    <t>Toelichting kengetallenoverzicht:</t>
  </si>
  <si>
    <t>: aantal schoon te maken m2 per uur</t>
  </si>
  <si>
    <t>Medewerk(st)er algemeen schoonmaak onderhoud</t>
  </si>
  <si>
    <t>RUIMTE OMSCHRIJVING (OPDRACHTGEVER)</t>
  </si>
  <si>
    <t>Eénmalige uitkering</t>
  </si>
  <si>
    <t>RUIMTECATEGORIE</t>
  </si>
  <si>
    <t>Indexering</t>
  </si>
  <si>
    <t>invoerings datum</t>
  </si>
  <si>
    <t>percentage</t>
  </si>
  <si>
    <t>ADDITIONELE PROJECTGEBONDEN SCHOONMAAKWERKZAAMHEDEN</t>
  </si>
  <si>
    <t>PER-CEEL</t>
  </si>
  <si>
    <t>Totaal eindtarief weekenden [incl. 30% toeslag]</t>
  </si>
  <si>
    <t>m2 Vloer IO</t>
  </si>
  <si>
    <t>m2 Vloer NIO</t>
  </si>
  <si>
    <t>: aantal m2 in onderhoud</t>
  </si>
  <si>
    <t>: aantal m2 niet in onderhoud</t>
  </si>
  <si>
    <t>Verhouding vloeropp.</t>
  </si>
  <si>
    <t>Bijzonde3rheden</t>
  </si>
  <si>
    <t>Calculatiemodule</t>
  </si>
  <si>
    <t>Schoonmaakonderhoud</t>
  </si>
  <si>
    <t>: percentage vloeroppervlakte per ruimtecategorie t.o.v. totale vloeroppervlakte</t>
  </si>
  <si>
    <t>niet van toepassing</t>
  </si>
  <si>
    <t>&amp;</t>
  </si>
  <si>
    <t>Mutatie nummer</t>
  </si>
  <si>
    <t>Mutatie datum</t>
  </si>
  <si>
    <t>OP/NP pensioen</t>
  </si>
  <si>
    <t>Totaal</t>
  </si>
  <si>
    <t>Perentage inzet per locatieo.b.v. verhouding inzewt productie-uren</t>
  </si>
  <si>
    <t>Bedrag reservering per jaar/locatie</t>
  </si>
  <si>
    <t>Aantallen</t>
  </si>
  <si>
    <t>Versie</t>
  </si>
  <si>
    <t>Tabblad: Voorblad</t>
  </si>
  <si>
    <t>Tabblad: 1.2-Kengetal</t>
  </si>
  <si>
    <t>Tabblad: 1.3-Basis ruimtestaat</t>
  </si>
  <si>
    <t>Tabblad: 1.6-Machine-investeringskosten</t>
  </si>
  <si>
    <t>Tabblad: 1.7-Afroep prijzen</t>
  </si>
  <si>
    <t>Tabblad: 1.8-Glasbewassing</t>
  </si>
  <si>
    <t>Tabblad: 1.0-Contractblad</t>
  </si>
  <si>
    <t>= invulvelden</t>
  </si>
  <si>
    <t>Eind datum berekening</t>
  </si>
  <si>
    <t>Te verekenen dagen</t>
  </si>
  <si>
    <t>Mutatiebedrag per jaar</t>
  </si>
  <si>
    <t>Verrekenbedrag</t>
  </si>
  <si>
    <t>Percentages</t>
  </si>
  <si>
    <t>BHV toeslag (indien van toepassing)</t>
  </si>
  <si>
    <t>Selecteer categorie medewerker</t>
  </si>
  <si>
    <t>Toelichting</t>
  </si>
  <si>
    <t>PRODUCTIE-UREN MAANDAG-VRIJDAG 06:00-21:30 uur</t>
  </si>
  <si>
    <t>TOEZICHT-UREN MAANDAG-VRIJDAG 06:00-21:30 uur</t>
  </si>
  <si>
    <t>Contractblad jaarprijs schoonmaak &amp; Glasbewassing</t>
  </si>
  <si>
    <t>Regie- uurtarieven (volgens matrix CAO)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</si>
  <si>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</si>
  <si>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</si>
  <si>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</si>
  <si>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</si>
  <si>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in te voeren.</t>
  </si>
  <si>
    <t>Op ieder tabblad is een kortetoelichting</t>
  </si>
  <si>
    <t>aanwezig. Selecteer de cel "Toelichting"</t>
  </si>
  <si>
    <t>om de informatie te lezen.</t>
  </si>
  <si>
    <t>Tabblad: 1.1a-Jaarprijzen</t>
  </si>
  <si>
    <t>In dit tabblad wordt een recapitulatie van alle calcuatiegegevens weeergegeven</t>
  </si>
  <si>
    <t>Het tabblad 1.3a-Mutaties is niet van toepassing (indien aanwezig)</t>
  </si>
  <si>
    <t>Specialisten toeslag (indien van toepassing)</t>
  </si>
  <si>
    <t>op afroep</t>
  </si>
  <si>
    <t>Lngr 1 : Vakvolwassen</t>
  </si>
  <si>
    <t>Lngr 6 : Vakvolwassen</t>
  </si>
  <si>
    <t>Selecteer het aantal dienstjaren</t>
  </si>
  <si>
    <t>Lngr 2 : Vakvolwassen</t>
  </si>
  <si>
    <t>Lngr 3 : Vakvolwassen</t>
  </si>
  <si>
    <t>Lngr 4 : Vakvolwassen</t>
  </si>
  <si>
    <t>Lngr 5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</si>
  <si>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</si>
  <si>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</si>
  <si>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</si>
  <si>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</si>
  <si>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</si>
  <si>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</si>
  <si>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</si>
  <si>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</si>
  <si>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</si>
  <si>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</si>
  <si>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</si>
  <si>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</si>
  <si>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</si>
  <si>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</si>
  <si>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</si>
  <si>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</si>
  <si>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</si>
  <si>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</si>
  <si>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</si>
  <si>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</si>
  <si>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</si>
  <si>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</si>
  <si>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</si>
  <si>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</si>
  <si>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Premies en opslagen &amp; tarieven  voor schoonmaakonderhoud</t>
  </si>
  <si>
    <t xml:space="preserve">Totaal premies sociale verzekeringen    </t>
  </si>
  <si>
    <t>Overname kosten volgens Bijlage overname personeel</t>
  </si>
  <si>
    <t>Autokosten</t>
  </si>
  <si>
    <t>FACTOR PERIODIEK</t>
  </si>
  <si>
    <t>KENGETAL MA-VR</t>
  </si>
  <si>
    <t xml:space="preserve">Prijsvorming Extra Vloerenonderhoud  (inclusief middelen/materialen en uit-/inruimen van het meubilair) </t>
  </si>
  <si>
    <t>1 - 250</t>
  </si>
  <si>
    <t>251 - 500</t>
  </si>
  <si>
    <t>501 - 1.000</t>
  </si>
  <si>
    <t>&lt; 1.000</t>
  </si>
  <si>
    <t>1 t/m 25</t>
  </si>
  <si>
    <t>26 t/m 50</t>
  </si>
  <si>
    <t>51 t/m 100</t>
  </si>
  <si>
    <t>&gt; 100</t>
  </si>
  <si>
    <t>Monitor</t>
  </si>
  <si>
    <t>Toestenbord + muis (in- en uitwendig)</t>
  </si>
  <si>
    <t>Computer- en randapparatuur</t>
  </si>
  <si>
    <t>Stof en vlekvrij maken, vochtig reinigen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</si>
  <si>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</si>
  <si>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Alle prijzen inclusief materialen en middelen, toezicht, voorrijkosten en overige bijkomende kosten.</t>
  </si>
  <si>
    <t>In het contractblad wordt automatisch het aantal m2 glas weergegeven (indien van toepassing).</t>
  </si>
  <si>
    <t>KENGETAL PERIODIEK</t>
  </si>
  <si>
    <t>UREN P/JR PERIODIEK</t>
  </si>
  <si>
    <t>UREN P/JR REGULIER</t>
  </si>
  <si>
    <t>KENGETAL REGULIER</t>
  </si>
  <si>
    <t>€ SCHOONMAAK</t>
  </si>
  <si>
    <t>PROGR. CODE REGULIER</t>
  </si>
  <si>
    <t>PROGR. CODE NALOOP</t>
  </si>
  <si>
    <t>KENGETAL NALOOP</t>
  </si>
  <si>
    <t>Handeling</t>
  </si>
  <si>
    <t>Prijsvorming  extra werkzaamheden (inclusief middelen/materialen)</t>
  </si>
  <si>
    <t>Reiging meubilair</t>
  </si>
  <si>
    <t>Verwerkt in ruimtestaat</t>
  </si>
  <si>
    <t>FACTOR REGULIER</t>
  </si>
  <si>
    <t>PERCEEL</t>
  </si>
  <si>
    <t>UREN P/JR NALOOP</t>
  </si>
  <si>
    <t>PRODUCTIE UREN PERIODIEK</t>
  </si>
  <si>
    <t>TOEZICHT UREN MA-VR</t>
  </si>
  <si>
    <t>TOTAAL M2 GLAS</t>
  </si>
  <si>
    <t>Selecteer tarief toezicht</t>
  </si>
  <si>
    <t>Selecteer tarief uitvoerend</t>
  </si>
  <si>
    <t>WGA sectorpremie</t>
  </si>
  <si>
    <t>ZW-flex</t>
  </si>
  <si>
    <t>Totaal premie Whk</t>
  </si>
  <si>
    <t>Project gemiddelde</t>
  </si>
  <si>
    <t>Selecteer tarief glazenwasser</t>
  </si>
  <si>
    <t>t</t>
  </si>
  <si>
    <t>CALCULATIE-CODE MA-VR</t>
  </si>
  <si>
    <t>[A]</t>
  </si>
  <si>
    <t>[B]</t>
  </si>
  <si>
    <t>1e</t>
  </si>
  <si>
    <t>STAP 8: Selecteer "Selecteer tarief medewerker en/of toezicht" om een loongroep medewerker te selecteren. Het uurtarief wordt automatisch geplaats. Vul het percentage in van het aantal in te zetten uren en het jaarbedrag wordt gecalculeerd.</t>
  </si>
  <si>
    <t xml:space="preserve">Omschrijving blad : </t>
  </si>
  <si>
    <t xml:space="preserve">Naam opdrachtgever : </t>
  </si>
  <si>
    <t xml:space="preserve">Adres/plaats : </t>
  </si>
  <si>
    <t xml:space="preserve">Besteknummer : </t>
  </si>
  <si>
    <t xml:space="preserve">Versie : </t>
  </si>
  <si>
    <t xml:space="preserve">Naam leverancier : </t>
  </si>
  <si>
    <t xml:space="preserve">Prijspeil : </t>
  </si>
  <si>
    <t>LOCATTIE</t>
  </si>
  <si>
    <t>GLAZENWASSER</t>
  </si>
  <si>
    <t>= formule velden 'niet wijzigen'</t>
  </si>
  <si>
    <t>TOEZICHTMEDEWERKER</t>
  </si>
  <si>
    <t>SCHOONMAAKMEDEWERKER</t>
  </si>
  <si>
    <t>Selecteer omvang van uw organisatie</t>
  </si>
  <si>
    <t>Aof-kleine werkgever</t>
  </si>
  <si>
    <t>Aof-grotere werkgever</t>
  </si>
  <si>
    <t>Zorgverzekeringswet (Zvw)</t>
  </si>
  <si>
    <t>Tabblad: 1.4-Opbouw uurtarieven</t>
  </si>
  <si>
    <t>M2 BUITENGLAS</t>
  </si>
  <si>
    <t>M2 BINNENGLAS</t>
  </si>
  <si>
    <t>FREQ BINNEN</t>
  </si>
  <si>
    <t>FREQ SEPGLAS</t>
  </si>
  <si>
    <t>FREQ BUITEN</t>
  </si>
  <si>
    <t>TOTAAL PER JAAR €</t>
  </si>
  <si>
    <t>M2 € BINNEN</t>
  </si>
  <si>
    <t>M2 € BUITEN</t>
  </si>
  <si>
    <t>M2 € SEPGLAS</t>
  </si>
  <si>
    <t>INZET HOOGWERKER</t>
  </si>
  <si>
    <t>sanitaire ruimte (toilet-/doucheruimte)</t>
  </si>
  <si>
    <t>trappenhuis</t>
  </si>
  <si>
    <t>tijdlk nvt</t>
  </si>
  <si>
    <t>tijdelijk niet van toepassing</t>
  </si>
  <si>
    <t>SUBTOTAAL [A+B]</t>
  </si>
  <si>
    <t>JAARPRIJS GLASBEWASSING</t>
  </si>
  <si>
    <t>RUIMTENR</t>
  </si>
  <si>
    <t>CATEGORIE MEDEWERKER</t>
  </si>
  <si>
    <t>PERCENTAGE INZET MEDEWERKER</t>
  </si>
  <si>
    <t>AANTAL UREN PER DAG (GEMIDDELD)</t>
  </si>
  <si>
    <t>AANTAL UREN PER JAAR</t>
  </si>
  <si>
    <t>TARIEF</t>
  </si>
  <si>
    <t>PRIJS PER JAAR</t>
  </si>
  <si>
    <t>AANTAL DAGEN PER JAAR</t>
  </si>
  <si>
    <t>UREN PER JAAR</t>
  </si>
  <si>
    <t>M2       BUITEGLAS</t>
  </si>
  <si>
    <t>M2 SEPARATIEGLAS *</t>
  </si>
  <si>
    <t>INZET ARBEIDSMIDDELEN</t>
  </si>
  <si>
    <t>FREQUENTIE</t>
  </si>
  <si>
    <t>ADRES</t>
  </si>
  <si>
    <t>PLAATS</t>
  </si>
  <si>
    <t>VLOEROPPERVLAK IN ONDERHOUD</t>
  </si>
  <si>
    <t>VLOEROPPERVLAK NIET IN ONDERHOUD</t>
  </si>
  <si>
    <t>PERCEEL (I.V.T.)</t>
  </si>
  <si>
    <t>PRODUCTIE UREN REGULIER MA-VR</t>
  </si>
  <si>
    <t>AFRONDING TAAK UREN</t>
  </si>
  <si>
    <t>GEWOGEN GEMIDDELDE O.B.V. VLOEROPPERVLAK IN ONDERHOUD</t>
  </si>
  <si>
    <t>ADDITIONLE KOSTEN</t>
  </si>
  <si>
    <t>PRODUCTIEKOSTEN MA-VR</t>
  </si>
  <si>
    <t>TOEZICHTKOSTEN</t>
  </si>
  <si>
    <t>KOSTEN AFRONDING TAAK UREN</t>
  </si>
  <si>
    <t>TOTAAL SCHOONMAAK</t>
  </si>
  <si>
    <t>VERREKJEND JA/NEE</t>
  </si>
  <si>
    <t>GLASBEWASSING</t>
  </si>
  <si>
    <t>KOSTEN TOTAAL PER JAAR</t>
  </si>
  <si>
    <t xml:space="preserve">MUTATIE VOLGENS 1.3A </t>
  </si>
  <si>
    <t>M2     BINNENGLAS</t>
  </si>
  <si>
    <t>MUTATIE NUMMER</t>
  </si>
  <si>
    <t>MUTATIE DATUM</t>
  </si>
  <si>
    <t>€ GLASBEWASSING</t>
  </si>
  <si>
    <t>SOCIALE VERZEKERINGEN</t>
  </si>
  <si>
    <t>SOCIALE VERZEKERINGEN - OUDERDOMS PENSIOEN</t>
  </si>
  <si>
    <t>BEREKENING WERKBARE DAGEN</t>
  </si>
  <si>
    <t>SV GRONDSLAG</t>
  </si>
  <si>
    <t>TOTAAL SV GRONDSLAG</t>
  </si>
  <si>
    <t>STAP 7: Voer in de gekleurde cellen de gevraagde informatie in. Let op: in de rood gekleurde cellen zijn formules of koppelingen aanwezig, deze mogen niet worden verwijderd of aangepast.</t>
  </si>
  <si>
    <t>STAP 5: Voer in de gekleurde cellen de gevraagde informatie in. Let op: in de rood gekleurde cellen zijn formules of koppelingen aanwezig, deze mogen niet worden verwijderd of aangepast.</t>
  </si>
  <si>
    <t>STAP 6: Voer in de gekleurde cellen de gevraagde informatie in. Let op: in de rood gekleurde cellen zijn formules of koppelingen aanwezig, deze mogen niet worden verwijderd of aangepast.</t>
  </si>
  <si>
    <t>-</t>
  </si>
  <si>
    <t>+</t>
  </si>
  <si>
    <t>Gemiddeld uurtarief excl. machinekosten excl. BTW</t>
  </si>
  <si>
    <t>Ruimte/-CAlCulAtiestAAt</t>
  </si>
  <si>
    <t xml:space="preserve"> = invulvelden</t>
  </si>
  <si>
    <r>
      <t xml:space="preserve">M2 SEPARATIE-GLAS </t>
    </r>
    <r>
      <rPr>
        <i/>
        <sz val="10"/>
        <color theme="0"/>
        <rFont val="Avenir Book"/>
        <family val="2"/>
      </rPr>
      <t>(tweezijdig gemeten)</t>
    </r>
  </si>
  <si>
    <r>
      <t xml:space="preserve">TYPE </t>
    </r>
    <r>
      <rPr>
        <i/>
        <sz val="10"/>
        <color theme="0"/>
        <rFont val="Avenir Book"/>
        <family val="2"/>
      </rPr>
      <t>(omschrijving)</t>
    </r>
  </si>
  <si>
    <t>* Prijzen p/m2 (separatieglas dubbelvoudig gemeten)</t>
  </si>
  <si>
    <t>GEMIDDELD SV-GRONDSLAG</t>
  </si>
  <si>
    <t xml:space="preserve">Overal waar in het Calculatiemodel de  invoervelden aanwezig  zijn, dient een getal (niet zijnde nul (0)) te worden ingevuld. </t>
  </si>
  <si>
    <t>Ingevoerde wijziging:</t>
  </si>
  <si>
    <t>&lt; 100 m2</t>
  </si>
  <si>
    <t>101-250 m2</t>
  </si>
  <si>
    <t>251-500 m2</t>
  </si>
  <si>
    <t>501-1.000 m2</t>
  </si>
  <si>
    <t>&gt; 1.000 m2</t>
  </si>
  <si>
    <t>Reinigen bureaustoelen</t>
  </si>
  <si>
    <t>Burostoel gestoffeerd injectie-extractie</t>
  </si>
  <si>
    <t>Aantal stuks</t>
  </si>
  <si>
    <t>Freq</t>
  </si>
  <si>
    <t>Prijs per stuk</t>
  </si>
  <si>
    <t>Totaal kosten</t>
  </si>
  <si>
    <t>Reinigen koelkasten</t>
  </si>
  <si>
    <t>Eenmaal per kwartaal reinigen van de binnen-/ en buitenzijde koelkasten (excl. vriesruimten) en verwijderen van artikelen over houdbaarheidsdatum</t>
  </si>
  <si>
    <t>Automatisch gekoppeld aan tabblad 1.0-Contractblad</t>
  </si>
  <si>
    <t>Reinigen magnetron</t>
  </si>
  <si>
    <t>Het in-/ en uitwendig reinigen</t>
  </si>
  <si>
    <t>Reinigen vaatwasser</t>
  </si>
  <si>
    <t>Alle prijzen inclusief materialen en middelen, voorrijkosten en overige bijkomende kosten.</t>
  </si>
  <si>
    <t>Het separatieglas is dubelzijdig gemeten, prijs dient voor enkelzijdig wassen te worden ingevoerd</t>
  </si>
  <si>
    <t>Productkeuze:</t>
  </si>
  <si>
    <t>Neutraal reinigingsmiddel, pH-7, het product mag niet schadelijk zijn voor het afwerkmateriaal, geen corroderende werking hebben en mag geen schuurmiddel of etsende stoffen bevatten.</t>
  </si>
  <si>
    <t>Het product is vrij van zure en alkalische bestanddelen, waardoor er geen enkel gevaar is voor aantasting van metaal, lak, rubber enz.</t>
  </si>
  <si>
    <t>Handeling:</t>
  </si>
  <si>
    <t>Inzetten van de beglazing met water en een reinigingsmiddel met behulp van schapenvacht en/of spons</t>
  </si>
  <si>
    <t>Omlijstingen en raam- en kozijnprofielen met spons afnemen.</t>
  </si>
  <si>
    <t>Droogtrekken van het glas en kozijnen zodat er geen resten van het reinigingsmiddel met de opgenomen vervuiling achterblijven.</t>
  </si>
  <si>
    <t>Aantal</t>
  </si>
  <si>
    <t>Frequentie</t>
  </si>
  <si>
    <t>Prijs p/stuk</t>
  </si>
  <si>
    <t>1 x per maand</t>
  </si>
  <si>
    <t>S</t>
  </si>
  <si>
    <t>&lt; Cel F63</t>
  </si>
  <si>
    <t>Tabblad: 1.9-Sanitaire supples</t>
  </si>
  <si>
    <t>STAP 3: Selecteer een loongroep medewerker in de cellen "Selecteer categorie medewerker". Voer in de gekleurde cellen de gevraagde informatie in. Let op: in de rood gekleurde cellen zijn formules of koppelingen aanwezig, deze mogen niet worden verwijderd of aangepast.</t>
  </si>
  <si>
    <t>STAP 4: Voer in de gekleurde cellen de gevraagde informatie in. Let op: in de rood gekleurde cellen zijn formules of koppelingen aanwezig, deze mogen niet worden verwijderd of aangepast.</t>
  </si>
  <si>
    <t>= keuze velden *</t>
  </si>
  <si>
    <t>* Vul alleen de invulvelden in als er een keuzeveld is gekozen.</t>
  </si>
  <si>
    <t>: eventuele opmerkingen</t>
  </si>
  <si>
    <t>Bgg</t>
  </si>
  <si>
    <t>gang</t>
  </si>
  <si>
    <t>werkkast</t>
  </si>
  <si>
    <t>personeelsruimte</t>
  </si>
  <si>
    <t>speellokaal</t>
  </si>
  <si>
    <t>berging</t>
  </si>
  <si>
    <t>bibliotheek</t>
  </si>
  <si>
    <t>entree</t>
  </si>
  <si>
    <t>kantoor</t>
  </si>
  <si>
    <t>keuken</t>
  </si>
  <si>
    <t>aula</t>
  </si>
  <si>
    <t>spreekkamer</t>
  </si>
  <si>
    <t>cv ruimte</t>
  </si>
  <si>
    <t>buitenberging</t>
  </si>
  <si>
    <t>gymzaal</t>
  </si>
  <si>
    <t>trap</t>
  </si>
  <si>
    <t>opslag</t>
  </si>
  <si>
    <t>leslokaal</t>
  </si>
  <si>
    <t>administratieve -,  vergaderruimte</t>
  </si>
  <si>
    <t>1 x per week - 40 weken</t>
  </si>
  <si>
    <t>2 x per week - 40 weken</t>
  </si>
  <si>
    <t>5 x per week - 40 weken</t>
  </si>
  <si>
    <t>5 x per week - 52 weken</t>
  </si>
  <si>
    <t>entree, gang, hal, repro</t>
  </si>
  <si>
    <t>pantry/keuken</t>
  </si>
  <si>
    <t>praktijklokaal</t>
  </si>
  <si>
    <t>L</t>
  </si>
  <si>
    <t>leslokaal/bevo/handvaardigheid</t>
  </si>
  <si>
    <t>leslokaal groep 1 t/m 3</t>
  </si>
  <si>
    <t>leslokaal groep 1 t/m 3 + kinderopvang</t>
  </si>
  <si>
    <t>trappenhuis (nood)</t>
  </si>
  <si>
    <t>lift</t>
  </si>
  <si>
    <t>kinderverblijf ruimte</t>
  </si>
  <si>
    <t>kleedruimten</t>
  </si>
  <si>
    <t>gymzaal (berging)</t>
  </si>
  <si>
    <t>Sp</t>
  </si>
  <si>
    <t>leslokaal/leerplein groep 4 t/m 8</t>
  </si>
  <si>
    <t>vervallen</t>
  </si>
  <si>
    <t>vervallen (mutatie)</t>
  </si>
  <si>
    <t>s</t>
  </si>
  <si>
    <t>bu</t>
  </si>
  <si>
    <t>bi</t>
  </si>
  <si>
    <t>Topcoating</t>
  </si>
  <si>
    <t>Recoating</t>
  </si>
  <si>
    <t>Linoleum/Marmoleum</t>
  </si>
  <si>
    <t>Sprayen en opwrijven (full-sprayen)</t>
  </si>
  <si>
    <t>Spotsprayen en opwrijven</t>
  </si>
  <si>
    <t>Linoleum/PVC/steen/gietvloer</t>
  </si>
  <si>
    <t>Schrobben (handmatig)</t>
  </si>
  <si>
    <t>Schrobzuigen (machinaal)</t>
  </si>
  <si>
    <t>Tegels , DHT met voegen</t>
  </si>
  <si>
    <t>Sproei-extraheren</t>
  </si>
  <si>
    <t>Borstelzuigen</t>
  </si>
  <si>
    <t xml:space="preserve">Bonnetmethode </t>
  </si>
  <si>
    <t xml:space="preserve">Droge poederreiniging </t>
  </si>
  <si>
    <t>Gestoffeerde stoelen</t>
  </si>
  <si>
    <t>Koolzuurreiniging</t>
  </si>
  <si>
    <t>Prijs in €</t>
  </si>
  <si>
    <t>Zonwering</t>
  </si>
  <si>
    <t>per meter</t>
  </si>
  <si>
    <t>per m2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</si>
  <si>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</si>
  <si>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</si>
  <si>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</si>
  <si>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</si>
  <si>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</si>
  <si>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</si>
  <si>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</si>
  <si>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 xml:space="preserve">Prijsvorming Reinigen buitenterrein  (inclusief middelen/materialen) </t>
  </si>
  <si>
    <t>Buitenterrein (speelplein, fietsenstalling, etc.)</t>
  </si>
  <si>
    <t>Machinaal vegen</t>
  </si>
  <si>
    <t xml:space="preserve">Handmatig vegen </t>
  </si>
  <si>
    <t>Hogedruk reinigen</t>
  </si>
  <si>
    <t>Kauwgum verwijderen</t>
  </si>
  <si>
    <t>gietvloer</t>
  </si>
  <si>
    <t>tapijt</t>
  </si>
  <si>
    <t>sportvloer</t>
  </si>
  <si>
    <t>magazijn</t>
  </si>
  <si>
    <t>hout</t>
  </si>
  <si>
    <t>pvc</t>
  </si>
  <si>
    <t>toestelberging</t>
  </si>
  <si>
    <t>0.02</t>
  </si>
  <si>
    <t>0.03</t>
  </si>
  <si>
    <t>0.04</t>
  </si>
  <si>
    <t>0.05</t>
  </si>
  <si>
    <t>0.06</t>
  </si>
  <si>
    <t>0.07</t>
  </si>
  <si>
    <t>0.08</t>
  </si>
  <si>
    <t>0.01</t>
  </si>
  <si>
    <t>steen</t>
  </si>
  <si>
    <t>toilet</t>
  </si>
  <si>
    <t>= Ruimte Kinderopvang</t>
  </si>
  <si>
    <t>= vaste waarde 'niet wijzigen'</t>
  </si>
  <si>
    <t>Strippen en conserveren</t>
  </si>
  <si>
    <t>3 x per week - 40 weken</t>
  </si>
  <si>
    <t>WIA Basispremie</t>
  </si>
  <si>
    <t>Werkeloosheidswqet Awf</t>
  </si>
  <si>
    <t>Transitiekosten</t>
  </si>
  <si>
    <t>Reiskosten</t>
  </si>
  <si>
    <t>Naam organisatie</t>
  </si>
  <si>
    <t>Stichting opspoor - SKOP</t>
  </si>
  <si>
    <t>Purmerend e.o.</t>
  </si>
  <si>
    <t>L.001</t>
  </si>
  <si>
    <t>L.002</t>
  </si>
  <si>
    <t>L.003</t>
  </si>
  <si>
    <t>L.004</t>
  </si>
  <si>
    <t>L.005</t>
  </si>
  <si>
    <t>L.006</t>
  </si>
  <si>
    <t>L.007</t>
  </si>
  <si>
    <t>L.008</t>
  </si>
  <si>
    <t>L.009</t>
  </si>
  <si>
    <t>L.010</t>
  </si>
  <si>
    <t>L.011</t>
  </si>
  <si>
    <t>L.012</t>
  </si>
  <si>
    <t>L.013</t>
  </si>
  <si>
    <t>L.014</t>
  </si>
  <si>
    <t>L.015</t>
  </si>
  <si>
    <t>L.017</t>
  </si>
  <si>
    <t>S.001</t>
  </si>
  <si>
    <t>S.002</t>
  </si>
  <si>
    <t>TR.002</t>
  </si>
  <si>
    <t>TR.003</t>
  </si>
  <si>
    <t>TR.004</t>
  </si>
  <si>
    <t>E.001</t>
  </si>
  <si>
    <t>E.002</t>
  </si>
  <si>
    <t>E.003</t>
  </si>
  <si>
    <t>G.001</t>
  </si>
  <si>
    <t>G.002</t>
  </si>
  <si>
    <t>G.003</t>
  </si>
  <si>
    <t>G.005</t>
  </si>
  <si>
    <t>G.006</t>
  </si>
  <si>
    <t>G.007</t>
  </si>
  <si>
    <t>T.001</t>
  </si>
  <si>
    <t>1 toilet</t>
  </si>
  <si>
    <t>T.002</t>
  </si>
  <si>
    <t>T.003</t>
  </si>
  <si>
    <t>T.004</t>
  </si>
  <si>
    <t>T.005</t>
  </si>
  <si>
    <t>2 toiletten</t>
  </si>
  <si>
    <t>T.006</t>
  </si>
  <si>
    <t>T.007</t>
  </si>
  <si>
    <t>T.008</t>
  </si>
  <si>
    <t>T.009</t>
  </si>
  <si>
    <t>T.010</t>
  </si>
  <si>
    <t>T.011</t>
  </si>
  <si>
    <t>T.012</t>
  </si>
  <si>
    <t>T.013</t>
  </si>
  <si>
    <t>3 toiletten</t>
  </si>
  <si>
    <t>P.001</t>
  </si>
  <si>
    <t>directie</t>
  </si>
  <si>
    <t>P.002</t>
  </si>
  <si>
    <t>concierge</t>
  </si>
  <si>
    <t>P.003</t>
  </si>
  <si>
    <t>docentenkamer</t>
  </si>
  <si>
    <t>P.004</t>
  </si>
  <si>
    <t>P.005</t>
  </si>
  <si>
    <t>pantry</t>
  </si>
  <si>
    <t>P.007</t>
  </si>
  <si>
    <t>personeel</t>
  </si>
  <si>
    <t>P.008</t>
  </si>
  <si>
    <t>O.001</t>
  </si>
  <si>
    <t>meterkast</t>
  </si>
  <si>
    <t>O.002</t>
  </si>
  <si>
    <t>O.003</t>
  </si>
  <si>
    <t>O.005</t>
  </si>
  <si>
    <t>O.006</t>
  </si>
  <si>
    <t>O.007</t>
  </si>
  <si>
    <t>O.008</t>
  </si>
  <si>
    <t>O.009</t>
  </si>
  <si>
    <t>O.020</t>
  </si>
  <si>
    <t>O.010</t>
  </si>
  <si>
    <t>O.011</t>
  </si>
  <si>
    <t>O.021</t>
  </si>
  <si>
    <t>O.022</t>
  </si>
  <si>
    <t>O.023</t>
  </si>
  <si>
    <t>O.024</t>
  </si>
  <si>
    <t>O.025</t>
  </si>
  <si>
    <t>0.09</t>
  </si>
  <si>
    <t>0.10</t>
  </si>
  <si>
    <t>0.11</t>
  </si>
  <si>
    <t>1.01</t>
  </si>
  <si>
    <t>1.02</t>
  </si>
  <si>
    <t>1.03</t>
  </si>
  <si>
    <t>1.04</t>
  </si>
  <si>
    <t>1.05</t>
  </si>
  <si>
    <t>bgg</t>
  </si>
  <si>
    <t>teamruimte</t>
  </si>
  <si>
    <t>0.12</t>
  </si>
  <si>
    <t>0.13</t>
  </si>
  <si>
    <t>0.14</t>
  </si>
  <si>
    <t>0.15</t>
  </si>
  <si>
    <t>0.16</t>
  </si>
  <si>
    <t>0.17</t>
  </si>
  <si>
    <t>0.18</t>
  </si>
  <si>
    <t>0.19</t>
  </si>
  <si>
    <t>0.20</t>
  </si>
  <si>
    <t>0.21</t>
  </si>
  <si>
    <t>0.22</t>
  </si>
  <si>
    <t>0.24</t>
  </si>
  <si>
    <t>0.25</t>
  </si>
  <si>
    <t>0.26</t>
  </si>
  <si>
    <t>garderobe</t>
  </si>
  <si>
    <t>L3</t>
  </si>
  <si>
    <t>L4</t>
  </si>
  <si>
    <t>L5</t>
  </si>
  <si>
    <t>L8</t>
  </si>
  <si>
    <t>V15</t>
  </si>
  <si>
    <t>V16</t>
  </si>
  <si>
    <t>V18</t>
  </si>
  <si>
    <t>L1</t>
  </si>
  <si>
    <t>L2</t>
  </si>
  <si>
    <t>V006</t>
  </si>
  <si>
    <t>V007</t>
  </si>
  <si>
    <t>V008</t>
  </si>
  <si>
    <t>V009</t>
  </si>
  <si>
    <t>S10</t>
  </si>
  <si>
    <t>S11</t>
  </si>
  <si>
    <t>S12</t>
  </si>
  <si>
    <t>1.06</t>
  </si>
  <si>
    <t>1.07</t>
  </si>
  <si>
    <t>L.01</t>
  </si>
  <si>
    <t>L.02</t>
  </si>
  <si>
    <t>L.03</t>
  </si>
  <si>
    <t>L.11</t>
  </si>
  <si>
    <t>S.01</t>
  </si>
  <si>
    <t>E.01</t>
  </si>
  <si>
    <t>E.02</t>
  </si>
  <si>
    <t>G.01</t>
  </si>
  <si>
    <t>A.01</t>
  </si>
  <si>
    <t>T.01</t>
  </si>
  <si>
    <t>T.02</t>
  </si>
  <si>
    <t>T.03</t>
  </si>
  <si>
    <t>T.04</t>
  </si>
  <si>
    <t>T.05</t>
  </si>
  <si>
    <t>P.01</t>
  </si>
  <si>
    <t>P.02</t>
  </si>
  <si>
    <t>P.03</t>
  </si>
  <si>
    <t>P.04</t>
  </si>
  <si>
    <t>P.05</t>
  </si>
  <si>
    <t>techniek</t>
  </si>
  <si>
    <t>L.04</t>
  </si>
  <si>
    <t>L.05</t>
  </si>
  <si>
    <t>L.06</t>
  </si>
  <si>
    <t>L.07</t>
  </si>
  <si>
    <t>T.06</t>
  </si>
  <si>
    <t>2e</t>
  </si>
  <si>
    <t>L.08</t>
  </si>
  <si>
    <t>L.09</t>
  </si>
  <si>
    <t>L.10</t>
  </si>
  <si>
    <t>hal</t>
  </si>
  <si>
    <t>wasruimte</t>
  </si>
  <si>
    <t>miva toilet</t>
  </si>
  <si>
    <t>administratie</t>
  </si>
  <si>
    <t>1.08</t>
  </si>
  <si>
    <t>1.09</t>
  </si>
  <si>
    <t>1.10</t>
  </si>
  <si>
    <t>1.11</t>
  </si>
  <si>
    <t>1.12</t>
  </si>
  <si>
    <t>1.13</t>
  </si>
  <si>
    <t>lokaal</t>
  </si>
  <si>
    <t>1.15</t>
  </si>
  <si>
    <t>1.16</t>
  </si>
  <si>
    <t>nis</t>
  </si>
  <si>
    <t>congiërge</t>
  </si>
  <si>
    <t>G.004</t>
  </si>
  <si>
    <t>A.001</t>
  </si>
  <si>
    <t>A.002</t>
  </si>
  <si>
    <t>O.004</t>
  </si>
  <si>
    <t>lino</t>
  </si>
  <si>
    <t>inloop/coral</t>
  </si>
  <si>
    <t>Lino</t>
  </si>
  <si>
    <t>Steen</t>
  </si>
  <si>
    <t>Middenbeemster</t>
  </si>
  <si>
    <t>Oosthuizen</t>
  </si>
  <si>
    <t>Beets</t>
  </si>
  <si>
    <t>Kwadijk</t>
  </si>
  <si>
    <t>Warder</t>
  </si>
  <si>
    <t>Zuidoost Beemster</t>
  </si>
  <si>
    <t>Purmerend</t>
  </si>
  <si>
    <t>aula, gemeenschappelijke ruimte, bibliotheek</t>
  </si>
  <si>
    <t>G.102</t>
  </si>
  <si>
    <t>Lift</t>
  </si>
  <si>
    <t>B0.01</t>
  </si>
  <si>
    <t>B0.02</t>
  </si>
  <si>
    <t>B0.03</t>
  </si>
  <si>
    <t>B0.04</t>
  </si>
  <si>
    <t>B0.05</t>
  </si>
  <si>
    <t>B0.06</t>
  </si>
  <si>
    <t>B0.07</t>
  </si>
  <si>
    <t>B0.08</t>
  </si>
  <si>
    <t>B0.09</t>
  </si>
  <si>
    <t>B0.10</t>
  </si>
  <si>
    <t>B0.11</t>
  </si>
  <si>
    <t>B0.12</t>
  </si>
  <si>
    <t>B0.13</t>
  </si>
  <si>
    <t>tegel</t>
  </si>
  <si>
    <t>Verklaring :</t>
  </si>
  <si>
    <t>BSO = Buitenschoolse opvang</t>
  </si>
  <si>
    <t>VSO = Voorschoolse Opvang</t>
  </si>
  <si>
    <t>NSO = Naschoolse Opvang</t>
  </si>
  <si>
    <t>VVE  = Voor- en Vroegschoolse Educatie</t>
  </si>
  <si>
    <t>VKO = Voorschoolse Kinder opvang</t>
  </si>
  <si>
    <t>PSZ = Peuterspeelzaal</t>
  </si>
  <si>
    <t>KDV = Kinderdagverblijf</t>
  </si>
  <si>
    <t>4 x per week - 52 weken</t>
  </si>
  <si>
    <t>1 x per week 52 weken</t>
  </si>
  <si>
    <t>speellokaal (berging)</t>
  </si>
  <si>
    <t>P.006</t>
  </si>
  <si>
    <t>lerarenkamer</t>
  </si>
  <si>
    <t>Tr.001</t>
  </si>
  <si>
    <t>Tr.002</t>
  </si>
  <si>
    <t>centrale hal</t>
  </si>
  <si>
    <t>0.23</t>
  </si>
  <si>
    <t>speelzaal</t>
  </si>
  <si>
    <t>1.18</t>
  </si>
  <si>
    <t>1.19</t>
  </si>
  <si>
    <t>1.20</t>
  </si>
  <si>
    <t>1.23</t>
  </si>
  <si>
    <t>1.24</t>
  </si>
  <si>
    <t>1.26</t>
  </si>
  <si>
    <t>1.29</t>
  </si>
  <si>
    <t>1.32</t>
  </si>
  <si>
    <t>1.33</t>
  </si>
  <si>
    <t>1.34</t>
  </si>
  <si>
    <t>podium</t>
  </si>
  <si>
    <t>0.1</t>
  </si>
  <si>
    <t>0.2</t>
  </si>
  <si>
    <t>0.3</t>
  </si>
  <si>
    <t>0.4</t>
  </si>
  <si>
    <t>0.5</t>
  </si>
  <si>
    <t>0.6</t>
  </si>
  <si>
    <t>0.7</t>
  </si>
  <si>
    <t>0.8</t>
  </si>
  <si>
    <t>0.9</t>
  </si>
  <si>
    <t>L007</t>
  </si>
  <si>
    <t>L008</t>
  </si>
  <si>
    <t>L014</t>
  </si>
  <si>
    <t>V005</t>
  </si>
  <si>
    <t>S007</t>
  </si>
  <si>
    <t>V10</t>
  </si>
  <si>
    <t>V14</t>
  </si>
  <si>
    <t>L6</t>
  </si>
  <si>
    <t>L7</t>
  </si>
  <si>
    <t>mediatheek</t>
  </si>
  <si>
    <t>S9</t>
  </si>
  <si>
    <t>L.016</t>
  </si>
  <si>
    <t>E.004</t>
  </si>
  <si>
    <t xml:space="preserve">1e </t>
  </si>
  <si>
    <t>PVC</t>
  </si>
  <si>
    <t>OBS De Koempoelan</t>
  </si>
  <si>
    <t>Gangeslaan 59</t>
  </si>
  <si>
    <t>OBS De Ranonkel</t>
  </si>
  <si>
    <t>L.118</t>
  </si>
  <si>
    <t>L.119</t>
  </si>
  <si>
    <t>T.114</t>
  </si>
  <si>
    <t>O.105</t>
  </si>
  <si>
    <t>computerlokaal</t>
  </si>
  <si>
    <t>serverruimte</t>
  </si>
  <si>
    <t>5 toiletten</t>
  </si>
  <si>
    <t>7 toiletten</t>
  </si>
  <si>
    <t>Pvc</t>
  </si>
  <si>
    <t>rvs</t>
  </si>
  <si>
    <t>Boterbloem 3</t>
  </si>
  <si>
    <t>OBS Wijdewormer</t>
  </si>
  <si>
    <t>0-01</t>
  </si>
  <si>
    <t>0-02</t>
  </si>
  <si>
    <t>0-03</t>
  </si>
  <si>
    <t>0-04</t>
  </si>
  <si>
    <t>0-05</t>
  </si>
  <si>
    <t>0-06</t>
  </si>
  <si>
    <t>0-07</t>
  </si>
  <si>
    <t>0-08</t>
  </si>
  <si>
    <t>0-09</t>
  </si>
  <si>
    <t>0-10</t>
  </si>
  <si>
    <t>0-11</t>
  </si>
  <si>
    <t>0-12</t>
  </si>
  <si>
    <t>0-13</t>
  </si>
  <si>
    <t>0-14</t>
  </si>
  <si>
    <t>0-15</t>
  </si>
  <si>
    <t>0-16</t>
  </si>
  <si>
    <t>0-17</t>
  </si>
  <si>
    <t>0-31</t>
  </si>
  <si>
    <t>0-32</t>
  </si>
  <si>
    <t>0-33</t>
  </si>
  <si>
    <t>0-34</t>
  </si>
  <si>
    <t>0-35</t>
  </si>
  <si>
    <t>0-36</t>
  </si>
  <si>
    <t>0-37</t>
  </si>
  <si>
    <t>server ruimte</t>
  </si>
  <si>
    <t>0-38</t>
  </si>
  <si>
    <t>0-39</t>
  </si>
  <si>
    <t>0-40</t>
  </si>
  <si>
    <t>0-41</t>
  </si>
  <si>
    <t>0-58</t>
  </si>
  <si>
    <t>OBS De Harpoen</t>
  </si>
  <si>
    <t>OBS De Kweekvijver</t>
  </si>
  <si>
    <t>speelokaal</t>
  </si>
  <si>
    <t>nd.01</t>
  </si>
  <si>
    <t>entraa/hal</t>
  </si>
  <si>
    <t>nd.02</t>
  </si>
  <si>
    <t>nd.03</t>
  </si>
  <si>
    <t>nd.04</t>
  </si>
  <si>
    <t>nd.05</t>
  </si>
  <si>
    <t>nd.06</t>
  </si>
  <si>
    <t>OBS De Rietkraag</t>
  </si>
  <si>
    <t>sanitair</t>
  </si>
  <si>
    <t>S13</t>
  </si>
  <si>
    <t>V17</t>
  </si>
  <si>
    <t>V19</t>
  </si>
  <si>
    <t>V20</t>
  </si>
  <si>
    <t>V21</t>
  </si>
  <si>
    <t>V21A</t>
  </si>
  <si>
    <t>V21B</t>
  </si>
  <si>
    <t>verdieping</t>
  </si>
  <si>
    <t>V22</t>
  </si>
  <si>
    <t>V23</t>
  </si>
  <si>
    <t>B22</t>
  </si>
  <si>
    <t>B23</t>
  </si>
  <si>
    <t xml:space="preserve"> </t>
  </si>
  <si>
    <t>OBS Noorderschool</t>
  </si>
  <si>
    <t xml:space="preserve">0.11A </t>
  </si>
  <si>
    <t>OBS De Stap</t>
  </si>
  <si>
    <t>V001</t>
  </si>
  <si>
    <t>V002</t>
  </si>
  <si>
    <t>V003</t>
  </si>
  <si>
    <t>V004</t>
  </si>
  <si>
    <t>V010</t>
  </si>
  <si>
    <t>V011</t>
  </si>
  <si>
    <t>L001</t>
  </si>
  <si>
    <t>L002</t>
  </si>
  <si>
    <t>L003</t>
  </si>
  <si>
    <t>L004</t>
  </si>
  <si>
    <t>L005</t>
  </si>
  <si>
    <t>L006</t>
  </si>
  <si>
    <t>L009</t>
  </si>
  <si>
    <t>L010</t>
  </si>
  <si>
    <t>L011</t>
  </si>
  <si>
    <t>L012</t>
  </si>
  <si>
    <t>L013</t>
  </si>
  <si>
    <t>L015</t>
  </si>
  <si>
    <t>S001</t>
  </si>
  <si>
    <t>S002</t>
  </si>
  <si>
    <t>S003</t>
  </si>
  <si>
    <t>S004</t>
  </si>
  <si>
    <t>S005</t>
  </si>
  <si>
    <t>S006</t>
  </si>
  <si>
    <t>B001</t>
  </si>
  <si>
    <t>B002</t>
  </si>
  <si>
    <t>OBS Ds. J.L. de Wagemaker</t>
  </si>
  <si>
    <t>2A</t>
  </si>
  <si>
    <t>7A</t>
  </si>
  <si>
    <t>speelzaalberging</t>
  </si>
  <si>
    <t>OBS De Fuik</t>
  </si>
  <si>
    <t>V01</t>
  </si>
  <si>
    <t>V02</t>
  </si>
  <si>
    <t>V02a</t>
  </si>
  <si>
    <t>V04</t>
  </si>
  <si>
    <t>L05</t>
  </si>
  <si>
    <t>L06</t>
  </si>
  <si>
    <t>V07</t>
  </si>
  <si>
    <t>V07B</t>
  </si>
  <si>
    <t>berging speelzaal</t>
  </si>
  <si>
    <t>L08</t>
  </si>
  <si>
    <t>S09</t>
  </si>
  <si>
    <t>B12</t>
  </si>
  <si>
    <t>S15</t>
  </si>
  <si>
    <t>B16</t>
  </si>
  <si>
    <t>L04</t>
  </si>
  <si>
    <t>S30</t>
  </si>
  <si>
    <t>OBS De Eendragt</t>
  </si>
  <si>
    <t>25A</t>
  </si>
  <si>
    <t>aula/gemeenschappelijke ruimte</t>
  </si>
  <si>
    <t>25B</t>
  </si>
  <si>
    <t>23A</t>
  </si>
  <si>
    <t>23B/C/D</t>
  </si>
  <si>
    <t>hal/trap</t>
  </si>
  <si>
    <t>1.12B</t>
  </si>
  <si>
    <t>sanitaire ruimte</t>
  </si>
  <si>
    <t>27A</t>
  </si>
  <si>
    <t>27B</t>
  </si>
  <si>
    <t>1.14A</t>
  </si>
  <si>
    <t>1.14B</t>
  </si>
  <si>
    <t>1.31A</t>
  </si>
  <si>
    <t>1.31B</t>
  </si>
  <si>
    <t>1.25A</t>
  </si>
  <si>
    <t>1.25B</t>
  </si>
  <si>
    <t>personeelsbedrijf</t>
  </si>
  <si>
    <t>directieverblijf</t>
  </si>
  <si>
    <t>OBS De Weremere</t>
  </si>
  <si>
    <t>entree onderbouw</t>
  </si>
  <si>
    <t>entree bovenbouw</t>
  </si>
  <si>
    <t>B0.07b</t>
  </si>
  <si>
    <t>berging speellokaal</t>
  </si>
  <si>
    <t>B0.08b</t>
  </si>
  <si>
    <t>stoelenberging</t>
  </si>
  <si>
    <t>B0.15</t>
  </si>
  <si>
    <t>B0.16</t>
  </si>
  <si>
    <t>bergin audio visuele midd.</t>
  </si>
  <si>
    <t>B0.17</t>
  </si>
  <si>
    <t>berging leermiddelen</t>
  </si>
  <si>
    <t>B0.18</t>
  </si>
  <si>
    <t>B0.19</t>
  </si>
  <si>
    <t>lokaal bovenbouw</t>
  </si>
  <si>
    <t>B0.20</t>
  </si>
  <si>
    <t>B0.21</t>
  </si>
  <si>
    <t>algemene berging</t>
  </si>
  <si>
    <t>B0.22</t>
  </si>
  <si>
    <t>B0.23</t>
  </si>
  <si>
    <t>technisch lokaal</t>
  </si>
  <si>
    <t>B0.24</t>
  </si>
  <si>
    <t>B0.25</t>
  </si>
  <si>
    <t>B0.27</t>
  </si>
  <si>
    <t>B0.29</t>
  </si>
  <si>
    <t>B0.30</t>
  </si>
  <si>
    <t>B0.31</t>
  </si>
  <si>
    <t>B0.32</t>
  </si>
  <si>
    <t>B0.33</t>
  </si>
  <si>
    <t>B0.34</t>
  </si>
  <si>
    <t>B0.35</t>
  </si>
  <si>
    <t>B0.37</t>
  </si>
  <si>
    <t>B0.38</t>
  </si>
  <si>
    <t>B0.39</t>
  </si>
  <si>
    <t>B0.42</t>
  </si>
  <si>
    <t>B0.43</t>
  </si>
  <si>
    <t>B0.44</t>
  </si>
  <si>
    <t>B0.45</t>
  </si>
  <si>
    <t>B0.46</t>
  </si>
  <si>
    <t>B0.47</t>
  </si>
  <si>
    <t>B0.48</t>
  </si>
  <si>
    <t>B0.49</t>
  </si>
  <si>
    <t>B0.50</t>
  </si>
  <si>
    <t>B0.51</t>
  </si>
  <si>
    <t>B0.52</t>
  </si>
  <si>
    <t>B0.53</t>
  </si>
  <si>
    <t>B0.54</t>
  </si>
  <si>
    <t>B0.55</t>
  </si>
  <si>
    <t>B0.56</t>
  </si>
  <si>
    <t>B0.57</t>
  </si>
  <si>
    <t>B0.58</t>
  </si>
  <si>
    <t>B0.59</t>
  </si>
  <si>
    <t>B0.60</t>
  </si>
  <si>
    <t>B0.61</t>
  </si>
  <si>
    <t>B0.62</t>
  </si>
  <si>
    <t>B0.63</t>
  </si>
  <si>
    <t>B0.64</t>
  </si>
  <si>
    <t>B0.66</t>
  </si>
  <si>
    <t>B0.67</t>
  </si>
  <si>
    <t>Periodiek</t>
  </si>
  <si>
    <t>210 keer per jaar +  5 dagen Herfst en 5 dagen voorjaarvakantie</t>
  </si>
  <si>
    <t>210 keer per jaar</t>
  </si>
  <si>
    <t>Wijdewormerplein 1</t>
  </si>
  <si>
    <t>Weiver 2</t>
  </si>
  <si>
    <t>Paling 2</t>
  </si>
  <si>
    <t>Rietschoot 342</t>
  </si>
  <si>
    <t>De Haal 44</t>
  </si>
  <si>
    <t>Ds. M.L. Kingstraat 2d</t>
  </si>
  <si>
    <t>Landsmeer</t>
  </si>
  <si>
    <t>Poortwachtersweg 3</t>
  </si>
  <si>
    <t>Den Ilp 88</t>
  </si>
  <si>
    <t>Zandweg 15</t>
  </si>
  <si>
    <t>Kameelstraat 24</t>
  </si>
  <si>
    <t>OBS De Nieuwe Wereld</t>
  </si>
  <si>
    <t>Yellowstone 7-9</t>
  </si>
  <si>
    <t>OBS De Nieuwe Wereld Piek</t>
  </si>
  <si>
    <t>Yellowstone 11</t>
  </si>
  <si>
    <t>K.01</t>
  </si>
  <si>
    <t>L.12</t>
  </si>
  <si>
    <t>T.04A</t>
  </si>
  <si>
    <t>Kantoor OPSPOOR-SKOP</t>
  </si>
  <si>
    <t>kantoorruimte</t>
  </si>
  <si>
    <t>3e</t>
  </si>
  <si>
    <t>Waterlandlaan 30</t>
  </si>
  <si>
    <t>Puremerend</t>
  </si>
  <si>
    <t>noodlokaal</t>
  </si>
  <si>
    <t>noodlokaal 1e</t>
  </si>
  <si>
    <t>lokaal bso</t>
  </si>
  <si>
    <t>sanitair bso</t>
  </si>
  <si>
    <t>docentenruimte</t>
  </si>
  <si>
    <t>bergruimte</t>
  </si>
  <si>
    <t>miva</t>
  </si>
  <si>
    <t>leslokaal bso</t>
  </si>
  <si>
    <t>overige ruimte</t>
  </si>
  <si>
    <t>entree (tos)</t>
  </si>
  <si>
    <t>gang (was h.002)</t>
  </si>
  <si>
    <t>gang (tos)</t>
  </si>
  <si>
    <t>lokaal(tos)</t>
  </si>
  <si>
    <t>kantoor (3x) (tos)</t>
  </si>
  <si>
    <t>docentekamer</t>
  </si>
  <si>
    <t>bibliotheek (was o.001)</t>
  </si>
  <si>
    <t>ruimte schoonmaak</t>
  </si>
  <si>
    <t>peuterspeelzaal bso</t>
  </si>
  <si>
    <t>personeelsruimte (tos)</t>
  </si>
  <si>
    <t>speellokaal psz</t>
  </si>
  <si>
    <t>toilet (tos)</t>
  </si>
  <si>
    <t>trappenhuis bij g.001</t>
  </si>
  <si>
    <t>trappenhuis bij p.001</t>
  </si>
  <si>
    <t>zorgruimte</t>
  </si>
  <si>
    <t>speelzaal bso</t>
  </si>
  <si>
    <t>entree bso</t>
  </si>
  <si>
    <t>hal na bieb</t>
  </si>
  <si>
    <t>toilet bso</t>
  </si>
  <si>
    <t>rt/ib</t>
  </si>
  <si>
    <t>leslokaal (rechts achter) bso</t>
  </si>
  <si>
    <t>toillet</t>
  </si>
  <si>
    <t>speel/sportruimte</t>
  </si>
  <si>
    <t>miva/toilet</t>
  </si>
  <si>
    <t>directie kantoor</t>
  </si>
  <si>
    <t>slaapplek  (kinderopvang)</t>
  </si>
  <si>
    <t>bergruimte  (kinderopvang)</t>
  </si>
  <si>
    <t>verschoon  (kinderopvang)</t>
  </si>
  <si>
    <t>opvang ruimte (kinderopvang)</t>
  </si>
  <si>
    <t>huiskamer (kinderopvang)</t>
  </si>
  <si>
    <t>open werkpleck</t>
  </si>
  <si>
    <t>gang/entree</t>
  </si>
  <si>
    <t>pantry bso</t>
  </si>
  <si>
    <t>aula incl. pantry</t>
  </si>
  <si>
    <t>kleuter</t>
  </si>
  <si>
    <t>leslokaal bso/kdv</t>
  </si>
  <si>
    <t>slaapruimte bso/kdv</t>
  </si>
  <si>
    <t>entree bso/kdv</t>
  </si>
  <si>
    <t>gang bso/kdv</t>
  </si>
  <si>
    <t>toilet b so/kdv</t>
  </si>
  <si>
    <t>keuken bso/kdv</t>
  </si>
  <si>
    <t>ib / rt</t>
  </si>
  <si>
    <t>biblio - onderwijs ass.</t>
  </si>
  <si>
    <t>opslag techniek</t>
  </si>
  <si>
    <t>toilet kdv</t>
  </si>
  <si>
    <t>entree bij p.01</t>
  </si>
  <si>
    <t>peuterspeelruimte</t>
  </si>
  <si>
    <t>bergkast</t>
  </si>
  <si>
    <t>vrije ruimte</t>
  </si>
  <si>
    <t>trap bij e.001</t>
  </si>
  <si>
    <t>trap bij e.002</t>
  </si>
  <si>
    <t>computerhoek</t>
  </si>
  <si>
    <t>Stichting Opspoor</t>
  </si>
  <si>
    <t>BSO 't Tilletje</t>
  </si>
  <si>
    <t>KDV '' Tilletje</t>
  </si>
  <si>
    <t>KDV '' Tilletje inclusief houten trap</t>
  </si>
  <si>
    <t>inclusief houten trap</t>
  </si>
  <si>
    <t>Elke vrijdag</t>
  </si>
  <si>
    <t>Gebruik SKOP</t>
  </si>
  <si>
    <t>Met strook lino</t>
  </si>
  <si>
    <t>PSZ "Boterbloempje"</t>
  </si>
  <si>
    <t>St. Alexander Roozendaalschool</t>
  </si>
  <si>
    <t>SKOP Boterbloempje/speellokaal BSO</t>
  </si>
  <si>
    <t>50% gebruik school</t>
  </si>
  <si>
    <t>50% gebruik St. Alexander Roozendaalschool</t>
  </si>
  <si>
    <t>SKOP BSO Gorsebos</t>
  </si>
  <si>
    <t>Deels gebruik SKOP</t>
  </si>
  <si>
    <t>Gebruik door BSO</t>
  </si>
  <si>
    <t>Nieuw verwerkt + BSO ruimte</t>
  </si>
  <si>
    <t>: afkortingen voor ruimtecategorieën bij toepassing van VSR-kwaliteitsmetingen V=verkeersruimten, S=Sanitaire ruimten, B=Bureaukamer, L=Leslokalen en Sp=Gym- sportzaal</t>
  </si>
  <si>
    <t>Schoonmaak door opvang</t>
  </si>
  <si>
    <t>NA GOEDKEURING INVESTERING MACHINEKOSTEN (BLAD 1.6-MACHINE-INVESTERINGSKOSTEN)</t>
  </si>
  <si>
    <t>Perceel 3 totalen</t>
  </si>
  <si>
    <r>
      <t xml:space="preserve">Zie voor handeling </t>
    </r>
    <r>
      <rPr>
        <sz val="11"/>
        <color rgb="FF424242"/>
        <rFont val="Avenir Black Oblique"/>
      </rPr>
      <t>'Bijlage D, tabblad aanwiijzingen'</t>
    </r>
  </si>
  <si>
    <t>2027 V1</t>
  </si>
  <si>
    <t>1501-102-2026</t>
  </si>
  <si>
    <t>Uitvoering normale werktijden: maandag t/m vrijdag [06.00 en 21.30 uur]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</si>
</sst>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&quot;€&quot;* #,##0.00_);_(&quot;€&quot;* \(#,##0.00\);_(&quot;€&quot;* &quot;-&quot;??_);_(@_)"/>
    <numFmt numFmtId="168" formatCode="_(&quot;ƒ&quot;* #,##0.00_);_(&quot;ƒ&quot;* \(#,##0.00\);_(&quot;ƒ&quot;* &quot;-&quot;??_);_(@_)"/>
    <numFmt numFmtId="169" formatCode="_-* #,##0.00_-;\-* #,##0.00_-;_-* &quot;-&quot;??_-;_-@_-"/>
    <numFmt numFmtId="170" formatCode="&quot;Fl.&quot;#,##0;\-&quot;Fl.&quot;#,##0"/>
    <numFmt numFmtId="171" formatCode="&quot;Fl.&quot;#,##0;[Red]\-&quot;Fl.&quot;#,##0"/>
    <numFmt numFmtId="172" formatCode="_-&quot;ƒ&quot;\ * #,##0.00_-;_-&quot;ƒ&quot;\ * #,##0.00\-;_-&quot;ƒ&quot;\ * &quot;-&quot;??_-;_-@_-"/>
    <numFmt numFmtId="173" formatCode="0_)"/>
    <numFmt numFmtId="174" formatCode="General_)"/>
    <numFmt numFmtId="175" formatCode="0.00_)"/>
    <numFmt numFmtId="176" formatCode="0.000"/>
    <numFmt numFmtId="177" formatCode="_-* #,##0_-;_-* #,##0\-;_-* &quot;-&quot;??_-;_-@_-"/>
    <numFmt numFmtId="178" formatCode="00,000"/>
    <numFmt numFmtId="179" formatCode="0.0%"/>
    <numFmt numFmtId="180" formatCode="0.0"/>
    <numFmt numFmtId="181" formatCode="#,##0.0"/>
    <numFmt numFmtId="182" formatCode="_-* #,##0.000_-;_-* #,##0.000\-;_-* &quot;-&quot;??_-;_-@_-"/>
    <numFmt numFmtId="183" formatCode="0.000%"/>
    <numFmt numFmtId="184" formatCode="_-[$€-2]\ * #,##0.00_ ;_-[$€-2]\ * \-#,##0.00\ ;_-[$€-2]\ * &quot;-&quot;??_ ;_-@_ "/>
    <numFmt numFmtId="185" formatCode="_([$€-2]\ * #,##0.00_);_([$€-2]\ * \(#,##0.00\);_([$€-2]\ * &quot;-&quot;??_);_(@_)"/>
    <numFmt numFmtId="186" formatCode="#,000"/>
    <numFmt numFmtId="187" formatCode="_-[$€-2]\ * #,##0.00_-;_-[$€-2]\ * #,##0.00\-;_-[$€-2]\ * &quot;-&quot;??_-;_-@_-"/>
    <numFmt numFmtId="188" formatCode="mm/dd/yyyy"/>
    <numFmt numFmtId="189" formatCode="[$-413]d\-mmm\-yy;@"/>
    <numFmt numFmtId="190" formatCode="_-[$€-413]\ * #,##0.00_-;_-[$€-413]\ * #,##0.00\-;_-[$€-413]\ * &quot;-&quot;??_-;_-@_-"/>
    <numFmt numFmtId="191" formatCode="[$-413]d/mmm/yy;@"/>
    <numFmt numFmtId="192" formatCode="dd/mmmm/yyyy"/>
    <numFmt numFmtId="193" formatCode="[$-413]dd/mmm/yy;@"/>
    <numFmt numFmtId="194" formatCode="&quot;fl&quot;\ #,##0_-;[Red]&quot;fl&quot;\ #,##0\-"/>
    <numFmt numFmtId="195" formatCode="_-[$€]\ * #,##0.00_-;_-[$€]\ * #,##0.00\-;_-[$€]\ * &quot;-&quot;??_-;_-@_-"/>
    <numFmt numFmtId="196" formatCode="_([$€]\ * #,##0.00_);_([$€]\ * \(#,##0.00\);_([$€]\ * &quot;-&quot;??_);_(@_)"/>
    <numFmt numFmtId="197" formatCode="_-&quot;fl&quot;\ * #,##0.00_-;_-&quot;fl&quot;\ * #,##0.00\-;_-&quot;fl&quot;\ * &quot;-&quot;??_-;_-@_-"/>
    <numFmt numFmtId="198" formatCode="_ [$€-413]\ * #,##0.00_ ;_ [$€-413]\ * \-#,##0.00_ ;_ [$€-413]\ * &quot;-&quot;??_ ;_ @_ "/>
    <numFmt numFmtId="199" formatCode="00"/>
    <numFmt numFmtId="200" formatCode="yyyy/mm/dd;@"/>
    <numFmt numFmtId="201" formatCode="0\ &quot;x jaar&quot;"/>
    <numFmt numFmtId="202" formatCode="0.0000000%"/>
  </numFmts>
  <fonts count="155">
    <font>
      <sz val="10"/>
      <name val="MS Sans Serif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12"/>
      <name val="Times"/>
      <family val="1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2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0"/>
      <color theme="0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10"/>
      <color indexed="63"/>
      <name val="Avenir Book"/>
      <family val="2"/>
    </font>
    <font>
      <b/>
      <sz val="10"/>
      <color indexed="63"/>
      <name val="Avenir Book"/>
      <family val="2"/>
    </font>
    <font>
      <sz val="10"/>
      <color indexed="10"/>
      <name val="Avenir Book"/>
      <family val="2"/>
    </font>
    <font>
      <sz val="12"/>
      <color indexed="63"/>
      <name val="Avenir Book"/>
      <family val="2"/>
    </font>
    <font>
      <b/>
      <sz val="12"/>
      <name val="Avenir Book"/>
      <family val="2"/>
    </font>
    <font>
      <b/>
      <sz val="12"/>
      <color indexed="63"/>
      <name val="Avenir Book"/>
      <family val="2"/>
    </font>
    <font>
      <sz val="12"/>
      <color indexed="10"/>
      <name val="Avenir Book"/>
      <family val="2"/>
    </font>
    <font>
      <sz val="12"/>
      <name val="Avenir Book"/>
      <family val="2"/>
    </font>
    <font>
      <b/>
      <sz val="22"/>
      <color rgb="FFFF0000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2"/>
      <color theme="1" tint="4.9989318521683403E-2"/>
      <name val="Avenir Book"/>
      <family val="2"/>
    </font>
    <font>
      <sz val="12"/>
      <color theme="1" tint="4.9989318521683403E-2"/>
      <name val="Avenir Book"/>
      <family val="2"/>
    </font>
    <font>
      <b/>
      <sz val="10"/>
      <color indexed="10"/>
      <name val="Avenir Book"/>
      <family val="2"/>
    </font>
    <font>
      <b/>
      <sz val="10"/>
      <color theme="1" tint="4.9989318521683403E-2"/>
      <name val="Avenir Book"/>
      <family val="2"/>
    </font>
    <font>
      <sz val="10"/>
      <color theme="0"/>
      <name val="Avenir Book"/>
      <family val="2"/>
    </font>
    <font>
      <b/>
      <i/>
      <sz val="10"/>
      <color rgb="FFFF0000"/>
      <name val="Avenir Book"/>
      <family val="2"/>
    </font>
    <font>
      <sz val="10"/>
      <color theme="1" tint="4.9989318521683403E-2"/>
      <name val="Avenir Book"/>
      <family val="2"/>
    </font>
    <font>
      <i/>
      <sz val="10"/>
      <color rgb="FF424242"/>
      <name val="Avenir Book"/>
      <family val="2"/>
    </font>
    <font>
      <b/>
      <sz val="12"/>
      <name val="Avenir Heavy"/>
      <family val="2"/>
    </font>
    <font>
      <b/>
      <sz val="12"/>
      <color theme="1"/>
      <name val="Avenir Heavy"/>
      <family val="2"/>
    </font>
    <font>
      <b/>
      <sz val="10"/>
      <color indexed="63"/>
      <name val="Avenir Heavy"/>
      <family val="2"/>
    </font>
    <font>
      <b/>
      <sz val="12"/>
      <color theme="1" tint="4.9989318521683403E-2"/>
      <name val="Avenir Heavy"/>
      <family val="2"/>
    </font>
    <font>
      <b/>
      <sz val="10"/>
      <color theme="1" tint="4.9989318521683403E-2"/>
      <name val="Avenir Heavy"/>
      <family val="2"/>
    </font>
    <font>
      <b/>
      <sz val="10"/>
      <color theme="0"/>
      <name val="Avenir Heavy"/>
      <family val="2"/>
    </font>
    <font>
      <b/>
      <sz val="10"/>
      <name val="Avenir Book"/>
      <family val="2"/>
    </font>
    <font>
      <b/>
      <sz val="10"/>
      <color theme="0"/>
      <name val="Avenir Book"/>
      <family val="2"/>
    </font>
    <font>
      <sz val="10"/>
      <color indexed="63"/>
      <name val="Avenir Heavy"/>
      <family val="2"/>
    </font>
    <font>
      <b/>
      <sz val="10"/>
      <name val="Avenir Heavy"/>
      <family val="2"/>
    </font>
    <font>
      <i/>
      <sz val="10"/>
      <color indexed="63"/>
      <name val="Avenir Book"/>
      <family val="2"/>
    </font>
    <font>
      <b/>
      <sz val="12"/>
      <color indexed="10"/>
      <name val="Avenir Book"/>
      <family val="2"/>
    </font>
    <font>
      <b/>
      <sz val="10"/>
      <color theme="2" tint="0.79998168889431442"/>
      <name val="Avenir Book"/>
      <family val="2"/>
    </font>
    <font>
      <sz val="10"/>
      <color rgb="FFFF0000"/>
      <name val="Avenir Book"/>
      <family val="2"/>
    </font>
    <font>
      <sz val="10"/>
      <color theme="1"/>
      <name val="Avenir Book"/>
      <family val="2"/>
    </font>
    <font>
      <b/>
      <sz val="10"/>
      <color theme="1"/>
      <name val="Avenir Book"/>
      <family val="2"/>
    </font>
    <font>
      <sz val="10"/>
      <color theme="2"/>
      <name val="Avenir Book"/>
      <family val="2"/>
    </font>
    <font>
      <sz val="10"/>
      <color theme="0" tint="-0.499984740745262"/>
      <name val="Avenir Book"/>
      <family val="2"/>
    </font>
    <font>
      <b/>
      <sz val="9"/>
      <name val="Avenir Book"/>
      <family val="2"/>
    </font>
    <font>
      <sz val="11"/>
      <name val="Avenir Book"/>
      <family val="2"/>
    </font>
    <font>
      <b/>
      <i/>
      <sz val="10"/>
      <color theme="1" tint="4.9989318521683403E-2"/>
      <name val="Avenir Book"/>
      <family val="2"/>
    </font>
    <font>
      <b/>
      <sz val="12"/>
      <color indexed="63"/>
      <name val="Avenir Heavy"/>
      <family val="2"/>
    </font>
    <font>
      <sz val="12"/>
      <name val="Avenir Heavy"/>
      <family val="2"/>
    </font>
    <font>
      <sz val="10"/>
      <name val="Avenir Heavy"/>
      <family val="2"/>
    </font>
    <font>
      <sz val="10"/>
      <color theme="0"/>
      <name val="Avenir Heavy"/>
      <family val="2"/>
    </font>
    <font>
      <sz val="10"/>
      <color indexed="9"/>
      <name val="Avenir Book"/>
      <family val="2"/>
    </font>
    <font>
      <sz val="12"/>
      <color theme="1"/>
      <name val="Avenir Heavy"/>
      <family val="2"/>
    </font>
    <font>
      <sz val="12"/>
      <color indexed="63"/>
      <name val="Avenir Heavy"/>
      <family val="2"/>
    </font>
    <font>
      <b/>
      <sz val="10"/>
      <color rgb="FFFF0000"/>
      <name val="Avenir Book"/>
      <family val="2"/>
    </font>
    <font>
      <i/>
      <sz val="12"/>
      <color indexed="63"/>
      <name val="Avenir Book"/>
      <family val="2"/>
    </font>
    <font>
      <i/>
      <sz val="10"/>
      <color theme="1"/>
      <name val="Avenir Book"/>
      <family val="2"/>
    </font>
    <font>
      <sz val="9"/>
      <name val="Avenir Book"/>
      <family val="2"/>
    </font>
    <font>
      <sz val="11"/>
      <color theme="1"/>
      <name val="Avenir Book"/>
      <family val="2"/>
    </font>
    <font>
      <b/>
      <sz val="14"/>
      <name val="Avenir Book"/>
      <family val="2"/>
    </font>
    <font>
      <sz val="10"/>
      <color theme="2" tint="-0.499984740745262"/>
      <name val="Avenir Book"/>
      <family val="2"/>
    </font>
    <font>
      <sz val="9"/>
      <color theme="2" tint="-0.499984740745262"/>
      <name val="Avenir Book"/>
      <family val="2"/>
    </font>
    <font>
      <sz val="6"/>
      <color theme="0"/>
      <name val="Avenir Book"/>
      <family val="2"/>
    </font>
    <font>
      <b/>
      <i/>
      <sz val="10"/>
      <name val="Avenir Book"/>
      <family val="2"/>
    </font>
    <font>
      <b/>
      <i/>
      <sz val="10"/>
      <color indexed="63"/>
      <name val="Avenir Book"/>
      <family val="2"/>
    </font>
    <font>
      <b/>
      <i/>
      <sz val="9"/>
      <name val="Avenir Book"/>
      <family val="2"/>
    </font>
    <font>
      <i/>
      <sz val="9"/>
      <name val="Avenir Book"/>
      <family val="2"/>
    </font>
    <font>
      <sz val="9"/>
      <color theme="0"/>
      <name val="Avenir Book"/>
      <family val="2"/>
    </font>
    <font>
      <b/>
      <sz val="14"/>
      <color rgb="FF455266"/>
      <name val="Avenir Book"/>
      <family val="2"/>
    </font>
    <font>
      <sz val="10"/>
      <color indexed="63"/>
      <name val="Avenir Heavy Oblique"/>
    </font>
    <font>
      <b/>
      <sz val="9"/>
      <color theme="0"/>
      <name val="Avenir Book"/>
      <family val="2"/>
    </font>
    <font>
      <b/>
      <sz val="10"/>
      <color theme="1"/>
      <name val="Avenir Heavy"/>
      <family val="2"/>
    </font>
    <font>
      <sz val="10"/>
      <color theme="1"/>
      <name val="Avenir Heavy"/>
      <family val="2"/>
    </font>
    <font>
      <b/>
      <i/>
      <sz val="10"/>
      <color theme="0"/>
      <name val="Avenir Book"/>
      <family val="2"/>
    </font>
    <font>
      <b/>
      <sz val="12"/>
      <color theme="0"/>
      <name val="Avenir Book"/>
      <family val="2"/>
    </font>
    <font>
      <sz val="9"/>
      <color indexed="63"/>
      <name val="Avenir Book"/>
      <family val="2"/>
    </font>
    <font>
      <b/>
      <sz val="12"/>
      <color theme="1"/>
      <name val="Avenir Book"/>
      <family val="2"/>
    </font>
    <font>
      <sz val="12"/>
      <name val="Avenir Black"/>
      <family val="2"/>
    </font>
    <font>
      <sz val="11"/>
      <color indexed="63"/>
      <name val="Avenir Book"/>
      <family val="2"/>
    </font>
    <font>
      <sz val="11"/>
      <color theme="1" tint="4.9989318521683403E-2"/>
      <name val="Avenir Book"/>
      <family val="2"/>
    </font>
    <font>
      <b/>
      <sz val="11"/>
      <color theme="1" tint="4.9989318521683403E-2"/>
      <name val="Avenir Book"/>
      <family val="2"/>
    </font>
    <font>
      <b/>
      <sz val="11"/>
      <color indexed="63"/>
      <name val="Avenir Book"/>
      <family val="2"/>
    </font>
    <font>
      <i/>
      <sz val="11"/>
      <color rgb="FF424242"/>
      <name val="Avenir Book"/>
      <family val="2"/>
    </font>
    <font>
      <i/>
      <sz val="10"/>
      <color theme="0"/>
      <name val="Avenir Book"/>
      <family val="2"/>
    </font>
    <font>
      <sz val="12"/>
      <color rgb="FF000000"/>
      <name val="Avenir Black"/>
      <family val="2"/>
    </font>
    <font>
      <sz val="10"/>
      <color theme="1" tint="4.9989318521683403E-2"/>
      <name val="Verdana"/>
      <family val="2"/>
    </font>
    <font>
      <sz val="9"/>
      <color theme="0" tint="-0.499984740745262"/>
      <name val="Verdana"/>
      <family val="2"/>
    </font>
    <font>
      <sz val="10"/>
      <color rgb="FF424242"/>
      <name val="Avenir Book"/>
      <family val="2"/>
    </font>
    <font>
      <b/>
      <sz val="10"/>
      <color indexed="9"/>
      <name val="Avenir Book"/>
      <family val="2"/>
    </font>
    <font>
      <b/>
      <sz val="14"/>
      <color indexed="63"/>
      <name val="Avenir Heavy"/>
      <family val="2"/>
    </font>
    <font>
      <sz val="10"/>
      <color indexed="63"/>
      <name val="Avenir Black"/>
      <family val="2"/>
    </font>
    <font>
      <sz val="11"/>
      <color rgb="FF424242"/>
      <name val="Avenir Black Oblique"/>
    </font>
    <font>
      <b/>
      <sz val="12"/>
      <color theme="0"/>
      <name val="Avenir Heavy"/>
      <family val="2"/>
    </font>
    <font>
      <sz val="10"/>
      <color rgb="FFFCFDF9"/>
      <name val="Avenir Book"/>
      <family val="2"/>
    </font>
    <font>
      <sz val="10"/>
      <color rgb="FFFCFDF9"/>
      <name val="Avenir Heavy"/>
      <family val="2"/>
    </font>
    <font>
      <b/>
      <sz val="10"/>
      <color rgb="FFFCFDF9"/>
      <name val="Avenir Book"/>
      <family val="2"/>
    </font>
    <font>
      <b/>
      <sz val="10"/>
      <color rgb="FFFCFDF9"/>
      <name val="Avenir Heavy"/>
      <family val="2"/>
    </font>
    <font>
      <sz val="10"/>
      <color theme="0"/>
      <name val="Avenir Black"/>
      <family val="2"/>
    </font>
    <font>
      <sz val="10"/>
      <color theme="1"/>
      <name val="MS Sans Serif"/>
      <family val="2"/>
    </font>
    <font>
      <sz val="10"/>
      <color indexed="63"/>
      <name val="MS Sans Serif"/>
      <family val="2"/>
    </font>
    <font>
      <sz val="10"/>
      <color rgb="FFFF0000"/>
      <name val="Verdana"/>
      <family val="2"/>
    </font>
    <font>
      <sz val="12"/>
      <color rgb="FFFF0000"/>
      <name val="Avenir Book"/>
      <family val="2"/>
    </font>
  </fonts>
  <fills count="5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55266"/>
        <bgColor indexed="64"/>
      </patternFill>
    </fill>
    <fill>
      <patternFill patternType="solid">
        <fgColor rgb="FFC4BA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7A800"/>
        <bgColor indexed="64"/>
      </patternFill>
    </fill>
    <fill>
      <patternFill patternType="solid">
        <fgColor rgb="FF4451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4637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455266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455266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/>
      <right/>
      <top style="thin">
        <color theme="0"/>
      </top>
      <bottom/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rgb="FF455266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/>
      <diagonal/>
    </border>
    <border>
      <left/>
      <right/>
      <top style="double">
        <color theme="0" tint="-0.34998626667073579"/>
      </top>
      <bottom/>
      <diagonal/>
    </border>
    <border>
      <left/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/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  <border>
      <left/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55"/>
      </top>
      <bottom style="thin">
        <color indexed="55"/>
      </bottom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0" tint="-0.34998626667073579"/>
      </diagonal>
    </border>
    <border>
      <left style="double">
        <color rgb="FFC4BA47"/>
      </left>
      <right/>
      <top style="double">
        <color rgb="FFC4BA47"/>
      </top>
      <bottom/>
      <diagonal/>
    </border>
    <border>
      <left/>
      <right style="double">
        <color rgb="FFC4BA47"/>
      </right>
      <top style="double">
        <color rgb="FFC4BA47"/>
      </top>
      <bottom/>
      <diagonal/>
    </border>
    <border>
      <left style="double">
        <color rgb="FFC4BA47"/>
      </left>
      <right/>
      <top/>
      <bottom/>
      <diagonal/>
    </border>
    <border>
      <left/>
      <right style="double">
        <color rgb="FFC4BA47"/>
      </right>
      <top/>
      <bottom/>
      <diagonal/>
    </border>
    <border>
      <left style="double">
        <color rgb="FFC4BA47"/>
      </left>
      <right/>
      <top/>
      <bottom style="double">
        <color rgb="FFC4BA47"/>
      </bottom>
      <diagonal/>
    </border>
    <border>
      <left/>
      <right style="double">
        <color rgb="FFC4BA47"/>
      </right>
      <top/>
      <bottom style="double">
        <color rgb="FFC4BA47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double">
        <color auto="1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  <border diagonalUp="1" diagonalDown="1">
      <left style="thin">
        <color indexed="23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 style="thin">
        <color rgb="FFFF0000"/>
      </diagonal>
    </border>
  </borders>
  <cellStyleXfs count="3333">
    <xf numFmtId="0" fontId="0" fillId="0" borderId="0"/>
    <xf numFmtId="0" fontId="21" fillId="3" borderId="1" applyNumberFormat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4" fillId="0" borderId="0"/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166" fontId="4" fillId="0" borderId="0" applyFont="0" applyFill="0" applyBorder="0" applyAlignment="0" applyProtection="0"/>
    <xf numFmtId="0" fontId="24" fillId="6" borderId="0"/>
    <xf numFmtId="166" fontId="25" fillId="0" borderId="0">
      <alignment horizontal="center" vertical="center" textRotation="90" wrapText="1"/>
    </xf>
    <xf numFmtId="0" fontId="26" fillId="5" borderId="3"/>
    <xf numFmtId="170" fontId="14" fillId="0" borderId="0"/>
    <xf numFmtId="0" fontId="27" fillId="4" borderId="0" applyNumberFormat="0" applyBorder="0" applyAlignment="0" applyProtection="0"/>
    <xf numFmtId="0" fontId="5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4" fillId="0" borderId="0" applyFont="0" applyFill="0" applyBorder="0" applyAlignment="0" applyProtection="0"/>
    <xf numFmtId="0" fontId="26" fillId="7" borderId="4" applyNumberFormat="0" applyFont="0" applyBorder="0">
      <alignment horizontal="center"/>
    </xf>
    <xf numFmtId="0" fontId="5" fillId="0" borderId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172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8" fillId="0" borderId="0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8" borderId="0" applyNumberFormat="0" applyBorder="0" applyAlignment="0" applyProtection="0"/>
    <xf numFmtId="0" fontId="41" fillId="13" borderId="0" applyNumberFormat="0" applyBorder="0" applyAlignment="0" applyProtection="0"/>
    <xf numFmtId="0" fontId="21" fillId="3" borderId="1" applyNumberFormat="0" applyAlignment="0" applyProtection="0"/>
    <xf numFmtId="0" fontId="21" fillId="29" borderId="1" applyNumberFormat="0" applyAlignment="0" applyProtection="0"/>
    <xf numFmtId="0" fontId="42" fillId="30" borderId="22" applyNumberFormat="0" applyAlignment="0" applyProtection="0"/>
    <xf numFmtId="38" fontId="4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30" borderId="22" applyNumberFormat="0" applyAlignment="0" applyProtection="0"/>
    <xf numFmtId="194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4" borderId="1" applyNumberFormat="0" applyAlignment="0" applyProtection="0"/>
    <xf numFmtId="0" fontId="50" fillId="16" borderId="1" applyNumberFormat="0" applyAlignment="0" applyProtection="0"/>
    <xf numFmtId="166" fontId="3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1" fillId="0" borderId="26" applyNumberFormat="0" applyFill="0" applyAlignment="0" applyProtection="0"/>
    <xf numFmtId="0" fontId="52" fillId="0" borderId="24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3" fillId="0" borderId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4" fillId="31" borderId="28" applyNumberFormat="0" applyFont="0" applyAlignment="0" applyProtection="0"/>
    <xf numFmtId="0" fontId="7" fillId="31" borderId="28" applyNumberFormat="0" applyFont="0" applyAlignment="0" applyProtection="0"/>
    <xf numFmtId="0" fontId="41" fillId="13" borderId="0" applyNumberFormat="0" applyBorder="0" applyAlignment="0" applyProtection="0"/>
    <xf numFmtId="0" fontId="54" fillId="29" borderId="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29" fillId="0" borderId="30" applyNumberFormat="0" applyFill="0" applyAlignment="0" applyProtection="0"/>
    <xf numFmtId="0" fontId="54" fillId="3" borderId="29" applyNumberFormat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4" fillId="0" borderId="0"/>
    <xf numFmtId="0" fontId="58" fillId="0" borderId="0"/>
    <xf numFmtId="0" fontId="59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1" fillId="0" borderId="0"/>
  </cellStyleXfs>
  <cellXfs count="838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8" fillId="0" borderId="0" xfId="19" applyFont="1" applyAlignment="1">
      <alignment vertical="center"/>
    </xf>
    <xf numFmtId="184" fontId="18" fillId="0" borderId="0" xfId="19" applyNumberFormat="1" applyFont="1" applyAlignment="1">
      <alignment vertical="center"/>
    </xf>
    <xf numFmtId="43" fontId="18" fillId="0" borderId="0" xfId="19" applyNumberFormat="1" applyFont="1" applyAlignment="1">
      <alignment vertical="center"/>
    </xf>
    <xf numFmtId="0" fontId="33" fillId="0" borderId="0" xfId="19" applyFont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0" xfId="0" quotePrefix="1" applyFont="1" applyAlignment="1">
      <alignment vertical="center"/>
    </xf>
    <xf numFmtId="2" fontId="36" fillId="10" borderId="0" xfId="0" applyNumberFormat="1" applyFont="1" applyFill="1" applyAlignment="1">
      <alignment horizontal="center" vertical="center" wrapText="1"/>
    </xf>
    <xf numFmtId="188" fontId="18" fillId="0" borderId="9" xfId="0" applyNumberFormat="1" applyFont="1" applyBorder="1" applyAlignment="1">
      <alignment vertical="center"/>
    </xf>
    <xf numFmtId="191" fontId="18" fillId="0" borderId="9" xfId="0" applyNumberFormat="1" applyFont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193" fontId="18" fillId="0" borderId="10" xfId="0" applyNumberFormat="1" applyFont="1" applyBorder="1" applyAlignment="1">
      <alignment horizontal="center" vertical="center"/>
    </xf>
    <xf numFmtId="190" fontId="14" fillId="0" borderId="7" xfId="31" applyNumberFormat="1" applyFont="1" applyBorder="1" applyAlignment="1">
      <alignment vertical="center"/>
    </xf>
    <xf numFmtId="190" fontId="14" fillId="0" borderId="7" xfId="0" applyNumberFormat="1" applyFont="1" applyBorder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90" fontId="14" fillId="0" borderId="0" xfId="0" applyNumberFormat="1" applyFont="1"/>
    <xf numFmtId="0" fontId="17" fillId="0" borderId="0" xfId="19" applyFont="1" applyAlignment="1">
      <alignment vertical="center" wrapText="1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9" fillId="0" borderId="0" xfId="19" applyFont="1" applyAlignment="1">
      <alignment vertical="center"/>
    </xf>
    <xf numFmtId="49" fontId="18" fillId="0" borderId="0" xfId="16" applyNumberFormat="1" applyFont="1" applyAlignment="1" applyProtection="1">
      <alignment horizontal="left" vertical="center"/>
      <protection hidden="1"/>
    </xf>
    <xf numFmtId="0" fontId="33" fillId="0" borderId="8" xfId="19" applyFont="1" applyBorder="1" applyAlignment="1">
      <alignment vertical="center"/>
    </xf>
    <xf numFmtId="187" fontId="17" fillId="9" borderId="0" xfId="19" applyNumberFormat="1" applyFont="1" applyFill="1" applyAlignment="1">
      <alignment vertical="center"/>
    </xf>
    <xf numFmtId="43" fontId="18" fillId="0" borderId="0" xfId="2" applyFont="1" applyFill="1" applyAlignment="1">
      <alignment vertical="center"/>
    </xf>
    <xf numFmtId="187" fontId="18" fillId="0" borderId="0" xfId="19" applyNumberFormat="1" applyFont="1" applyAlignment="1">
      <alignment vertical="center"/>
    </xf>
    <xf numFmtId="0" fontId="60" fillId="0" borderId="0" xfId="19" applyFont="1" applyAlignment="1">
      <alignment vertical="center"/>
    </xf>
    <xf numFmtId="49" fontId="60" fillId="0" borderId="0" xfId="16" applyNumberFormat="1" applyFont="1" applyAlignment="1" applyProtection="1">
      <alignment horizontal="left" vertical="center"/>
      <protection hidden="1"/>
    </xf>
    <xf numFmtId="0" fontId="61" fillId="0" borderId="0" xfId="19" applyFont="1" applyAlignment="1">
      <alignment vertical="center"/>
    </xf>
    <xf numFmtId="0" fontId="62" fillId="0" borderId="0" xfId="19" applyFont="1" applyAlignment="1">
      <alignment vertical="center"/>
    </xf>
    <xf numFmtId="0" fontId="63" fillId="0" borderId="0" xfId="19" applyFont="1" applyAlignment="1">
      <alignment vertical="center"/>
    </xf>
    <xf numFmtId="2" fontId="63" fillId="0" borderId="0" xfId="19" applyNumberFormat="1" applyFont="1" applyAlignment="1">
      <alignment vertical="center"/>
    </xf>
    <xf numFmtId="2" fontId="65" fillId="0" borderId="0" xfId="19" applyNumberFormat="1" applyFont="1" applyAlignment="1">
      <alignment vertical="center"/>
    </xf>
    <xf numFmtId="0" fontId="66" fillId="0" borderId="0" xfId="19" applyFont="1" applyAlignment="1">
      <alignment vertical="center"/>
    </xf>
    <xf numFmtId="2" fontId="67" fillId="0" borderId="0" xfId="19" applyNumberFormat="1" applyFont="1" applyAlignment="1">
      <alignment vertical="center"/>
    </xf>
    <xf numFmtId="0" fontId="68" fillId="0" borderId="0" xfId="0" applyFont="1" applyAlignment="1">
      <alignment vertical="center"/>
    </xf>
    <xf numFmtId="1" fontId="69" fillId="0" borderId="0" xfId="19" applyNumberFormat="1" applyFont="1" applyAlignment="1">
      <alignment horizontal="left" vertical="center"/>
    </xf>
    <xf numFmtId="191" fontId="67" fillId="0" borderId="0" xfId="19" applyNumberFormat="1" applyFont="1" applyAlignment="1">
      <alignment horizontal="left" vertical="center"/>
    </xf>
    <xf numFmtId="2" fontId="60" fillId="10" borderId="7" xfId="26" applyNumberFormat="1" applyFont="1" applyFill="1" applyBorder="1" applyAlignment="1" applyProtection="1">
      <alignment horizontal="center" vertical="center"/>
      <protection hidden="1"/>
    </xf>
    <xf numFmtId="0" fontId="70" fillId="0" borderId="0" xfId="0" applyFont="1" applyAlignment="1">
      <alignment vertical="center"/>
    </xf>
    <xf numFmtId="2" fontId="60" fillId="10" borderId="7" xfId="2517" applyNumberFormat="1" applyFont="1" applyFill="1" applyBorder="1" applyAlignment="1" applyProtection="1">
      <alignment horizontal="center" vertical="center"/>
      <protection hidden="1"/>
    </xf>
    <xf numFmtId="15" fontId="67" fillId="0" borderId="0" xfId="19" applyNumberFormat="1" applyFont="1" applyAlignment="1">
      <alignment horizontal="left" vertical="center"/>
    </xf>
    <xf numFmtId="49" fontId="65" fillId="0" borderId="0" xfId="19" applyNumberFormat="1" applyFont="1" applyAlignment="1">
      <alignment vertical="center"/>
    </xf>
    <xf numFmtId="0" fontId="71" fillId="0" borderId="0" xfId="19" applyFont="1" applyAlignment="1">
      <alignment vertical="center"/>
    </xf>
    <xf numFmtId="0" fontId="72" fillId="0" borderId="0" xfId="19" applyFont="1" applyAlignment="1">
      <alignment vertical="center"/>
    </xf>
    <xf numFmtId="49" fontId="60" fillId="0" borderId="0" xfId="19" applyNumberFormat="1" applyFont="1" applyAlignment="1">
      <alignment vertical="center"/>
    </xf>
    <xf numFmtId="0" fontId="61" fillId="0" borderId="0" xfId="19" applyFont="1" applyAlignment="1">
      <alignment vertical="center" wrapText="1"/>
    </xf>
    <xf numFmtId="0" fontId="73" fillId="0" borderId="0" xfId="19" applyFont="1" applyAlignment="1">
      <alignment vertical="center" wrapText="1"/>
    </xf>
    <xf numFmtId="0" fontId="61" fillId="0" borderId="0" xfId="16" applyFont="1" applyAlignment="1" applyProtection="1">
      <alignment horizontal="left" vertical="center"/>
      <protection hidden="1"/>
    </xf>
    <xf numFmtId="177" fontId="60" fillId="0" borderId="0" xfId="16" applyNumberFormat="1" applyFont="1" applyAlignment="1" applyProtection="1">
      <alignment horizontal="left" vertical="center"/>
      <protection hidden="1"/>
    </xf>
    <xf numFmtId="184" fontId="60" fillId="0" borderId="0" xfId="19" applyNumberFormat="1" applyFont="1" applyAlignment="1">
      <alignment horizontal="right" vertical="center"/>
    </xf>
    <xf numFmtId="2" fontId="60" fillId="0" borderId="0" xfId="2" applyNumberFormat="1" applyFont="1" applyFill="1" applyAlignment="1">
      <alignment horizontal="center" vertical="center"/>
    </xf>
    <xf numFmtId="1" fontId="60" fillId="0" borderId="0" xfId="2" applyNumberFormat="1" applyFont="1" applyFill="1" applyAlignment="1">
      <alignment horizontal="center" vertical="center"/>
    </xf>
    <xf numFmtId="4" fontId="60" fillId="0" borderId="0" xfId="2" applyNumberFormat="1" applyFont="1" applyFill="1" applyAlignment="1">
      <alignment horizontal="center" vertical="center"/>
    </xf>
    <xf numFmtId="184" fontId="60" fillId="0" borderId="0" xfId="5" applyNumberFormat="1" applyFont="1" applyFill="1" applyAlignment="1">
      <alignment vertical="center"/>
    </xf>
    <xf numFmtId="190" fontId="60" fillId="0" borderId="0" xfId="3" applyNumberFormat="1" applyFont="1" applyFill="1" applyBorder="1" applyAlignment="1" applyProtection="1">
      <alignment horizontal="center" vertical="center"/>
      <protection hidden="1"/>
    </xf>
    <xf numFmtId="10" fontId="60" fillId="0" borderId="0" xfId="19" applyNumberFormat="1" applyFont="1" applyAlignment="1">
      <alignment vertical="center"/>
    </xf>
    <xf numFmtId="2" fontId="60" fillId="0" borderId="0" xfId="19" applyNumberFormat="1" applyFont="1" applyAlignment="1">
      <alignment horizontal="center" vertical="center"/>
    </xf>
    <xf numFmtId="4" fontId="60" fillId="0" borderId="0" xfId="19" applyNumberFormat="1" applyFont="1" applyAlignment="1">
      <alignment horizontal="center" vertical="center"/>
    </xf>
    <xf numFmtId="10" fontId="60" fillId="0" borderId="0" xfId="16" applyNumberFormat="1" applyFont="1" applyAlignment="1" applyProtection="1">
      <alignment horizontal="left" vertical="center"/>
      <protection hidden="1"/>
    </xf>
    <xf numFmtId="2" fontId="60" fillId="0" borderId="0" xfId="16" applyNumberFormat="1" applyFont="1" applyAlignment="1" applyProtection="1">
      <alignment horizontal="center" vertical="center"/>
      <protection hidden="1"/>
    </xf>
    <xf numFmtId="4" fontId="60" fillId="0" borderId="0" xfId="16" applyNumberFormat="1" applyFont="1" applyAlignment="1" applyProtection="1">
      <alignment horizontal="center" vertical="center"/>
      <protection hidden="1"/>
    </xf>
    <xf numFmtId="49" fontId="62" fillId="0" borderId="0" xfId="16" applyNumberFormat="1" applyFont="1" applyAlignment="1" applyProtection="1">
      <alignment horizontal="left" vertical="center"/>
      <protection hidden="1"/>
    </xf>
    <xf numFmtId="2" fontId="60" fillId="0" borderId="6" xfId="2" applyNumberFormat="1" applyFont="1" applyFill="1" applyBorder="1" applyAlignment="1">
      <alignment horizontal="center" vertical="center"/>
    </xf>
    <xf numFmtId="10" fontId="61" fillId="0" borderId="0" xfId="16" applyNumberFormat="1" applyFont="1" applyAlignment="1" applyProtection="1">
      <alignment horizontal="center" vertical="center"/>
      <protection hidden="1"/>
    </xf>
    <xf numFmtId="2" fontId="61" fillId="0" borderId="0" xfId="2" applyNumberFormat="1" applyFont="1" applyFill="1" applyBorder="1" applyAlignment="1" applyProtection="1">
      <alignment horizontal="center" vertical="center"/>
      <protection hidden="1"/>
    </xf>
    <xf numFmtId="0" fontId="61" fillId="0" borderId="0" xfId="16" applyFont="1" applyAlignment="1" applyProtection="1">
      <alignment horizontal="right" vertical="center"/>
      <protection hidden="1"/>
    </xf>
    <xf numFmtId="4" fontId="61" fillId="0" borderId="0" xfId="2" applyNumberFormat="1" applyFont="1" applyFill="1" applyBorder="1" applyAlignment="1" applyProtection="1">
      <alignment horizontal="center" vertical="center"/>
      <protection hidden="1"/>
    </xf>
    <xf numFmtId="190" fontId="61" fillId="0" borderId="0" xfId="3" applyNumberFormat="1" applyFont="1" applyFill="1" applyBorder="1" applyAlignment="1" applyProtection="1">
      <alignment horizontal="center" vertical="center"/>
      <protection hidden="1"/>
    </xf>
    <xf numFmtId="179" fontId="61" fillId="0" borderId="0" xfId="16" applyNumberFormat="1" applyFont="1" applyAlignment="1" applyProtection="1">
      <alignment horizontal="center" vertical="center"/>
      <protection hidden="1"/>
    </xf>
    <xf numFmtId="198" fontId="61" fillId="0" borderId="0" xfId="16" applyNumberFormat="1" applyFont="1" applyAlignment="1" applyProtection="1">
      <alignment horizontal="left" vertical="center"/>
      <protection hidden="1"/>
    </xf>
    <xf numFmtId="0" fontId="61" fillId="0" borderId="0" xfId="3" applyNumberFormat="1" applyFont="1" applyFill="1" applyBorder="1" applyAlignment="1" applyProtection="1">
      <alignment horizontal="center" vertical="center"/>
      <protection hidden="1"/>
    </xf>
    <xf numFmtId="184" fontId="60" fillId="0" borderId="0" xfId="5" applyNumberFormat="1" applyFont="1" applyFill="1" applyAlignment="1">
      <alignment horizontal="right" vertical="center"/>
    </xf>
    <xf numFmtId="4" fontId="60" fillId="0" borderId="6" xfId="2" applyNumberFormat="1" applyFont="1" applyFill="1" applyBorder="1" applyAlignment="1">
      <alignment horizontal="center" vertical="center"/>
    </xf>
    <xf numFmtId="43" fontId="61" fillId="0" borderId="0" xfId="2" applyFont="1" applyFill="1" applyBorder="1" applyAlignment="1" applyProtection="1">
      <alignment horizontal="left" vertical="center"/>
      <protection hidden="1"/>
    </xf>
    <xf numFmtId="184" fontId="61" fillId="0" borderId="0" xfId="16" applyNumberFormat="1" applyFont="1" applyAlignment="1" applyProtection="1">
      <alignment horizontal="left" vertical="center"/>
      <protection hidden="1"/>
    </xf>
    <xf numFmtId="179" fontId="61" fillId="0" borderId="0" xfId="26" applyNumberFormat="1" applyFont="1" applyFill="1" applyBorder="1" applyAlignment="1" applyProtection="1">
      <alignment horizontal="center" vertical="center"/>
      <protection hidden="1"/>
    </xf>
    <xf numFmtId="0" fontId="61" fillId="0" borderId="0" xfId="16" applyFont="1" applyAlignment="1" applyProtection="1">
      <alignment horizontal="center" vertical="center"/>
      <protection hidden="1"/>
    </xf>
    <xf numFmtId="43" fontId="61" fillId="0" borderId="0" xfId="16" applyNumberFormat="1" applyFont="1" applyAlignment="1" applyProtection="1">
      <alignment horizontal="left" vertical="center"/>
      <protection hidden="1"/>
    </xf>
    <xf numFmtId="0" fontId="70" fillId="0" borderId="0" xfId="0" applyFont="1" applyAlignment="1">
      <alignment horizontal="right" vertical="center"/>
    </xf>
    <xf numFmtId="10" fontId="60" fillId="0" borderId="0" xfId="19" applyNumberFormat="1" applyFont="1" applyAlignment="1">
      <alignment horizontal="right" vertical="center"/>
    </xf>
    <xf numFmtId="184" fontId="60" fillId="0" borderId="6" xfId="5" applyNumberFormat="1" applyFont="1" applyFill="1" applyBorder="1" applyAlignment="1">
      <alignment horizontal="right" vertical="center"/>
    </xf>
    <xf numFmtId="181" fontId="60" fillId="0" borderId="0" xfId="19" applyNumberFormat="1" applyFont="1" applyAlignment="1">
      <alignment horizontal="center" vertical="center"/>
    </xf>
    <xf numFmtId="198" fontId="60" fillId="0" borderId="0" xfId="19" applyNumberFormat="1" applyFont="1" applyAlignment="1">
      <alignment horizontal="center" vertical="center"/>
    </xf>
    <xf numFmtId="198" fontId="60" fillId="35" borderId="34" xfId="19" applyNumberFormat="1" applyFont="1" applyFill="1" applyBorder="1" applyAlignment="1">
      <alignment vertical="center"/>
    </xf>
    <xf numFmtId="49" fontId="79" fillId="0" borderId="0" xfId="19" applyNumberFormat="1" applyFont="1" applyAlignment="1">
      <alignment horizontal="right" vertical="center"/>
    </xf>
    <xf numFmtId="2" fontId="79" fillId="0" borderId="0" xfId="19" applyNumberFormat="1" applyFont="1" applyAlignment="1">
      <alignment vertical="center"/>
    </xf>
    <xf numFmtId="2" fontId="80" fillId="0" borderId="0" xfId="19" applyNumberFormat="1" applyFont="1" applyAlignment="1">
      <alignment vertical="center"/>
    </xf>
    <xf numFmtId="49" fontId="84" fillId="36" borderId="0" xfId="16" applyNumberFormat="1" applyFont="1" applyFill="1" applyAlignment="1" applyProtection="1">
      <alignment horizontal="center" vertical="center" wrapText="1"/>
      <protection hidden="1"/>
    </xf>
    <xf numFmtId="0" fontId="84" fillId="36" borderId="0" xfId="19" applyFont="1" applyFill="1" applyAlignment="1">
      <alignment horizontal="center" vertical="center" wrapText="1"/>
    </xf>
    <xf numFmtId="0" fontId="84" fillId="36" borderId="0" xfId="16" applyFont="1" applyFill="1" applyAlignment="1" applyProtection="1">
      <alignment horizontal="center" vertical="center" wrapText="1"/>
      <protection hidden="1"/>
    </xf>
    <xf numFmtId="49" fontId="84" fillId="0" borderId="0" xfId="16" applyNumberFormat="1" applyFont="1" applyAlignment="1" applyProtection="1">
      <alignment horizontal="center" vertical="center" wrapText="1"/>
      <protection hidden="1"/>
    </xf>
    <xf numFmtId="0" fontId="84" fillId="0" borderId="0" xfId="19" applyFont="1" applyAlignment="1">
      <alignment horizontal="center" vertical="center" wrapText="1"/>
    </xf>
    <xf numFmtId="0" fontId="84" fillId="0" borderId="0" xfId="16" applyFont="1" applyAlignment="1" applyProtection="1">
      <alignment horizontal="center" vertical="center" wrapText="1"/>
      <protection hidden="1"/>
    </xf>
    <xf numFmtId="49" fontId="84" fillId="37" borderId="0" xfId="16" applyNumberFormat="1" applyFont="1" applyFill="1" applyAlignment="1" applyProtection="1">
      <alignment horizontal="center" vertical="center" wrapText="1"/>
      <protection hidden="1"/>
    </xf>
    <xf numFmtId="0" fontId="60" fillId="37" borderId="0" xfId="19" applyFont="1" applyFill="1" applyAlignment="1">
      <alignment vertical="center"/>
    </xf>
    <xf numFmtId="0" fontId="62" fillId="37" borderId="0" xfId="19" applyFont="1" applyFill="1" applyAlignment="1">
      <alignment vertical="center"/>
    </xf>
    <xf numFmtId="49" fontId="60" fillId="0" borderId="39" xfId="19" applyNumberFormat="1" applyFont="1" applyBorder="1" applyAlignment="1">
      <alignment vertical="center"/>
    </xf>
    <xf numFmtId="0" fontId="60" fillId="0" borderId="39" xfId="19" applyFont="1" applyBorder="1" applyAlignment="1">
      <alignment vertical="center"/>
    </xf>
    <xf numFmtId="2" fontId="61" fillId="0" borderId="33" xfId="2" applyNumberFormat="1" applyFont="1" applyFill="1" applyBorder="1" applyAlignment="1" applyProtection="1">
      <alignment horizontal="center" vertical="center"/>
      <protection hidden="1"/>
    </xf>
    <xf numFmtId="4" fontId="61" fillId="0" borderId="33" xfId="2" applyNumberFormat="1" applyFont="1" applyFill="1" applyBorder="1" applyAlignment="1" applyProtection="1">
      <alignment horizontal="center" vertical="center"/>
      <protection hidden="1"/>
    </xf>
    <xf numFmtId="190" fontId="61" fillId="0" borderId="33" xfId="3" applyNumberFormat="1" applyFont="1" applyFill="1" applyBorder="1" applyAlignment="1" applyProtection="1">
      <alignment horizontal="center" vertical="center"/>
      <protection hidden="1"/>
    </xf>
    <xf numFmtId="49" fontId="83" fillId="0" borderId="0" xfId="16" applyNumberFormat="1" applyFont="1" applyAlignment="1" applyProtection="1">
      <alignment horizontal="left" vertical="center" indent="1"/>
      <protection hidden="1"/>
    </xf>
    <xf numFmtId="0" fontId="60" fillId="0" borderId="0" xfId="19" applyFont="1" applyAlignment="1">
      <alignment horizontal="left" vertical="center" indent="1"/>
    </xf>
    <xf numFmtId="49" fontId="60" fillId="0" borderId="0" xfId="16" applyNumberFormat="1" applyFont="1" applyAlignment="1" applyProtection="1">
      <alignment horizontal="left" vertical="center" indent="1"/>
      <protection hidden="1"/>
    </xf>
    <xf numFmtId="43" fontId="76" fillId="0" borderId="0" xfId="2" applyFont="1" applyFill="1" applyAlignment="1">
      <alignment horizontal="left" vertical="center" indent="1"/>
    </xf>
    <xf numFmtId="49" fontId="74" fillId="0" borderId="0" xfId="16" applyNumberFormat="1" applyFont="1" applyAlignment="1" applyProtection="1">
      <alignment horizontal="left" vertical="center" indent="1"/>
      <protection hidden="1"/>
    </xf>
    <xf numFmtId="49" fontId="77" fillId="0" borderId="0" xfId="16" applyNumberFormat="1" applyFont="1" applyAlignment="1" applyProtection="1">
      <alignment horizontal="left" vertical="center" indent="1"/>
      <protection hidden="1"/>
    </xf>
    <xf numFmtId="49" fontId="61" fillId="0" borderId="0" xfId="16" applyNumberFormat="1" applyFont="1" applyAlignment="1" applyProtection="1">
      <alignment horizontal="left" vertical="center" indent="1"/>
      <protection hidden="1"/>
    </xf>
    <xf numFmtId="190" fontId="61" fillId="0" borderId="0" xfId="3" applyNumberFormat="1" applyFont="1" applyFill="1" applyBorder="1" applyAlignment="1" applyProtection="1">
      <alignment horizontal="left" vertical="center" indent="1"/>
      <protection hidden="1"/>
    </xf>
    <xf numFmtId="49" fontId="60" fillId="0" borderId="0" xfId="19" applyNumberFormat="1" applyFont="1" applyAlignment="1">
      <alignment horizontal="left" vertical="center" indent="1"/>
    </xf>
    <xf numFmtId="49" fontId="60" fillId="35" borderId="32" xfId="19" applyNumberFormat="1" applyFont="1" applyFill="1" applyBorder="1" applyAlignment="1">
      <alignment horizontal="left" vertical="center" indent="1"/>
    </xf>
    <xf numFmtId="0" fontId="82" fillId="0" borderId="0" xfId="19" applyFont="1" applyAlignment="1">
      <alignment horizontal="left" vertical="center" indent="1"/>
    </xf>
    <xf numFmtId="49" fontId="82" fillId="0" borderId="0" xfId="16" applyNumberFormat="1" applyFont="1" applyAlignment="1" applyProtection="1">
      <alignment horizontal="left" vertical="center" indent="1"/>
      <protection hidden="1"/>
    </xf>
    <xf numFmtId="49" fontId="81" fillId="0" borderId="0" xfId="19" applyNumberFormat="1" applyFont="1" applyAlignment="1">
      <alignment vertical="center"/>
    </xf>
    <xf numFmtId="0" fontId="87" fillId="0" borderId="0" xfId="19" applyFont="1" applyAlignment="1">
      <alignment vertical="center"/>
    </xf>
    <xf numFmtId="0" fontId="87" fillId="0" borderId="0" xfId="19" applyFont="1" applyAlignment="1">
      <alignment horizontal="right" vertical="center"/>
    </xf>
    <xf numFmtId="43" fontId="61" fillId="0" borderId="0" xfId="2" applyFont="1" applyFill="1" applyBorder="1" applyAlignment="1" applyProtection="1">
      <alignment horizontal="right" vertical="center"/>
      <protection hidden="1"/>
    </xf>
    <xf numFmtId="0" fontId="70" fillId="0" borderId="0" xfId="0" applyFont="1" applyAlignment="1">
      <alignment horizontal="center" vertical="center"/>
    </xf>
    <xf numFmtId="49" fontId="64" fillId="0" borderId="0" xfId="19" applyNumberFormat="1" applyFont="1" applyAlignment="1">
      <alignment horizontal="left" vertical="center" indent="1"/>
    </xf>
    <xf numFmtId="2" fontId="70" fillId="0" borderId="0" xfId="0" applyNumberFormat="1" applyFont="1" applyAlignment="1">
      <alignment vertical="center"/>
    </xf>
    <xf numFmtId="192" fontId="89" fillId="0" borderId="0" xfId="19" applyNumberFormat="1" applyFont="1" applyAlignment="1">
      <alignment vertical="center"/>
    </xf>
    <xf numFmtId="0" fontId="90" fillId="0" borderId="0" xfId="0" applyFont="1" applyAlignment="1">
      <alignment vertical="center"/>
    </xf>
    <xf numFmtId="181" fontId="70" fillId="0" borderId="0" xfId="0" applyNumberFormat="1" applyFont="1" applyAlignment="1">
      <alignment horizontal="center" vertical="center"/>
    </xf>
    <xf numFmtId="0" fontId="70" fillId="33" borderId="0" xfId="0" applyFont="1" applyFill="1" applyAlignment="1">
      <alignment horizontal="center" vertical="center"/>
    </xf>
    <xf numFmtId="4" fontId="60" fillId="0" borderId="0" xfId="2" applyNumberFormat="1" applyFont="1" applyFill="1" applyBorder="1" applyAlignment="1">
      <alignment horizontal="center" vertical="center"/>
    </xf>
    <xf numFmtId="185" fontId="60" fillId="0" borderId="0" xfId="0" applyNumberFormat="1" applyFont="1" applyAlignment="1">
      <alignment horizontal="center" vertical="center"/>
    </xf>
    <xf numFmtId="4" fontId="92" fillId="0" borderId="0" xfId="0" applyNumberFormat="1" applyFont="1" applyAlignment="1">
      <alignment horizontal="center" vertical="center"/>
    </xf>
    <xf numFmtId="181" fontId="60" fillId="0" borderId="0" xfId="0" applyNumberFormat="1" applyFont="1" applyAlignment="1">
      <alignment horizontal="center" vertical="center"/>
    </xf>
    <xf numFmtId="3" fontId="93" fillId="0" borderId="0" xfId="2" applyNumberFormat="1" applyFont="1" applyAlignment="1">
      <alignment horizontal="center" vertical="center"/>
    </xf>
    <xf numFmtId="4" fontId="70" fillId="0" borderId="0" xfId="0" applyNumberFormat="1" applyFont="1" applyAlignment="1">
      <alignment horizontal="center" vertical="center" wrapText="1"/>
    </xf>
    <xf numFmtId="4" fontId="70" fillId="0" borderId="0" xfId="0" applyNumberFormat="1" applyFont="1" applyAlignment="1">
      <alignment horizontal="center" vertical="center"/>
    </xf>
    <xf numFmtId="4" fontId="70" fillId="0" borderId="0" xfId="0" applyNumberFormat="1" applyFont="1" applyAlignment="1">
      <alignment vertical="center"/>
    </xf>
    <xf numFmtId="0" fontId="91" fillId="0" borderId="0" xfId="0" applyFont="1" applyAlignment="1">
      <alignment horizontal="center" vertical="center"/>
    </xf>
    <xf numFmtId="180" fontId="92" fillId="0" borderId="0" xfId="0" applyNumberFormat="1" applyFont="1" applyAlignment="1">
      <alignment horizontal="center" vertical="center"/>
    </xf>
    <xf numFmtId="4" fontId="93" fillId="0" borderId="0" xfId="2" applyNumberFormat="1" applyFont="1" applyAlignment="1">
      <alignment horizontal="center" vertical="center"/>
    </xf>
    <xf numFmtId="0" fontId="94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 indent="1"/>
    </xf>
    <xf numFmtId="198" fontId="70" fillId="0" borderId="0" xfId="0" applyNumberFormat="1" applyFont="1" applyAlignment="1">
      <alignment vertical="center"/>
    </xf>
    <xf numFmtId="43" fontId="70" fillId="0" borderId="0" xfId="0" applyNumberFormat="1" applyFont="1" applyAlignment="1">
      <alignment vertical="center"/>
    </xf>
    <xf numFmtId="0" fontId="85" fillId="0" borderId="0" xfId="0" applyFont="1" applyAlignment="1">
      <alignment vertical="center"/>
    </xf>
    <xf numFmtId="4" fontId="85" fillId="0" borderId="0" xfId="0" applyNumberFormat="1" applyFont="1" applyAlignment="1">
      <alignment vertical="center"/>
    </xf>
    <xf numFmtId="187" fontId="70" fillId="0" borderId="0" xfId="0" applyNumberFormat="1" applyFont="1" applyAlignment="1">
      <alignment vertical="center"/>
    </xf>
    <xf numFmtId="185" fontId="60" fillId="0" borderId="0" xfId="0" applyNumberFormat="1" applyFont="1" applyAlignment="1">
      <alignment vertical="center"/>
    </xf>
    <xf numFmtId="4" fontId="60" fillId="0" borderId="0" xfId="0" applyNumberFormat="1" applyFont="1" applyAlignment="1">
      <alignment horizontal="center" vertical="center"/>
    </xf>
    <xf numFmtId="198" fontId="85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right" vertical="center"/>
    </xf>
    <xf numFmtId="185" fontId="71" fillId="0" borderId="0" xfId="0" applyNumberFormat="1" applyFont="1" applyAlignment="1">
      <alignment vertical="center"/>
    </xf>
    <xf numFmtId="183" fontId="85" fillId="0" borderId="0" xfId="26" applyNumberFormat="1" applyFont="1" applyFill="1" applyAlignment="1">
      <alignment horizontal="right" vertical="center"/>
    </xf>
    <xf numFmtId="185" fontId="85" fillId="0" borderId="0" xfId="0" applyNumberFormat="1" applyFont="1" applyAlignment="1">
      <alignment vertical="center"/>
    </xf>
    <xf numFmtId="198" fontId="70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187" fontId="67" fillId="0" borderId="0" xfId="0" applyNumberFormat="1" applyFont="1" applyAlignment="1">
      <alignment vertical="center"/>
    </xf>
    <xf numFmtId="187" fontId="64" fillId="0" borderId="0" xfId="0" applyNumberFormat="1" applyFont="1" applyAlignment="1">
      <alignment vertical="center"/>
    </xf>
    <xf numFmtId="185" fontId="77" fillId="0" borderId="0" xfId="0" applyNumberFormat="1" applyFont="1" applyAlignment="1">
      <alignment vertical="center"/>
    </xf>
    <xf numFmtId="185" fontId="70" fillId="0" borderId="0" xfId="0" applyNumberFormat="1" applyFont="1" applyAlignment="1">
      <alignment vertical="center"/>
    </xf>
    <xf numFmtId="0" fontId="77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77" fillId="0" borderId="0" xfId="22" applyFont="1" applyAlignment="1">
      <alignment vertical="center"/>
    </xf>
    <xf numFmtId="3" fontId="98" fillId="0" borderId="0" xfId="0" applyNumberFormat="1" applyFont="1"/>
    <xf numFmtId="9" fontId="75" fillId="0" borderId="0" xfId="22" applyNumberFormat="1" applyFont="1" applyAlignment="1">
      <alignment vertical="center"/>
    </xf>
    <xf numFmtId="10" fontId="77" fillId="0" borderId="31" xfId="22" applyNumberFormat="1" applyFont="1" applyBorder="1" applyAlignment="1" applyProtection="1">
      <alignment horizontal="center" vertical="center"/>
      <protection locked="0" hidden="1"/>
    </xf>
    <xf numFmtId="49" fontId="79" fillId="0" borderId="0" xfId="19" applyNumberFormat="1" applyFont="1" applyAlignment="1">
      <alignment horizontal="left" vertical="center" indent="1"/>
    </xf>
    <xf numFmtId="2" fontId="100" fillId="0" borderId="0" xfId="19" applyNumberFormat="1" applyFont="1" applyAlignment="1">
      <alignment vertical="center"/>
    </xf>
    <xf numFmtId="2" fontId="101" fillId="0" borderId="0" xfId="19" applyNumberFormat="1" applyFont="1" applyAlignment="1">
      <alignment vertical="center"/>
    </xf>
    <xf numFmtId="0" fontId="102" fillId="0" borderId="0" xfId="0" applyFont="1" applyAlignment="1">
      <alignment vertical="center"/>
    </xf>
    <xf numFmtId="2" fontId="84" fillId="36" borderId="0" xfId="0" applyNumberFormat="1" applyFont="1" applyFill="1" applyAlignment="1">
      <alignment horizontal="left" vertical="center" wrapText="1" indent="1"/>
    </xf>
    <xf numFmtId="2" fontId="84" fillId="36" borderId="0" xfId="0" applyNumberFormat="1" applyFont="1" applyFill="1" applyAlignment="1">
      <alignment vertical="center" wrapText="1"/>
    </xf>
    <xf numFmtId="2" fontId="84" fillId="36" borderId="0" xfId="0" applyNumberFormat="1" applyFont="1" applyFill="1" applyAlignment="1">
      <alignment horizontal="center" vertical="center" wrapText="1"/>
    </xf>
    <xf numFmtId="0" fontId="84" fillId="36" borderId="0" xfId="0" applyFont="1" applyFill="1" applyAlignment="1">
      <alignment horizontal="center" vertical="center" wrapText="1"/>
    </xf>
    <xf numFmtId="0" fontId="103" fillId="36" borderId="0" xfId="0" applyFont="1" applyFill="1" applyAlignment="1">
      <alignment horizontal="center" vertical="center" wrapText="1"/>
    </xf>
    <xf numFmtId="0" fontId="88" fillId="0" borderId="0" xfId="0" applyFont="1" applyAlignment="1">
      <alignment vertical="center"/>
    </xf>
    <xf numFmtId="0" fontId="102" fillId="0" borderId="0" xfId="0" applyFont="1" applyAlignment="1">
      <alignment horizontal="center" vertical="center" wrapText="1"/>
    </xf>
    <xf numFmtId="2" fontId="84" fillId="0" borderId="0" xfId="0" applyNumberFormat="1" applyFont="1" applyAlignment="1">
      <alignment vertical="center" wrapText="1"/>
    </xf>
    <xf numFmtId="2" fontId="84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2" fontId="84" fillId="37" borderId="0" xfId="0" applyNumberFormat="1" applyFont="1" applyFill="1" applyAlignment="1">
      <alignment horizontal="left" vertical="center" wrapText="1" indent="1"/>
    </xf>
    <xf numFmtId="49" fontId="60" fillId="0" borderId="39" xfId="19" applyNumberFormat="1" applyFont="1" applyBorder="1" applyAlignment="1">
      <alignment horizontal="left" vertical="center" indent="1"/>
    </xf>
    <xf numFmtId="0" fontId="62" fillId="0" borderId="39" xfId="19" applyFont="1" applyBorder="1" applyAlignment="1">
      <alignment vertical="center"/>
    </xf>
    <xf numFmtId="0" fontId="70" fillId="0" borderId="39" xfId="0" applyFont="1" applyBorder="1" applyAlignment="1">
      <alignment vertical="center"/>
    </xf>
    <xf numFmtId="0" fontId="60" fillId="0" borderId="0" xfId="28" applyFont="1"/>
    <xf numFmtId="1" fontId="60" fillId="0" borderId="0" xfId="28" applyNumberFormat="1" applyFont="1" applyAlignment="1">
      <alignment horizontal="center"/>
    </xf>
    <xf numFmtId="166" fontId="60" fillId="0" borderId="0" xfId="10" applyFont="1" applyAlignment="1">
      <alignment horizontal="left"/>
    </xf>
    <xf numFmtId="166" fontId="60" fillId="0" borderId="0" xfId="10" applyFont="1" applyAlignment="1">
      <alignment horizontal="center"/>
    </xf>
    <xf numFmtId="176" fontId="60" fillId="0" borderId="0" xfId="28" applyNumberFormat="1" applyFont="1" applyAlignment="1">
      <alignment horizontal="center"/>
    </xf>
    <xf numFmtId="3" fontId="60" fillId="0" borderId="0" xfId="28" applyNumberFormat="1" applyFont="1" applyAlignment="1">
      <alignment horizontal="center"/>
    </xf>
    <xf numFmtId="3" fontId="60" fillId="0" borderId="0" xfId="10" applyNumberFormat="1" applyFont="1" applyAlignment="1">
      <alignment horizontal="center"/>
    </xf>
    <xf numFmtId="3" fontId="60" fillId="0" borderId="0" xfId="10" applyNumberFormat="1" applyFont="1" applyAlignment="1">
      <alignment horizontal="right"/>
    </xf>
    <xf numFmtId="166" fontId="60" fillId="0" borderId="0" xfId="10" applyFont="1" applyAlignment="1">
      <alignment horizontal="right" wrapText="1"/>
    </xf>
    <xf numFmtId="166" fontId="60" fillId="0" borderId="0" xfId="10" applyFont="1" applyAlignment="1">
      <alignment horizontal="right"/>
    </xf>
    <xf numFmtId="49" fontId="64" fillId="0" borderId="0" xfId="19" applyNumberFormat="1" applyFont="1"/>
    <xf numFmtId="2" fontId="65" fillId="0" borderId="0" xfId="19" applyNumberFormat="1" applyFont="1"/>
    <xf numFmtId="0" fontId="63" fillId="0" borderId="0" xfId="19" applyFont="1" applyAlignment="1">
      <alignment horizontal="center"/>
    </xf>
    <xf numFmtId="0" fontId="63" fillId="0" borderId="0" xfId="19" applyFont="1"/>
    <xf numFmtId="2" fontId="67" fillId="0" borderId="0" xfId="19" applyNumberFormat="1" applyFont="1"/>
    <xf numFmtId="4" fontId="60" fillId="0" borderId="0" xfId="19" applyNumberFormat="1" applyFont="1" applyAlignment="1">
      <alignment horizontal="center"/>
    </xf>
    <xf numFmtId="4" fontId="60" fillId="0" borderId="0" xfId="19" applyNumberFormat="1" applyFont="1" applyAlignment="1">
      <alignment horizontal="right"/>
    </xf>
    <xf numFmtId="198" fontId="63" fillId="0" borderId="0" xfId="19" applyNumberFormat="1" applyFont="1" applyAlignment="1">
      <alignment horizontal="right" wrapText="1"/>
    </xf>
    <xf numFmtId="0" fontId="63" fillId="0" borderId="0" xfId="19" applyFont="1" applyAlignment="1">
      <alignment horizontal="right"/>
    </xf>
    <xf numFmtId="198" fontId="63" fillId="0" borderId="0" xfId="19" applyNumberFormat="1" applyFont="1"/>
    <xf numFmtId="1" fontId="67" fillId="0" borderId="0" xfId="19" applyNumberFormat="1" applyFont="1" applyAlignment="1">
      <alignment horizontal="left"/>
    </xf>
    <xf numFmtId="198" fontId="63" fillId="0" borderId="0" xfId="19" applyNumberFormat="1" applyFont="1" applyAlignment="1">
      <alignment horizontal="center"/>
    </xf>
    <xf numFmtId="0" fontId="60" fillId="0" borderId="0" xfId="0" applyFont="1" applyAlignment="1">
      <alignment vertical="top"/>
    </xf>
    <xf numFmtId="2" fontId="60" fillId="0" borderId="0" xfId="0" applyNumberFormat="1" applyFont="1" applyAlignment="1">
      <alignment vertical="top"/>
    </xf>
    <xf numFmtId="3" fontId="63" fillId="0" borderId="0" xfId="19" applyNumberFormat="1" applyFont="1" applyAlignment="1">
      <alignment horizontal="center"/>
    </xf>
    <xf numFmtId="191" fontId="67" fillId="0" borderId="0" xfId="19" applyNumberFormat="1" applyFont="1" applyAlignment="1">
      <alignment horizontal="left"/>
    </xf>
    <xf numFmtId="4" fontId="60" fillId="0" borderId="0" xfId="28" applyNumberFormat="1" applyFont="1" applyAlignment="1">
      <alignment horizontal="center"/>
    </xf>
    <xf numFmtId="3" fontId="63" fillId="0" borderId="0" xfId="19" applyNumberFormat="1" applyFont="1" applyAlignment="1">
      <alignment horizontal="right"/>
    </xf>
    <xf numFmtId="0" fontId="63" fillId="0" borderId="0" xfId="19" applyFont="1" applyAlignment="1">
      <alignment horizontal="right" wrapText="1"/>
    </xf>
    <xf numFmtId="2" fontId="69" fillId="0" borderId="0" xfId="19" applyNumberFormat="1" applyFont="1"/>
    <xf numFmtId="198" fontId="61" fillId="0" borderId="0" xfId="28" applyNumberFormat="1" applyFont="1" applyAlignment="1">
      <alignment horizontal="center"/>
    </xf>
    <xf numFmtId="176" fontId="63" fillId="0" borderId="0" xfId="19" applyNumberFormat="1" applyFont="1"/>
    <xf numFmtId="15" fontId="67" fillId="0" borderId="0" xfId="19" applyNumberFormat="1" applyFont="1" applyAlignment="1">
      <alignment horizontal="left"/>
    </xf>
    <xf numFmtId="0" fontId="60" fillId="0" borderId="0" xfId="28" applyFont="1" applyAlignment="1">
      <alignment horizontal="center"/>
    </xf>
    <xf numFmtId="2" fontId="60" fillId="0" borderId="0" xfId="28" applyNumberFormat="1" applyFont="1" applyAlignment="1">
      <alignment horizontal="center"/>
    </xf>
    <xf numFmtId="2" fontId="60" fillId="0" borderId="0" xfId="10" applyNumberFormat="1" applyFont="1" applyAlignment="1">
      <alignment horizontal="left"/>
    </xf>
    <xf numFmtId="2" fontId="60" fillId="0" borderId="0" xfId="10" applyNumberFormat="1" applyFont="1" applyAlignment="1">
      <alignment horizontal="center"/>
    </xf>
    <xf numFmtId="2" fontId="60" fillId="0" borderId="0" xfId="10" applyNumberFormat="1" applyFont="1" applyAlignment="1">
      <alignment horizontal="left" wrapText="1"/>
    </xf>
    <xf numFmtId="0" fontId="92" fillId="0" borderId="0" xfId="28" applyFont="1"/>
    <xf numFmtId="166" fontId="60" fillId="0" borderId="0" xfId="10" applyFont="1" applyFill="1" applyAlignment="1">
      <alignment horizontal="left"/>
    </xf>
    <xf numFmtId="166" fontId="60" fillId="0" borderId="0" xfId="10" applyFont="1" applyFill="1" applyAlignment="1">
      <alignment horizontal="center"/>
    </xf>
    <xf numFmtId="3" fontId="60" fillId="0" borderId="0" xfId="10" applyNumberFormat="1" applyFont="1" applyFill="1" applyAlignment="1">
      <alignment horizontal="right"/>
    </xf>
    <xf numFmtId="181" fontId="94" fillId="0" borderId="0" xfId="28" applyNumberFormat="1" applyFont="1" applyAlignment="1">
      <alignment horizontal="center" vertical="center"/>
    </xf>
    <xf numFmtId="166" fontId="60" fillId="0" borderId="0" xfId="10" applyFont="1" applyFill="1" applyAlignment="1">
      <alignment horizontal="right" wrapText="1"/>
    </xf>
    <xf numFmtId="166" fontId="93" fillId="0" borderId="0" xfId="10" applyFont="1" applyAlignment="1">
      <alignment horizontal="center"/>
    </xf>
    <xf numFmtId="0" fontId="93" fillId="0" borderId="0" xfId="28" applyFont="1" applyAlignment="1">
      <alignment horizontal="center"/>
    </xf>
    <xf numFmtId="3" fontId="60" fillId="0" borderId="0" xfId="10" applyNumberFormat="1" applyFont="1" applyFill="1" applyAlignment="1">
      <alignment horizontal="center"/>
    </xf>
    <xf numFmtId="3" fontId="93" fillId="0" borderId="0" xfId="10" applyNumberFormat="1" applyFont="1" applyFill="1" applyAlignment="1">
      <alignment horizontal="right"/>
    </xf>
    <xf numFmtId="3" fontId="93" fillId="0" borderId="0" xfId="10" applyNumberFormat="1" applyFont="1" applyFill="1" applyAlignment="1">
      <alignment horizontal="center" wrapText="1"/>
    </xf>
    <xf numFmtId="0" fontId="61" fillId="0" borderId="0" xfId="0" applyFont="1"/>
    <xf numFmtId="0" fontId="60" fillId="0" borderId="0" xfId="0" applyFont="1"/>
    <xf numFmtId="3" fontId="93" fillId="0" borderId="0" xfId="28" applyNumberFormat="1" applyFont="1" applyAlignment="1">
      <alignment horizontal="center"/>
    </xf>
    <xf numFmtId="3" fontId="93" fillId="0" borderId="0" xfId="10" applyNumberFormat="1" applyFont="1" applyFill="1" applyAlignment="1">
      <alignment horizontal="center"/>
    </xf>
    <xf numFmtId="166" fontId="60" fillId="0" borderId="0" xfId="10" applyFont="1" applyFill="1" applyAlignment="1">
      <alignment horizontal="right"/>
    </xf>
    <xf numFmtId="166" fontId="93" fillId="0" borderId="0" xfId="10" applyFont="1" applyFill="1" applyAlignment="1">
      <alignment horizontal="right"/>
    </xf>
    <xf numFmtId="0" fontId="93" fillId="0" borderId="0" xfId="28" applyFont="1"/>
    <xf numFmtId="166" fontId="93" fillId="0" borderId="0" xfId="10" applyFont="1" applyFill="1" applyAlignment="1">
      <alignment horizontal="center"/>
    </xf>
    <xf numFmtId="166" fontId="93" fillId="0" borderId="0" xfId="10" applyFont="1" applyFill="1" applyAlignment="1">
      <alignment horizontal="right" wrapText="1"/>
    </xf>
    <xf numFmtId="2" fontId="100" fillId="0" borderId="0" xfId="19" applyNumberFormat="1" applyFont="1"/>
    <xf numFmtId="2" fontId="105" fillId="0" borderId="0" xfId="19" applyNumberFormat="1" applyFont="1"/>
    <xf numFmtId="0" fontId="87" fillId="0" borderId="0" xfId="0" applyFont="1" applyAlignment="1">
      <alignment vertical="center"/>
    </xf>
    <xf numFmtId="181" fontId="84" fillId="36" borderId="0" xfId="0" applyNumberFormat="1" applyFont="1" applyFill="1" applyAlignment="1">
      <alignment horizontal="center" vertical="center" wrapText="1"/>
    </xf>
    <xf numFmtId="0" fontId="87" fillId="0" borderId="0" xfId="28" applyFont="1" applyAlignment="1">
      <alignment vertical="center"/>
    </xf>
    <xf numFmtId="0" fontId="106" fillId="0" borderId="0" xfId="19" applyFont="1"/>
    <xf numFmtId="181" fontId="93" fillId="0" borderId="0" xfId="10" applyNumberFormat="1" applyFont="1" applyFill="1" applyBorder="1" applyAlignment="1">
      <alignment horizontal="center" vertical="center"/>
    </xf>
    <xf numFmtId="181" fontId="93" fillId="0" borderId="0" xfId="10" applyNumberFormat="1" applyFont="1" applyFill="1" applyBorder="1" applyAlignment="1">
      <alignment horizontal="right" vertical="center"/>
    </xf>
    <xf numFmtId="0" fontId="93" fillId="0" borderId="0" xfId="10" applyNumberFormat="1" applyFont="1" applyFill="1" applyBorder="1" applyAlignment="1">
      <alignment horizontal="left" vertical="center"/>
    </xf>
    <xf numFmtId="0" fontId="93" fillId="0" borderId="0" xfId="10" applyNumberFormat="1" applyFont="1" applyFill="1" applyBorder="1" applyAlignment="1">
      <alignment horizontal="center" vertical="center" wrapText="1"/>
    </xf>
    <xf numFmtId="0" fontId="60" fillId="0" borderId="39" xfId="28" applyFont="1" applyBorder="1" applyAlignment="1">
      <alignment horizontal="center"/>
    </xf>
    <xf numFmtId="1" fontId="60" fillId="0" borderId="39" xfId="28" applyNumberFormat="1" applyFont="1" applyBorder="1" applyAlignment="1">
      <alignment horizontal="center"/>
    </xf>
    <xf numFmtId="166" fontId="60" fillId="0" borderId="39" xfId="10" applyFont="1" applyFill="1" applyBorder="1" applyAlignment="1">
      <alignment horizontal="left"/>
    </xf>
    <xf numFmtId="166" fontId="60" fillId="0" borderId="39" xfId="10" applyFont="1" applyFill="1" applyBorder="1" applyAlignment="1">
      <alignment horizontal="center"/>
    </xf>
    <xf numFmtId="176" fontId="60" fillId="0" borderId="39" xfId="28" applyNumberFormat="1" applyFont="1" applyBorder="1" applyAlignment="1">
      <alignment horizontal="center"/>
    </xf>
    <xf numFmtId="3" fontId="60" fillId="0" borderId="39" xfId="28" applyNumberFormat="1" applyFont="1" applyBorder="1" applyAlignment="1">
      <alignment horizontal="center"/>
    </xf>
    <xf numFmtId="3" fontId="60" fillId="0" borderId="39" xfId="10" applyNumberFormat="1" applyFont="1" applyFill="1" applyBorder="1" applyAlignment="1">
      <alignment horizontal="center"/>
    </xf>
    <xf numFmtId="3" fontId="60" fillId="0" borderId="39" xfId="10" applyNumberFormat="1" applyFont="1" applyFill="1" applyBorder="1" applyAlignment="1">
      <alignment horizontal="right"/>
    </xf>
    <xf numFmtId="166" fontId="60" fillId="0" borderId="39" xfId="10" applyFont="1" applyFill="1" applyBorder="1" applyAlignment="1">
      <alignment horizontal="right" wrapText="1"/>
    </xf>
    <xf numFmtId="166" fontId="60" fillId="0" borderId="39" xfId="10" applyFont="1" applyFill="1" applyBorder="1" applyAlignment="1">
      <alignment horizontal="right"/>
    </xf>
    <xf numFmtId="9" fontId="94" fillId="11" borderId="33" xfId="26" applyFont="1" applyFill="1" applyBorder="1" applyAlignment="1" applyProtection="1">
      <alignment horizontal="center" vertical="center"/>
    </xf>
    <xf numFmtId="49" fontId="64" fillId="0" borderId="0" xfId="19" applyNumberFormat="1" applyFont="1" applyAlignment="1">
      <alignment horizontal="left" indent="1"/>
    </xf>
    <xf numFmtId="0" fontId="60" fillId="0" borderId="0" xfId="0" applyFont="1" applyAlignment="1">
      <alignment horizontal="center"/>
    </xf>
    <xf numFmtId="193" fontId="60" fillId="0" borderId="0" xfId="0" applyNumberFormat="1" applyFont="1" applyAlignment="1">
      <alignment horizontal="center"/>
    </xf>
    <xf numFmtId="2" fontId="85" fillId="0" borderId="0" xfId="0" applyNumberFormat="1" applyFont="1"/>
    <xf numFmtId="2" fontId="61" fillId="0" borderId="0" xfId="0" applyNumberFormat="1" applyFont="1" applyAlignment="1">
      <alignment horizontal="center"/>
    </xf>
    <xf numFmtId="0" fontId="61" fillId="0" borderId="0" xfId="0" applyFont="1" applyAlignment="1">
      <alignment horizontal="center"/>
    </xf>
    <xf numFmtId="2" fontId="61" fillId="0" borderId="0" xfId="0" applyNumberFormat="1" applyFont="1"/>
    <xf numFmtId="0" fontId="94" fillId="0" borderId="0" xfId="0" applyFont="1"/>
    <xf numFmtId="181" fontId="61" fillId="0" borderId="0" xfId="0" applyNumberFormat="1" applyFont="1" applyAlignment="1">
      <alignment horizontal="center"/>
    </xf>
    <xf numFmtId="178" fontId="61" fillId="0" borderId="0" xfId="0" applyNumberFormat="1" applyFont="1" applyAlignment="1">
      <alignment horizontal="center"/>
    </xf>
    <xf numFmtId="2" fontId="61" fillId="0" borderId="0" xfId="10" applyNumberFormat="1" applyFont="1" applyFill="1" applyAlignment="1">
      <alignment horizontal="center"/>
    </xf>
    <xf numFmtId="2" fontId="70" fillId="0" borderId="0" xfId="26" applyNumberFormat="1" applyFont="1" applyFill="1" applyAlignment="1">
      <alignment horizontal="center"/>
    </xf>
    <xf numFmtId="166" fontId="61" fillId="0" borderId="0" xfId="10" applyFont="1" applyFill="1" applyAlignment="1"/>
    <xf numFmtId="166" fontId="61" fillId="0" borderId="0" xfId="10" applyFont="1" applyFill="1" applyAlignment="1">
      <alignment horizontal="center"/>
    </xf>
    <xf numFmtId="2" fontId="64" fillId="0" borderId="0" xfId="19" applyNumberFormat="1" applyFont="1"/>
    <xf numFmtId="2" fontId="65" fillId="0" borderId="0" xfId="0" applyNumberFormat="1" applyFont="1" applyAlignment="1">
      <alignment horizontal="center"/>
    </xf>
    <xf numFmtId="0" fontId="63" fillId="0" borderId="0" xfId="0" applyFont="1"/>
    <xf numFmtId="2" fontId="60" fillId="0" borderId="0" xfId="0" applyNumberFormat="1" applyFont="1"/>
    <xf numFmtId="1" fontId="61" fillId="0" borderId="0" xfId="0" applyNumberFormat="1" applyFont="1" applyAlignment="1">
      <alignment horizontal="left"/>
    </xf>
    <xf numFmtId="2" fontId="61" fillId="0" borderId="0" xfId="0" applyNumberFormat="1" applyFont="1" applyAlignment="1">
      <alignment horizontal="right"/>
    </xf>
    <xf numFmtId="0" fontId="93" fillId="0" borderId="0" xfId="0" applyFont="1"/>
    <xf numFmtId="181" fontId="70" fillId="0" borderId="0" xfId="0" applyNumberFormat="1" applyFont="1" applyAlignment="1">
      <alignment horizontal="center"/>
    </xf>
    <xf numFmtId="181" fontId="60" fillId="0" borderId="0" xfId="0" applyNumberFormat="1" applyFont="1" applyAlignment="1">
      <alignment horizontal="center"/>
    </xf>
    <xf numFmtId="178" fontId="60" fillId="0" borderId="0" xfId="0" applyNumberFormat="1" applyFont="1" applyAlignment="1">
      <alignment horizontal="center"/>
    </xf>
    <xf numFmtId="2" fontId="60" fillId="0" borderId="0" xfId="0" applyNumberFormat="1" applyFont="1" applyAlignment="1">
      <alignment horizontal="center"/>
    </xf>
    <xf numFmtId="192" fontId="108" fillId="0" borderId="0" xfId="19" applyNumberFormat="1" applyFont="1" applyAlignment="1">
      <alignment horizontal="left"/>
    </xf>
    <xf numFmtId="2" fontId="60" fillId="0" borderId="0" xfId="10" applyNumberFormat="1" applyFont="1" applyFill="1" applyBorder="1" applyAlignment="1">
      <alignment horizontal="center" vertical="center"/>
    </xf>
    <xf numFmtId="192" fontId="109" fillId="0" borderId="0" xfId="19" applyNumberFormat="1" applyFont="1"/>
    <xf numFmtId="0" fontId="93" fillId="0" borderId="35" xfId="0" applyFont="1" applyBorder="1" applyAlignment="1">
      <alignment vertical="center"/>
    </xf>
    <xf numFmtId="0" fontId="93" fillId="0" borderId="35" xfId="0" applyFont="1" applyBorder="1" applyAlignment="1">
      <alignment horizontal="center" vertical="center"/>
    </xf>
    <xf numFmtId="199" fontId="93" fillId="0" borderId="35" xfId="0" applyNumberFormat="1" applyFont="1" applyBorder="1" applyAlignment="1">
      <alignment horizontal="center" vertical="center"/>
    </xf>
    <xf numFmtId="0" fontId="93" fillId="0" borderId="35" xfId="10" applyNumberFormat="1" applyFont="1" applyFill="1" applyBorder="1" applyAlignment="1">
      <alignment vertical="center"/>
    </xf>
    <xf numFmtId="181" fontId="93" fillId="0" borderId="35" xfId="0" applyNumberFormat="1" applyFont="1" applyBorder="1" applyAlignment="1">
      <alignment horizontal="center" vertical="center"/>
    </xf>
    <xf numFmtId="178" fontId="93" fillId="0" borderId="35" xfId="0" applyNumberFormat="1" applyFont="1" applyBorder="1" applyAlignment="1">
      <alignment horizontal="center" vertical="center"/>
    </xf>
    <xf numFmtId="1" fontId="93" fillId="0" borderId="35" xfId="0" applyNumberFormat="1" applyFont="1" applyBorder="1" applyAlignment="1">
      <alignment horizontal="center" vertical="center"/>
    </xf>
    <xf numFmtId="176" fontId="60" fillId="0" borderId="36" xfId="10" applyNumberFormat="1" applyFont="1" applyFill="1" applyBorder="1" applyAlignment="1">
      <alignment horizontal="center" vertical="center"/>
    </xf>
    <xf numFmtId="2" fontId="60" fillId="0" borderId="35" xfId="10" applyNumberFormat="1" applyFont="1" applyFill="1" applyBorder="1" applyAlignment="1">
      <alignment horizontal="center" vertical="center"/>
    </xf>
    <xf numFmtId="0" fontId="60" fillId="0" borderId="18" xfId="10" applyNumberFormat="1" applyFont="1" applyFill="1" applyBorder="1" applyAlignment="1">
      <alignment horizontal="left" vertical="center"/>
    </xf>
    <xf numFmtId="185" fontId="60" fillId="0" borderId="37" xfId="0" applyNumberFormat="1" applyFont="1" applyBorder="1" applyAlignment="1">
      <alignment horizontal="center" vertical="center"/>
    </xf>
    <xf numFmtId="193" fontId="60" fillId="0" borderId="0" xfId="0" applyNumberFormat="1" applyFont="1"/>
    <xf numFmtId="0" fontId="70" fillId="0" borderId="0" xfId="0" applyFont="1"/>
    <xf numFmtId="199" fontId="60" fillId="0" borderId="0" xfId="0" applyNumberFormat="1" applyFont="1" applyAlignment="1">
      <alignment horizontal="center"/>
    </xf>
    <xf numFmtId="1" fontId="60" fillId="0" borderId="0" xfId="0" applyNumberFormat="1" applyFont="1" applyAlignment="1">
      <alignment horizontal="left"/>
    </xf>
    <xf numFmtId="0" fontId="83" fillId="0" borderId="0" xfId="0" applyFont="1" applyAlignment="1">
      <alignment horizontal="center" vertical="center"/>
    </xf>
    <xf numFmtId="193" fontId="84" fillId="36" borderId="0" xfId="0" applyNumberFormat="1" applyFont="1" applyFill="1" applyAlignment="1">
      <alignment horizontal="center" vertical="center" wrapText="1"/>
    </xf>
    <xf numFmtId="199" fontId="84" fillId="36" borderId="0" xfId="0" applyNumberFormat="1" applyFont="1" applyFill="1" applyAlignment="1">
      <alignment horizontal="center" vertical="center" wrapText="1"/>
    </xf>
    <xf numFmtId="0" fontId="84" fillId="36" borderId="0" xfId="0" applyFont="1" applyFill="1" applyAlignment="1">
      <alignment vertical="center" wrapText="1"/>
    </xf>
    <xf numFmtId="178" fontId="84" fillId="36" borderId="0" xfId="0" applyNumberFormat="1" applyFont="1" applyFill="1" applyAlignment="1">
      <alignment horizontal="center" vertical="center" wrapText="1"/>
    </xf>
    <xf numFmtId="166" fontId="84" fillId="36" borderId="0" xfId="10" applyFont="1" applyFill="1" applyBorder="1" applyAlignment="1">
      <alignment horizontal="center" vertical="center" wrapText="1"/>
    </xf>
    <xf numFmtId="2" fontId="84" fillId="36" borderId="0" xfId="10" applyNumberFormat="1" applyFont="1" applyFill="1" applyBorder="1" applyAlignment="1">
      <alignment horizontal="center" vertical="center" wrapText="1"/>
    </xf>
    <xf numFmtId="182" fontId="84" fillId="36" borderId="0" xfId="10" applyNumberFormat="1" applyFont="1" applyFill="1" applyBorder="1" applyAlignment="1">
      <alignment horizontal="center" vertical="center" wrapText="1"/>
    </xf>
    <xf numFmtId="1" fontId="84" fillId="36" borderId="0" xfId="0" applyNumberFormat="1" applyFont="1" applyFill="1" applyAlignment="1">
      <alignment horizontal="left" vertical="center" wrapText="1"/>
    </xf>
    <xf numFmtId="0" fontId="83" fillId="0" borderId="0" xfId="0" applyFont="1" applyAlignment="1">
      <alignment vertical="center"/>
    </xf>
    <xf numFmtId="199" fontId="84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vertical="center" wrapText="1"/>
    </xf>
    <xf numFmtId="181" fontId="84" fillId="0" borderId="0" xfId="0" applyNumberFormat="1" applyFont="1" applyAlignment="1">
      <alignment horizontal="center" vertical="center" wrapText="1"/>
    </xf>
    <xf numFmtId="178" fontId="84" fillId="0" borderId="0" xfId="0" applyNumberFormat="1" applyFont="1" applyAlignment="1">
      <alignment horizontal="center" vertical="center" wrapText="1"/>
    </xf>
    <xf numFmtId="166" fontId="84" fillId="0" borderId="0" xfId="10" applyFont="1" applyFill="1" applyBorder="1" applyAlignment="1">
      <alignment horizontal="center" vertical="center" wrapText="1"/>
    </xf>
    <xf numFmtId="2" fontId="84" fillId="0" borderId="0" xfId="10" applyNumberFormat="1" applyFont="1" applyFill="1" applyBorder="1" applyAlignment="1">
      <alignment horizontal="center" vertical="center" wrapText="1"/>
    </xf>
    <xf numFmtId="182" fontId="84" fillId="0" borderId="0" xfId="10" applyNumberFormat="1" applyFont="1" applyFill="1" applyBorder="1" applyAlignment="1">
      <alignment horizontal="center" vertical="center" wrapText="1"/>
    </xf>
    <xf numFmtId="1" fontId="84" fillId="0" borderId="0" xfId="0" applyNumberFormat="1" applyFont="1" applyAlignment="1">
      <alignment horizontal="left" vertical="center" wrapText="1"/>
    </xf>
    <xf numFmtId="0" fontId="84" fillId="37" borderId="0" xfId="0" applyFont="1" applyFill="1" applyAlignment="1">
      <alignment horizontal="center" vertical="center" wrapText="1"/>
    </xf>
    <xf numFmtId="193" fontId="84" fillId="37" borderId="0" xfId="0" applyNumberFormat="1" applyFont="1" applyFill="1" applyAlignment="1">
      <alignment horizontal="center" vertical="center" wrapText="1"/>
    </xf>
    <xf numFmtId="2" fontId="84" fillId="37" borderId="0" xfId="0" applyNumberFormat="1" applyFont="1" applyFill="1" applyAlignment="1">
      <alignment vertical="center" wrapText="1"/>
    </xf>
    <xf numFmtId="0" fontId="60" fillId="0" borderId="41" xfId="0" applyFont="1" applyBorder="1" applyAlignment="1">
      <alignment horizontal="center" vertical="center"/>
    </xf>
    <xf numFmtId="193" fontId="60" fillId="0" borderId="41" xfId="0" applyNumberFormat="1" applyFont="1" applyBorder="1" applyAlignment="1">
      <alignment horizontal="center" vertical="center"/>
    </xf>
    <xf numFmtId="2" fontId="67" fillId="0" borderId="0" xfId="19" applyNumberFormat="1" applyFont="1" applyAlignment="1">
      <alignment horizontal="left"/>
    </xf>
    <xf numFmtId="0" fontId="100" fillId="0" borderId="0" xfId="19" applyFont="1" applyAlignment="1">
      <alignment horizontal="left"/>
    </xf>
    <xf numFmtId="2" fontId="105" fillId="0" borderId="0" xfId="19" applyNumberFormat="1" applyFont="1" applyAlignment="1">
      <alignment horizontal="left"/>
    </xf>
    <xf numFmtId="0" fontId="60" fillId="0" borderId="0" xfId="3327" applyFont="1" applyAlignment="1">
      <alignment vertical="center"/>
    </xf>
    <xf numFmtId="0" fontId="61" fillId="0" borderId="0" xfId="3327" applyFont="1" applyAlignment="1">
      <alignment horizontal="right" vertical="center"/>
    </xf>
    <xf numFmtId="0" fontId="61" fillId="0" borderId="0" xfId="3327" applyFont="1" applyAlignment="1">
      <alignment vertical="center"/>
    </xf>
    <xf numFmtId="49" fontId="64" fillId="0" borderId="0" xfId="19" applyNumberFormat="1" applyFont="1" applyAlignment="1">
      <alignment vertical="center"/>
    </xf>
    <xf numFmtId="0" fontId="60" fillId="0" borderId="0" xfId="20" applyFont="1" applyAlignment="1">
      <alignment vertical="center"/>
    </xf>
    <xf numFmtId="0" fontId="60" fillId="0" borderId="0" xfId="23" applyFont="1" applyAlignment="1" applyProtection="1">
      <alignment vertical="center"/>
      <protection hidden="1"/>
    </xf>
    <xf numFmtId="200" fontId="110" fillId="0" borderId="0" xfId="19" applyNumberFormat="1" applyFont="1" applyAlignment="1">
      <alignment vertical="center" wrapText="1"/>
    </xf>
    <xf numFmtId="0" fontId="60" fillId="0" borderId="0" xfId="3327" applyFont="1" applyAlignment="1">
      <alignment vertical="center" wrapText="1"/>
    </xf>
    <xf numFmtId="0" fontId="60" fillId="0" borderId="0" xfId="3327" applyFont="1" applyAlignment="1">
      <alignment horizontal="center" vertical="center" wrapText="1"/>
    </xf>
    <xf numFmtId="0" fontId="61" fillId="0" borderId="0" xfId="20" applyFont="1" applyAlignment="1">
      <alignment horizontal="center" vertical="center"/>
    </xf>
    <xf numFmtId="2" fontId="60" fillId="0" borderId="0" xfId="3327" applyNumberFormat="1" applyFont="1" applyAlignment="1">
      <alignment vertical="center"/>
    </xf>
    <xf numFmtId="2" fontId="60" fillId="0" borderId="0" xfId="23" applyNumberFormat="1" applyFont="1" applyAlignment="1" applyProtection="1">
      <alignment vertical="center"/>
      <protection hidden="1"/>
    </xf>
    <xf numFmtId="0" fontId="61" fillId="0" borderId="0" xfId="23" applyFont="1" applyAlignment="1" applyProtection="1">
      <alignment horizontal="center" vertical="center"/>
      <protection hidden="1"/>
    </xf>
    <xf numFmtId="2" fontId="61" fillId="0" borderId="0" xfId="20" applyNumberFormat="1" applyFont="1" applyAlignment="1">
      <alignment horizontal="center" vertical="center"/>
    </xf>
    <xf numFmtId="2" fontId="61" fillId="0" borderId="0" xfId="3327" applyNumberFormat="1" applyFont="1" applyAlignment="1">
      <alignment horizontal="center" vertical="center"/>
    </xf>
    <xf numFmtId="2" fontId="111" fillId="0" borderId="0" xfId="19" applyNumberFormat="1" applyFont="1" applyAlignment="1">
      <alignment horizontal="center" vertical="center"/>
    </xf>
    <xf numFmtId="15" fontId="64" fillId="0" borderId="0" xfId="19" applyNumberFormat="1" applyFont="1" applyAlignment="1">
      <alignment horizontal="left" vertical="center"/>
    </xf>
    <xf numFmtId="0" fontId="112" fillId="34" borderId="34" xfId="0" applyFont="1" applyFill="1" applyBorder="1" applyAlignment="1">
      <alignment vertical="center"/>
    </xf>
    <xf numFmtId="2" fontId="77" fillId="0" borderId="0" xfId="18" applyNumberFormat="1" applyFont="1" applyAlignment="1" applyProtection="1">
      <alignment vertical="center"/>
      <protection hidden="1"/>
    </xf>
    <xf numFmtId="0" fontId="110" fillId="0" borderId="0" xfId="0" applyFont="1" applyAlignment="1">
      <alignment horizontal="center" vertical="center"/>
    </xf>
    <xf numFmtId="0" fontId="110" fillId="33" borderId="7" xfId="0" applyFont="1" applyFill="1" applyBorder="1" applyAlignment="1">
      <alignment horizontal="center" vertical="center" wrapText="1"/>
    </xf>
    <xf numFmtId="2" fontId="77" fillId="0" borderId="0" xfId="18" applyNumberFormat="1" applyFont="1" applyAlignment="1" applyProtection="1">
      <alignment vertical="center" wrapText="1"/>
      <protection hidden="1"/>
    </xf>
    <xf numFmtId="0" fontId="61" fillId="0" borderId="0" xfId="23" applyFont="1" applyAlignment="1" applyProtection="1">
      <alignment horizontal="center" vertical="center" wrapText="1"/>
      <protection hidden="1"/>
    </xf>
    <xf numFmtId="0" fontId="110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60" fillId="33" borderId="7" xfId="2517" applyNumberFormat="1" applyFont="1" applyFill="1" applyBorder="1" applyAlignment="1" applyProtection="1">
      <alignment horizontal="center" vertical="center" wrapText="1"/>
      <protection hidden="1"/>
    </xf>
    <xf numFmtId="0" fontId="95" fillId="0" borderId="0" xfId="3327" applyFont="1" applyAlignment="1">
      <alignment vertical="center" wrapText="1"/>
    </xf>
    <xf numFmtId="0" fontId="113" fillId="0" borderId="0" xfId="23" applyFont="1" applyAlignment="1" applyProtection="1">
      <alignment vertical="center"/>
      <protection hidden="1"/>
    </xf>
    <xf numFmtId="0" fontId="114" fillId="0" borderId="0" xfId="0" applyFont="1" applyAlignment="1">
      <alignment horizontal="center" vertical="center"/>
    </xf>
    <xf numFmtId="0" fontId="113" fillId="0" borderId="0" xfId="3327" applyFont="1" applyAlignment="1">
      <alignment vertical="center"/>
    </xf>
    <xf numFmtId="0" fontId="75" fillId="0" borderId="0" xfId="0" applyFont="1" applyAlignment="1">
      <alignment horizontal="center" vertical="center"/>
    </xf>
    <xf numFmtId="0" fontId="115" fillId="32" borderId="0" xfId="0" applyFont="1" applyFill="1" applyAlignment="1">
      <alignment horizontal="center" vertical="center"/>
    </xf>
    <xf numFmtId="0" fontId="95" fillId="0" borderId="0" xfId="3327" applyFont="1" applyAlignment="1">
      <alignment vertical="center"/>
    </xf>
    <xf numFmtId="2" fontId="71" fillId="0" borderId="0" xfId="23" applyNumberFormat="1" applyFont="1" applyAlignment="1" applyProtection="1">
      <alignment horizontal="left" vertical="center"/>
      <protection hidden="1"/>
    </xf>
    <xf numFmtId="2" fontId="61" fillId="0" borderId="0" xfId="18" applyNumberFormat="1" applyFont="1" applyAlignment="1" applyProtection="1">
      <alignment horizontal="center" vertical="center"/>
      <protection hidden="1"/>
    </xf>
    <xf numFmtId="2" fontId="60" fillId="0" borderId="0" xfId="18" applyNumberFormat="1" applyFont="1" applyAlignment="1" applyProtection="1">
      <alignment vertical="center"/>
      <protection hidden="1"/>
    </xf>
    <xf numFmtId="0" fontId="61" fillId="0" borderId="0" xfId="23" applyFont="1" applyAlignment="1" applyProtection="1">
      <alignment horizontal="right" vertical="center"/>
      <protection hidden="1"/>
    </xf>
    <xf numFmtId="2" fontId="70" fillId="0" borderId="0" xfId="23" applyNumberFormat="1" applyFont="1" applyAlignment="1" applyProtection="1">
      <alignment horizontal="right" vertical="center"/>
      <protection hidden="1"/>
    </xf>
    <xf numFmtId="2" fontId="111" fillId="11" borderId="0" xfId="19" applyNumberFormat="1" applyFont="1" applyFill="1" applyAlignment="1">
      <alignment horizontal="center" vertical="center"/>
    </xf>
    <xf numFmtId="183" fontId="60" fillId="0" borderId="0" xfId="18" applyNumberFormat="1" applyFont="1" applyAlignment="1" applyProtection="1">
      <alignment vertical="center"/>
      <protection hidden="1"/>
    </xf>
    <xf numFmtId="2" fontId="85" fillId="0" borderId="0" xfId="23" applyNumberFormat="1" applyFont="1" applyAlignment="1" applyProtection="1">
      <alignment horizontal="right" vertical="center"/>
      <protection hidden="1"/>
    </xf>
    <xf numFmtId="2" fontId="92" fillId="0" borderId="0" xfId="18" applyNumberFormat="1" applyFont="1" applyAlignment="1" applyProtection="1">
      <alignment vertical="center"/>
      <protection hidden="1"/>
    </xf>
    <xf numFmtId="0" fontId="60" fillId="0" borderId="0" xfId="18" applyFont="1" applyAlignment="1" applyProtection="1">
      <alignment vertical="center"/>
      <protection hidden="1"/>
    </xf>
    <xf numFmtId="0" fontId="116" fillId="0" borderId="0" xfId="0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60" fillId="0" borderId="0" xfId="23" applyNumberFormat="1" applyFont="1" applyAlignment="1" applyProtection="1">
      <alignment horizontal="right" vertical="center"/>
      <protection hidden="1"/>
    </xf>
    <xf numFmtId="0" fontId="60" fillId="0" borderId="0" xfId="23" applyFont="1" applyAlignment="1" applyProtection="1">
      <alignment horizontal="right" vertical="center"/>
      <protection hidden="1"/>
    </xf>
    <xf numFmtId="183" fontId="70" fillId="0" borderId="0" xfId="0" applyNumberFormat="1" applyFont="1" applyAlignment="1">
      <alignment horizontal="center" vertical="center"/>
    </xf>
    <xf numFmtId="4" fontId="60" fillId="0" borderId="0" xfId="3" applyNumberFormat="1" applyFont="1" applyAlignment="1" applyProtection="1">
      <alignment horizontal="center" vertical="center"/>
      <protection locked="0"/>
    </xf>
    <xf numFmtId="0" fontId="117" fillId="0" borderId="0" xfId="23" applyFont="1" applyAlignment="1" applyProtection="1">
      <alignment horizontal="right" vertical="center"/>
      <protection hidden="1"/>
    </xf>
    <xf numFmtId="4" fontId="92" fillId="0" borderId="0" xfId="3" applyNumberFormat="1" applyFont="1" applyAlignment="1" applyProtection="1">
      <alignment horizontal="center" vertical="center"/>
      <protection locked="0"/>
    </xf>
    <xf numFmtId="4" fontId="61" fillId="0" borderId="0" xfId="3" applyNumberFormat="1" applyFont="1" applyAlignment="1" applyProtection="1">
      <alignment horizontal="center" vertical="center"/>
      <protection hidden="1"/>
    </xf>
    <xf numFmtId="0" fontId="118" fillId="0" borderId="0" xfId="0" applyFont="1" applyAlignment="1">
      <alignment horizontal="center" vertical="center"/>
    </xf>
    <xf numFmtId="183" fontId="60" fillId="0" borderId="0" xfId="18" applyNumberFormat="1" applyFont="1" applyAlignment="1" applyProtection="1">
      <alignment horizontal="center" vertical="center"/>
      <protection hidden="1"/>
    </xf>
    <xf numFmtId="0" fontId="89" fillId="0" borderId="0" xfId="23" applyFont="1" applyAlignment="1" applyProtection="1">
      <alignment horizontal="right" vertical="center"/>
      <protection hidden="1"/>
    </xf>
    <xf numFmtId="4" fontId="89" fillId="0" borderId="0" xfId="3" applyNumberFormat="1" applyFont="1" applyAlignment="1" applyProtection="1">
      <alignment horizontal="center" vertical="center"/>
      <protection locked="0"/>
    </xf>
    <xf numFmtId="2" fontId="77" fillId="0" borderId="0" xfId="18" applyNumberFormat="1" applyFont="1" applyAlignment="1" applyProtection="1">
      <alignment horizontal="center" vertical="center"/>
      <protection hidden="1"/>
    </xf>
    <xf numFmtId="183" fontId="118" fillId="0" borderId="0" xfId="0" applyNumberFormat="1" applyFont="1" applyAlignment="1">
      <alignment horizontal="center" vertical="center"/>
    </xf>
    <xf numFmtId="2" fontId="60" fillId="0" borderId="0" xfId="18" applyNumberFormat="1" applyFont="1" applyAlignment="1" applyProtection="1">
      <alignment horizontal="center" vertical="center"/>
      <protection hidden="1"/>
    </xf>
    <xf numFmtId="183" fontId="116" fillId="0" borderId="0" xfId="0" applyNumberFormat="1" applyFont="1" applyAlignment="1">
      <alignment horizontal="center" vertical="center"/>
    </xf>
    <xf numFmtId="0" fontId="107" fillId="0" borderId="0" xfId="3327" applyFont="1" applyAlignment="1">
      <alignment horizontal="right" vertical="center"/>
    </xf>
    <xf numFmtId="0" fontId="92" fillId="0" borderId="0" xfId="23" applyFont="1" applyAlignment="1" applyProtection="1">
      <alignment horizontal="left" vertical="center"/>
      <protection hidden="1"/>
    </xf>
    <xf numFmtId="10" fontId="61" fillId="0" borderId="0" xfId="2517" applyNumberFormat="1" applyFont="1" applyAlignment="1" applyProtection="1">
      <alignment horizontal="right" vertical="center"/>
      <protection hidden="1"/>
    </xf>
    <xf numFmtId="183" fontId="61" fillId="0" borderId="0" xfId="2517" applyNumberFormat="1" applyFont="1" applyAlignment="1">
      <alignment vertical="center"/>
    </xf>
    <xf numFmtId="0" fontId="61" fillId="0" borderId="0" xfId="23" applyFont="1" applyAlignment="1" applyProtection="1">
      <alignment vertical="center"/>
      <protection hidden="1"/>
    </xf>
    <xf numFmtId="10" fontId="61" fillId="0" borderId="0" xfId="2517" applyNumberFormat="1" applyFont="1" applyAlignment="1">
      <alignment vertical="center"/>
    </xf>
    <xf numFmtId="0" fontId="71" fillId="0" borderId="0" xfId="23" applyFont="1" applyAlignment="1" applyProtection="1">
      <alignment horizontal="center" vertical="center"/>
      <protection hidden="1"/>
    </xf>
    <xf numFmtId="9" fontId="77" fillId="0" borderId="0" xfId="23" applyNumberFormat="1" applyFont="1" applyAlignment="1" applyProtection="1">
      <alignment vertical="center"/>
      <protection hidden="1"/>
    </xf>
    <xf numFmtId="10" fontId="116" fillId="0" borderId="0" xfId="2517" applyNumberFormat="1" applyFont="1" applyAlignment="1">
      <alignment horizontal="center" vertical="center"/>
    </xf>
    <xf numFmtId="0" fontId="61" fillId="0" borderId="0" xfId="23" applyFont="1" applyAlignment="1" applyProtection="1">
      <alignment horizontal="left" vertical="center"/>
      <protection hidden="1"/>
    </xf>
    <xf numFmtId="0" fontId="60" fillId="0" borderId="0" xfId="23" applyFont="1" applyAlignment="1" applyProtection="1">
      <alignment horizontal="left" vertical="center"/>
      <protection hidden="1"/>
    </xf>
    <xf numFmtId="1" fontId="61" fillId="0" borderId="0" xfId="23" applyNumberFormat="1" applyFont="1" applyAlignment="1" applyProtection="1">
      <alignment horizontal="left" vertical="center"/>
      <protection hidden="1"/>
    </xf>
    <xf numFmtId="1" fontId="60" fillId="0" borderId="0" xfId="23" applyNumberFormat="1" applyFont="1" applyAlignment="1" applyProtection="1">
      <alignment vertical="center"/>
      <protection hidden="1"/>
    </xf>
    <xf numFmtId="180" fontId="60" fillId="0" borderId="0" xfId="3327" applyNumberFormat="1" applyFont="1" applyAlignment="1">
      <alignment vertical="center"/>
    </xf>
    <xf numFmtId="180" fontId="60" fillId="0" borderId="0" xfId="23" applyNumberFormat="1" applyFont="1" applyAlignment="1" applyProtection="1">
      <alignment vertical="center"/>
      <protection hidden="1"/>
    </xf>
    <xf numFmtId="180" fontId="60" fillId="0" borderId="0" xfId="3327" applyNumberFormat="1" applyFont="1" applyAlignment="1">
      <alignment horizontal="center" vertical="center"/>
    </xf>
    <xf numFmtId="180" fontId="61" fillId="0" borderId="0" xfId="23" applyNumberFormat="1" applyFont="1" applyAlignment="1" applyProtection="1">
      <alignment horizontal="left" vertical="center"/>
      <protection hidden="1"/>
    </xf>
    <xf numFmtId="180" fontId="60" fillId="0" borderId="0" xfId="3327" applyNumberFormat="1" applyFont="1" applyAlignment="1">
      <alignment horizontal="left" vertical="center"/>
    </xf>
    <xf numFmtId="0" fontId="92" fillId="0" borderId="0" xfId="0" applyFont="1" applyAlignment="1">
      <alignment horizontal="center" vertical="center"/>
    </xf>
    <xf numFmtId="180" fontId="92" fillId="0" borderId="0" xfId="3327" applyNumberFormat="1" applyFont="1" applyAlignment="1">
      <alignment horizontal="left" vertical="center"/>
    </xf>
    <xf numFmtId="180" fontId="60" fillId="0" borderId="0" xfId="23" applyNumberFormat="1" applyFont="1" applyAlignment="1" applyProtection="1">
      <alignment horizontal="center" vertical="center"/>
      <protection hidden="1"/>
    </xf>
    <xf numFmtId="4" fontId="60" fillId="0" borderId="0" xfId="2517" applyNumberFormat="1" applyFont="1" applyAlignment="1" applyProtection="1">
      <alignment horizontal="center" vertical="center"/>
      <protection hidden="1"/>
    </xf>
    <xf numFmtId="0" fontId="60" fillId="0" borderId="0" xfId="3327" applyFont="1" applyAlignment="1">
      <alignment horizontal="center" vertical="center"/>
    </xf>
    <xf numFmtId="0" fontId="119" fillId="0" borderId="0" xfId="0" applyFont="1" applyAlignment="1">
      <alignment horizontal="center" vertical="center"/>
    </xf>
    <xf numFmtId="0" fontId="60" fillId="0" borderId="0" xfId="3327" applyFont="1" applyAlignment="1">
      <alignment horizontal="left" vertical="center"/>
    </xf>
    <xf numFmtId="4" fontId="61" fillId="0" borderId="0" xfId="4" applyNumberFormat="1" applyFont="1" applyAlignment="1" applyProtection="1">
      <alignment horizontal="center" vertical="center"/>
      <protection hidden="1"/>
    </xf>
    <xf numFmtId="10" fontId="60" fillId="0" borderId="0" xfId="2517" applyNumberFormat="1" applyFont="1" applyAlignment="1" applyProtection="1">
      <alignment vertical="center"/>
      <protection hidden="1"/>
    </xf>
    <xf numFmtId="0" fontId="60" fillId="0" borderId="0" xfId="3327" applyFont="1" applyAlignment="1">
      <alignment horizontal="right" vertical="center"/>
    </xf>
    <xf numFmtId="0" fontId="70" fillId="0" borderId="0" xfId="0" applyFont="1" applyAlignment="1">
      <alignment horizontal="left" vertical="center"/>
    </xf>
    <xf numFmtId="10" fontId="60" fillId="0" borderId="0" xfId="3327" applyNumberFormat="1" applyFont="1" applyAlignment="1">
      <alignment vertical="center"/>
    </xf>
    <xf numFmtId="0" fontId="61" fillId="0" borderId="0" xfId="3327" applyFont="1" applyAlignment="1">
      <alignment horizontal="left" vertical="center"/>
    </xf>
    <xf numFmtId="0" fontId="120" fillId="36" borderId="7" xfId="0" applyFont="1" applyFill="1" applyBorder="1" applyAlignment="1">
      <alignment horizontal="center" vertical="center" wrapText="1"/>
    </xf>
    <xf numFmtId="0" fontId="75" fillId="36" borderId="7" xfId="2517" applyNumberFormat="1" applyFont="1" applyFill="1" applyBorder="1" applyAlignment="1" applyProtection="1">
      <alignment horizontal="center" vertical="center" wrapText="1"/>
      <protection hidden="1"/>
    </xf>
    <xf numFmtId="0" fontId="61" fillId="0" borderId="0" xfId="23" applyFont="1" applyAlignment="1" applyProtection="1">
      <alignment horizontal="right" vertical="center" indent="1"/>
      <protection hidden="1"/>
    </xf>
    <xf numFmtId="0" fontId="60" fillId="0" borderId="39" xfId="3327" applyFont="1" applyBorder="1" applyAlignment="1">
      <alignment vertical="center"/>
    </xf>
    <xf numFmtId="0" fontId="118" fillId="0" borderId="39" xfId="0" applyFont="1" applyBorder="1" applyAlignment="1">
      <alignment horizontal="left" vertical="center"/>
    </xf>
    <xf numFmtId="0" fontId="110" fillId="0" borderId="39" xfId="0" applyFont="1" applyBorder="1" applyAlignment="1">
      <alignment horizontal="center" vertical="center"/>
    </xf>
    <xf numFmtId="0" fontId="70" fillId="0" borderId="39" xfId="0" applyFont="1" applyBorder="1" applyAlignment="1">
      <alignment horizontal="center" vertical="center"/>
    </xf>
    <xf numFmtId="2" fontId="71" fillId="0" borderId="0" xfId="16" applyNumberFormat="1" applyFont="1" applyAlignment="1" applyProtection="1">
      <alignment horizontal="left"/>
      <protection hidden="1"/>
    </xf>
    <xf numFmtId="2" fontId="60" fillId="0" borderId="0" xfId="16" applyNumberFormat="1" applyFont="1" applyAlignment="1" applyProtection="1">
      <alignment horizontal="center"/>
      <protection hidden="1"/>
    </xf>
    <xf numFmtId="2" fontId="63" fillId="0" borderId="0" xfId="19" applyNumberFormat="1" applyFont="1" applyAlignment="1">
      <alignment horizontal="left" vertical="top"/>
    </xf>
    <xf numFmtId="192" fontId="78" fillId="0" borderId="0" xfId="0" applyNumberFormat="1" applyFont="1" applyAlignment="1">
      <alignment horizontal="left"/>
    </xf>
    <xf numFmtId="2" fontId="71" fillId="0" borderId="0" xfId="16" applyNumberFormat="1" applyFont="1" applyProtection="1">
      <protection hidden="1"/>
    </xf>
    <xf numFmtId="0" fontId="60" fillId="0" borderId="0" xfId="16" applyFont="1" applyProtection="1">
      <protection hidden="1"/>
    </xf>
    <xf numFmtId="0" fontId="61" fillId="0" borderId="0" xfId="16" applyFont="1" applyAlignment="1" applyProtection="1">
      <alignment horizontal="left"/>
      <protection hidden="1"/>
    </xf>
    <xf numFmtId="0" fontId="60" fillId="0" borderId="0" xfId="16" applyFont="1" applyAlignment="1" applyProtection="1">
      <alignment horizontal="left"/>
      <protection hidden="1"/>
    </xf>
    <xf numFmtId="0" fontId="60" fillId="0" borderId="0" xfId="16" applyFont="1" applyAlignment="1" applyProtection="1">
      <alignment horizontal="center"/>
      <protection hidden="1"/>
    </xf>
    <xf numFmtId="0" fontId="63" fillId="0" borderId="0" xfId="21" applyFont="1" applyProtection="1">
      <protection hidden="1"/>
    </xf>
    <xf numFmtId="167" fontId="61" fillId="0" borderId="0" xfId="6" applyFont="1" applyFill="1" applyBorder="1" applyAlignment="1" applyProtection="1">
      <alignment horizontal="right"/>
      <protection hidden="1"/>
    </xf>
    <xf numFmtId="0" fontId="60" fillId="0" borderId="0" xfId="16" applyFont="1" applyAlignment="1" applyProtection="1">
      <alignment horizontal="right"/>
      <protection hidden="1"/>
    </xf>
    <xf numFmtId="4" fontId="60" fillId="0" borderId="0" xfId="16" applyNumberFormat="1" applyFont="1" applyAlignment="1" applyProtection="1">
      <alignment horizontal="right"/>
      <protection hidden="1"/>
    </xf>
    <xf numFmtId="2" fontId="60" fillId="0" borderId="0" xfId="16" applyNumberFormat="1" applyFont="1" applyProtection="1">
      <protection hidden="1"/>
    </xf>
    <xf numFmtId="185" fontId="60" fillId="0" borderId="0" xfId="16" applyNumberFormat="1" applyFont="1" applyAlignment="1" applyProtection="1">
      <alignment horizontal="center"/>
      <protection hidden="1"/>
    </xf>
    <xf numFmtId="4" fontId="60" fillId="0" borderId="0" xfId="16" applyNumberFormat="1" applyFont="1" applyProtection="1">
      <protection hidden="1"/>
    </xf>
    <xf numFmtId="185" fontId="61" fillId="0" borderId="0" xfId="0" applyNumberFormat="1" applyFont="1"/>
    <xf numFmtId="0" fontId="89" fillId="0" borderId="0" xfId="0" applyFont="1" applyAlignment="1">
      <alignment horizontal="left" indent="4"/>
    </xf>
    <xf numFmtId="185" fontId="60" fillId="0" borderId="0" xfId="0" applyNumberFormat="1" applyFont="1"/>
    <xf numFmtId="0" fontId="61" fillId="0" borderId="0" xfId="0" applyFont="1" applyAlignment="1">
      <alignment horizontal="right" vertic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179" fontId="61" fillId="0" borderId="0" xfId="0" applyNumberFormat="1" applyFont="1" applyAlignment="1">
      <alignment horizontal="center"/>
    </xf>
    <xf numFmtId="0" fontId="60" fillId="0" borderId="0" xfId="0" applyFont="1" applyAlignment="1">
      <alignment horizontal="right"/>
    </xf>
    <xf numFmtId="179" fontId="61" fillId="0" borderId="33" xfId="16" applyNumberFormat="1" applyFont="1" applyBorder="1" applyAlignment="1" applyProtection="1">
      <alignment horizontal="center"/>
      <protection hidden="1"/>
    </xf>
    <xf numFmtId="9" fontId="61" fillId="0" borderId="0" xfId="0" applyNumberFormat="1" applyFont="1" applyAlignment="1">
      <alignment horizontal="center"/>
    </xf>
    <xf numFmtId="4" fontId="60" fillId="0" borderId="0" xfId="0" applyNumberFormat="1" applyFont="1"/>
    <xf numFmtId="49" fontId="79" fillId="0" borderId="0" xfId="19" applyNumberFormat="1" applyFont="1"/>
    <xf numFmtId="2" fontId="82" fillId="0" borderId="0" xfId="16" applyNumberFormat="1" applyFont="1" applyAlignment="1" applyProtection="1">
      <alignment horizontal="left"/>
      <protection hidden="1"/>
    </xf>
    <xf numFmtId="189" fontId="97" fillId="0" borderId="43" xfId="22" applyNumberFormat="1" applyFont="1" applyBorder="1" applyAlignment="1">
      <alignment horizontal="center" vertical="center"/>
    </xf>
    <xf numFmtId="183" fontId="74" fillId="0" borderId="43" xfId="22" applyNumberFormat="1" applyFont="1" applyBorder="1" applyAlignment="1" applyProtection="1">
      <alignment horizontal="center" vertical="center"/>
      <protection locked="0" hidden="1"/>
    </xf>
    <xf numFmtId="0" fontId="84" fillId="37" borderId="7" xfId="22" applyFont="1" applyFill="1" applyBorder="1" applyAlignment="1">
      <alignment horizontal="center" vertical="center"/>
    </xf>
    <xf numFmtId="0" fontId="123" fillId="36" borderId="7" xfId="22" applyFont="1" applyFill="1" applyBorder="1" applyAlignment="1">
      <alignment horizontal="center" vertical="center"/>
    </xf>
    <xf numFmtId="3" fontId="93" fillId="0" borderId="44" xfId="0" applyNumberFormat="1" applyFont="1" applyBorder="1" applyAlignment="1">
      <alignment horizontal="center" vertical="center"/>
    </xf>
    <xf numFmtId="181" fontId="93" fillId="0" borderId="44" xfId="10" applyNumberFormat="1" applyFont="1" applyFill="1" applyBorder="1" applyAlignment="1">
      <alignment horizontal="center" vertical="center"/>
    </xf>
    <xf numFmtId="181" fontId="61" fillId="0" borderId="0" xfId="10" applyNumberFormat="1" applyFont="1" applyFill="1" applyAlignment="1">
      <alignment horizontal="center"/>
    </xf>
    <xf numFmtId="0" fontId="93" fillId="35" borderId="0" xfId="3327" applyFont="1" applyFill="1" applyAlignment="1">
      <alignment vertical="center"/>
    </xf>
    <xf numFmtId="0" fontId="125" fillId="35" borderId="0" xfId="0" applyFont="1" applyFill="1" applyAlignment="1">
      <alignment horizontal="center" vertical="center"/>
    </xf>
    <xf numFmtId="0" fontId="124" fillId="35" borderId="0" xfId="0" applyFont="1" applyFill="1" applyAlignment="1">
      <alignment horizontal="right" vertical="center"/>
    </xf>
    <xf numFmtId="0" fontId="124" fillId="35" borderId="0" xfId="0" applyFont="1" applyFill="1" applyAlignment="1">
      <alignment horizontal="center" vertical="center" wrapText="1"/>
    </xf>
    <xf numFmtId="0" fontId="93" fillId="35" borderId="0" xfId="0" applyFont="1" applyFill="1" applyAlignment="1">
      <alignment horizontal="center" vertical="center"/>
    </xf>
    <xf numFmtId="2" fontId="93" fillId="35" borderId="0" xfId="0" applyNumberFormat="1" applyFont="1" applyFill="1" applyAlignment="1">
      <alignment horizontal="right" vertical="center"/>
    </xf>
    <xf numFmtId="2" fontId="93" fillId="35" borderId="0" xfId="0" applyNumberFormat="1" applyFont="1" applyFill="1" applyAlignment="1">
      <alignment horizontal="center" vertical="center"/>
    </xf>
    <xf numFmtId="198" fontId="93" fillId="35" borderId="0" xfId="0" applyNumberFormat="1" applyFont="1" applyFill="1" applyAlignment="1">
      <alignment horizontal="center" vertical="center"/>
    </xf>
    <xf numFmtId="0" fontId="93" fillId="35" borderId="0" xfId="23" applyFont="1" applyFill="1" applyAlignment="1" applyProtection="1">
      <alignment vertical="center"/>
      <protection hidden="1"/>
    </xf>
    <xf numFmtId="2" fontId="93" fillId="35" borderId="42" xfId="0" applyNumberFormat="1" applyFont="1" applyFill="1" applyBorder="1" applyAlignment="1">
      <alignment horizontal="center" vertical="center"/>
    </xf>
    <xf numFmtId="198" fontId="93" fillId="35" borderId="42" xfId="0" applyNumberFormat="1" applyFont="1" applyFill="1" applyBorder="1" applyAlignment="1">
      <alignment horizontal="center" vertical="center"/>
    </xf>
    <xf numFmtId="0" fontId="94" fillId="35" borderId="0" xfId="0" applyFont="1" applyFill="1" applyAlignment="1">
      <alignment horizontal="center" vertical="center"/>
    </xf>
    <xf numFmtId="0" fontId="94" fillId="35" borderId="0" xfId="0" applyFont="1" applyFill="1" applyAlignment="1">
      <alignment horizontal="right" vertical="center"/>
    </xf>
    <xf numFmtId="198" fontId="94" fillId="35" borderId="0" xfId="0" applyNumberFormat="1" applyFont="1" applyFill="1" applyAlignment="1">
      <alignment horizontal="center" vertical="center"/>
    </xf>
    <xf numFmtId="10" fontId="60" fillId="38" borderId="7" xfId="26" applyNumberFormat="1" applyFont="1" applyFill="1" applyBorder="1" applyAlignment="1" applyProtection="1">
      <alignment horizontal="center" vertical="center"/>
      <protection hidden="1"/>
    </xf>
    <xf numFmtId="2" fontId="93" fillId="38" borderId="35" xfId="0" applyNumberFormat="1" applyFont="1" applyFill="1" applyBorder="1" applyAlignment="1">
      <alignment horizontal="center" vertical="center"/>
    </xf>
    <xf numFmtId="2" fontId="60" fillId="38" borderId="40" xfId="2517" applyNumberFormat="1" applyFont="1" applyFill="1" applyBorder="1" applyAlignment="1" applyProtection="1">
      <alignment horizontal="center" vertical="center"/>
      <protection hidden="1"/>
    </xf>
    <xf numFmtId="179" fontId="122" fillId="38" borderId="7" xfId="26" applyNumberFormat="1" applyFont="1" applyFill="1" applyBorder="1" applyAlignment="1" applyProtection="1">
      <alignment horizontal="center" vertical="center"/>
      <protection hidden="1"/>
    </xf>
    <xf numFmtId="190" fontId="60" fillId="38" borderId="40" xfId="26" applyNumberFormat="1" applyFont="1" applyFill="1" applyBorder="1" applyAlignment="1" applyProtection="1">
      <alignment horizontal="center" vertical="center"/>
      <protection hidden="1"/>
    </xf>
    <xf numFmtId="1" fontId="60" fillId="38" borderId="40" xfId="26" applyNumberFormat="1" applyFont="1" applyFill="1" applyBorder="1" applyAlignment="1" applyProtection="1">
      <alignment horizontal="center" vertical="center"/>
      <protection hidden="1"/>
    </xf>
    <xf numFmtId="10" fontId="60" fillId="38" borderId="40" xfId="26" applyNumberFormat="1" applyFont="1" applyFill="1" applyBorder="1" applyAlignment="1" applyProtection="1">
      <alignment horizontal="center" vertical="center"/>
      <protection hidden="1"/>
    </xf>
    <xf numFmtId="0" fontId="60" fillId="0" borderId="0" xfId="0" applyFont="1" applyAlignment="1">
      <alignment vertical="center"/>
    </xf>
    <xf numFmtId="0" fontId="128" fillId="0" borderId="0" xfId="17" applyFont="1" applyAlignment="1">
      <alignment vertical="center"/>
    </xf>
    <xf numFmtId="0" fontId="60" fillId="0" borderId="0" xfId="0" applyFont="1" applyAlignment="1">
      <alignment horizontal="center" vertical="center"/>
    </xf>
    <xf numFmtId="0" fontId="61" fillId="0" borderId="0" xfId="17" applyFont="1" applyAlignment="1">
      <alignment horizontal="center" vertical="center"/>
    </xf>
    <xf numFmtId="2" fontId="128" fillId="0" borderId="0" xfId="17" applyNumberFormat="1" applyFont="1" applyAlignment="1">
      <alignment vertical="center"/>
    </xf>
    <xf numFmtId="2" fontId="65" fillId="0" borderId="0" xfId="17" applyNumberFormat="1" applyFont="1" applyAlignment="1">
      <alignment vertical="center"/>
    </xf>
    <xf numFmtId="1" fontId="67" fillId="0" borderId="0" xfId="19" applyNumberFormat="1" applyFont="1" applyAlignment="1">
      <alignment horizontal="left" vertical="center"/>
    </xf>
    <xf numFmtId="2" fontId="63" fillId="0" borderId="0" xfId="19" applyNumberFormat="1" applyFont="1" applyAlignment="1">
      <alignment horizontal="left" vertical="center"/>
    </xf>
    <xf numFmtId="0" fontId="60" fillId="0" borderId="0" xfId="24" applyFont="1" applyAlignment="1">
      <alignment vertical="center"/>
    </xf>
    <xf numFmtId="2" fontId="60" fillId="0" borderId="0" xfId="24" applyNumberFormat="1" applyFont="1" applyAlignment="1">
      <alignment vertical="center"/>
    </xf>
    <xf numFmtId="0" fontId="60" fillId="0" borderId="0" xfId="17" applyFont="1" applyAlignment="1">
      <alignment vertical="center"/>
    </xf>
    <xf numFmtId="0" fontId="60" fillId="0" borderId="0" xfId="17" applyFont="1" applyAlignment="1">
      <alignment horizontal="left" vertical="center"/>
    </xf>
    <xf numFmtId="0" fontId="60" fillId="0" borderId="0" xfId="17" applyFont="1" applyAlignment="1">
      <alignment vertical="center" wrapText="1"/>
    </xf>
    <xf numFmtId="0" fontId="63" fillId="0" borderId="0" xfId="0" applyFont="1" applyAlignment="1">
      <alignment vertical="center"/>
    </xf>
    <xf numFmtId="0" fontId="128" fillId="37" borderId="0" xfId="17" applyFont="1" applyFill="1" applyAlignment="1">
      <alignment vertical="center"/>
    </xf>
    <xf numFmtId="2" fontId="124" fillId="11" borderId="0" xfId="26" applyNumberFormat="1" applyFont="1" applyFill="1" applyBorder="1" applyAlignment="1" applyProtection="1">
      <alignment horizontal="center" vertical="center"/>
      <protection hidden="1"/>
    </xf>
    <xf numFmtId="0" fontId="88" fillId="0" borderId="0" xfId="0" quotePrefix="1" applyFont="1" applyAlignment="1">
      <alignment vertical="center"/>
    </xf>
    <xf numFmtId="2" fontId="124" fillId="11" borderId="0" xfId="26" applyNumberFormat="1" applyFont="1" applyFill="1" applyBorder="1" applyAlignment="1" applyProtection="1">
      <alignment horizontal="center"/>
      <protection hidden="1"/>
    </xf>
    <xf numFmtId="198" fontId="61" fillId="0" borderId="0" xfId="26" applyNumberFormat="1" applyFont="1" applyFill="1" applyBorder="1"/>
    <xf numFmtId="0" fontId="84" fillId="39" borderId="0" xfId="16" applyFont="1" applyFill="1" applyAlignment="1" applyProtection="1">
      <alignment horizontal="left"/>
      <protection hidden="1"/>
    </xf>
    <xf numFmtId="0" fontId="84" fillId="39" borderId="0" xfId="16" applyFont="1" applyFill="1" applyAlignment="1" applyProtection="1">
      <alignment horizontal="left" vertical="top"/>
      <protection hidden="1"/>
    </xf>
    <xf numFmtId="0" fontId="70" fillId="0" borderId="0" xfId="0" applyFont="1" applyAlignment="1">
      <alignment horizontal="center"/>
    </xf>
    <xf numFmtId="0" fontId="92" fillId="0" borderId="0" xfId="0" applyFont="1" applyAlignment="1">
      <alignment vertical="center" wrapText="1"/>
    </xf>
    <xf numFmtId="0" fontId="70" fillId="37" borderId="0" xfId="0" applyFont="1" applyFill="1"/>
    <xf numFmtId="181" fontId="70" fillId="0" borderId="38" xfId="0" applyNumberFormat="1" applyFont="1" applyBorder="1" applyAlignment="1">
      <alignment horizontal="center" vertical="center"/>
    </xf>
    <xf numFmtId="181" fontId="70" fillId="0" borderId="0" xfId="0" applyNumberFormat="1" applyFont="1" applyAlignment="1">
      <alignment vertical="center"/>
    </xf>
    <xf numFmtId="201" fontId="70" fillId="0" borderId="38" xfId="0" applyNumberFormat="1" applyFont="1" applyBorder="1" applyAlignment="1">
      <alignment horizontal="center" vertical="center"/>
    </xf>
    <xf numFmtId="181" fontId="70" fillId="0" borderId="0" xfId="0" applyNumberFormat="1" applyFont="1"/>
    <xf numFmtId="0" fontId="85" fillId="0" borderId="0" xfId="0" applyFont="1" applyAlignment="1">
      <alignment horizontal="left"/>
    </xf>
    <xf numFmtId="0" fontId="70" fillId="0" borderId="0" xfId="0" applyFont="1" applyAlignment="1">
      <alignment horizontal="left" indent="4"/>
    </xf>
    <xf numFmtId="0" fontId="70" fillId="0" borderId="0" xfId="0" applyFont="1" applyAlignment="1">
      <alignment horizontal="left" indent="1"/>
    </xf>
    <xf numFmtId="0" fontId="64" fillId="0" borderId="0" xfId="0" applyFont="1" applyAlignment="1">
      <alignment horizontal="left" indent="1"/>
    </xf>
    <xf numFmtId="0" fontId="67" fillId="0" borderId="0" xfId="0" applyFont="1" applyAlignment="1">
      <alignment horizontal="left" indent="1"/>
    </xf>
    <xf numFmtId="1" fontId="60" fillId="38" borderId="40" xfId="2517" applyNumberFormat="1" applyFont="1" applyFill="1" applyBorder="1" applyAlignment="1" applyProtection="1">
      <alignment horizontal="center" vertical="center"/>
      <protection hidden="1"/>
    </xf>
    <xf numFmtId="0" fontId="0" fillId="38" borderId="46" xfId="0" applyFill="1" applyBorder="1"/>
    <xf numFmtId="0" fontId="60" fillId="0" borderId="0" xfId="19" applyFont="1" applyAlignment="1">
      <alignment horizontal="center" vertical="center"/>
    </xf>
    <xf numFmtId="0" fontId="60" fillId="0" borderId="39" xfId="19" applyFont="1" applyBorder="1" applyAlignment="1">
      <alignment horizontal="center" vertical="center"/>
    </xf>
    <xf numFmtId="0" fontId="0" fillId="38" borderId="46" xfId="0" applyFill="1" applyBorder="1" applyAlignment="1">
      <alignment horizontal="center"/>
    </xf>
    <xf numFmtId="198" fontId="60" fillId="0" borderId="0" xfId="28" applyNumberFormat="1" applyFont="1" applyAlignment="1">
      <alignment horizontal="center"/>
    </xf>
    <xf numFmtId="198" fontId="93" fillId="0" borderId="0" xfId="0" applyNumberFormat="1" applyFont="1" applyAlignment="1">
      <alignment horizontal="center"/>
    </xf>
    <xf numFmtId="198" fontId="69" fillId="0" borderId="0" xfId="19" applyNumberFormat="1" applyFont="1" applyAlignment="1">
      <alignment horizontal="center"/>
    </xf>
    <xf numFmtId="49" fontId="60" fillId="0" borderId="0" xfId="19" applyNumberFormat="1" applyFont="1" applyAlignment="1">
      <alignment horizontal="center" vertical="center"/>
    </xf>
    <xf numFmtId="49" fontId="60" fillId="0" borderId="39" xfId="19" applyNumberFormat="1" applyFont="1" applyBorder="1" applyAlignment="1">
      <alignment horizontal="center" vertical="center"/>
    </xf>
    <xf numFmtId="2" fontId="84" fillId="37" borderId="0" xfId="0" applyNumberFormat="1" applyFont="1" applyFill="1" applyAlignment="1">
      <alignment horizontal="center" vertical="center" wrapText="1"/>
    </xf>
    <xf numFmtId="183" fontId="89" fillId="41" borderId="45" xfId="2517" applyNumberFormat="1" applyFont="1" applyFill="1" applyBorder="1" applyAlignment="1" applyProtection="1">
      <alignment horizontal="center" vertical="center"/>
      <protection hidden="1"/>
    </xf>
    <xf numFmtId="185" fontId="93" fillId="41" borderId="0" xfId="23" applyNumberFormat="1" applyFont="1" applyFill="1" applyAlignment="1" applyProtection="1">
      <alignment horizontal="center" vertical="center"/>
      <protection hidden="1"/>
    </xf>
    <xf numFmtId="185" fontId="93" fillId="41" borderId="33" xfId="23" applyNumberFormat="1" applyFont="1" applyFill="1" applyBorder="1" applyAlignment="1" applyProtection="1">
      <alignment horizontal="center" vertical="center"/>
      <protection hidden="1"/>
    </xf>
    <xf numFmtId="0" fontId="92" fillId="0" borderId="0" xfId="23" quotePrefix="1" applyFont="1" applyAlignment="1" applyProtection="1">
      <alignment horizontal="left" vertical="center"/>
      <protection hidden="1"/>
    </xf>
    <xf numFmtId="1" fontId="60" fillId="38" borderId="49" xfId="2517" applyNumberFormat="1" applyFont="1" applyFill="1" applyBorder="1" applyAlignment="1" applyProtection="1">
      <alignment horizontal="center" vertical="center"/>
      <protection hidden="1"/>
    </xf>
    <xf numFmtId="180" fontId="60" fillId="0" borderId="50" xfId="3327" applyNumberFormat="1" applyFont="1" applyBorder="1" applyAlignment="1">
      <alignment horizontal="center" vertical="center"/>
    </xf>
    <xf numFmtId="9" fontId="70" fillId="0" borderId="0" xfId="0" applyNumberFormat="1" applyFont="1"/>
    <xf numFmtId="185" fontId="94" fillId="41" borderId="0" xfId="16" applyNumberFormat="1" applyFont="1" applyFill="1" applyAlignment="1" applyProtection="1">
      <alignment horizontal="right"/>
      <protection hidden="1"/>
    </xf>
    <xf numFmtId="185" fontId="93" fillId="41" borderId="0" xfId="16" applyNumberFormat="1" applyFont="1" applyFill="1" applyAlignment="1" applyProtection="1">
      <alignment horizontal="right"/>
      <protection locked="0"/>
    </xf>
    <xf numFmtId="185" fontId="93" fillId="41" borderId="0" xfId="16" applyNumberFormat="1" applyFont="1" applyFill="1" applyAlignment="1" applyProtection="1">
      <alignment horizontal="right"/>
      <protection hidden="1"/>
    </xf>
    <xf numFmtId="185" fontId="129" fillId="41" borderId="0" xfId="0" applyNumberFormat="1" applyFont="1" applyFill="1"/>
    <xf numFmtId="181" fontId="88" fillId="0" borderId="0" xfId="0" quotePrefix="1" applyNumberFormat="1" applyFont="1" applyAlignment="1">
      <alignment horizontal="left"/>
    </xf>
    <xf numFmtId="3" fontId="130" fillId="0" borderId="0" xfId="0" applyNumberFormat="1" applyFont="1" applyAlignment="1">
      <alignment horizontal="center" vertical="center"/>
    </xf>
    <xf numFmtId="0" fontId="131" fillId="0" borderId="0" xfId="17" applyFont="1" applyAlignment="1">
      <alignment vertical="center"/>
    </xf>
    <xf numFmtId="0" fontId="131" fillId="0" borderId="0" xfId="17" applyFont="1" applyAlignment="1">
      <alignment horizontal="left" vertical="center"/>
    </xf>
    <xf numFmtId="0" fontId="131" fillId="0" borderId="0" xfId="0" applyFont="1" applyAlignment="1">
      <alignment vertical="center"/>
    </xf>
    <xf numFmtId="0" fontId="133" fillId="0" borderId="0" xfId="0" applyFont="1" applyAlignment="1">
      <alignment vertical="center"/>
    </xf>
    <xf numFmtId="0" fontId="134" fillId="0" borderId="0" xfId="0" applyFont="1" applyAlignment="1">
      <alignment vertical="center"/>
    </xf>
    <xf numFmtId="0" fontId="131" fillId="0" borderId="0" xfId="0" applyFont="1" applyAlignment="1">
      <alignment horizontal="left" vertical="center"/>
    </xf>
    <xf numFmtId="0" fontId="131" fillId="0" borderId="0" xfId="0" applyFont="1" applyAlignment="1">
      <alignment vertical="center" wrapText="1"/>
    </xf>
    <xf numFmtId="0" fontId="134" fillId="0" borderId="0" xfId="16" applyFont="1" applyAlignment="1" applyProtection="1">
      <alignment horizontal="left" vertical="center"/>
      <protection hidden="1"/>
    </xf>
    <xf numFmtId="0" fontId="131" fillId="0" borderId="0" xfId="17" applyFont="1" applyAlignment="1">
      <alignment horizontal="center" vertical="center"/>
    </xf>
    <xf numFmtId="0" fontId="131" fillId="0" borderId="0" xfId="0" applyFont="1" applyAlignment="1">
      <alignment horizontal="center" vertical="center"/>
    </xf>
    <xf numFmtId="0" fontId="131" fillId="0" borderId="0" xfId="19" applyFont="1" applyAlignment="1">
      <alignment vertical="center"/>
    </xf>
    <xf numFmtId="0" fontId="131" fillId="37" borderId="0" xfId="19" applyFont="1" applyFill="1" applyAlignment="1">
      <alignment vertical="center"/>
    </xf>
    <xf numFmtId="0" fontId="131" fillId="0" borderId="39" xfId="19" applyFont="1" applyBorder="1" applyAlignment="1">
      <alignment vertical="center"/>
    </xf>
    <xf numFmtId="0" fontId="98" fillId="0" borderId="0" xfId="0" applyFont="1" applyAlignment="1">
      <alignment vertical="center"/>
    </xf>
    <xf numFmtId="192" fontId="135" fillId="0" borderId="0" xfId="0" applyNumberFormat="1" applyFont="1" applyAlignment="1">
      <alignment horizontal="left" vertical="center"/>
    </xf>
    <xf numFmtId="2" fontId="134" fillId="0" borderId="0" xfId="17" applyNumberFormat="1" applyFont="1" applyAlignment="1">
      <alignment horizontal="center" vertical="center"/>
    </xf>
    <xf numFmtId="2" fontId="131" fillId="0" borderId="0" xfId="24" applyNumberFormat="1" applyFont="1" applyAlignment="1">
      <alignment horizontal="center" vertical="center"/>
    </xf>
    <xf numFmtId="0" fontId="134" fillId="0" borderId="0" xfId="17" applyFont="1" applyAlignment="1">
      <alignment horizontal="center" vertical="center"/>
    </xf>
    <xf numFmtId="0" fontId="134" fillId="0" borderId="0" xfId="0" applyFont="1" applyAlignment="1">
      <alignment horizontal="center" vertical="center"/>
    </xf>
    <xf numFmtId="0" fontId="70" fillId="0" borderId="0" xfId="0" applyFont="1" applyAlignment="1">
      <alignment vertical="center" wrapText="1"/>
    </xf>
    <xf numFmtId="2" fontId="69" fillId="0" borderId="0" xfId="19" applyNumberFormat="1" applyFont="1" applyAlignment="1">
      <alignment vertical="center"/>
    </xf>
    <xf numFmtId="2" fontId="86" fillId="36" borderId="0" xfId="0" applyNumberFormat="1" applyFont="1" applyFill="1" applyAlignment="1">
      <alignment vertical="center" wrapText="1"/>
    </xf>
    <xf numFmtId="2" fontId="86" fillId="36" borderId="0" xfId="0" applyNumberFormat="1" applyFont="1" applyFill="1" applyAlignment="1">
      <alignment horizontal="center" vertical="center" wrapText="1"/>
    </xf>
    <xf numFmtId="2" fontId="94" fillId="11" borderId="0" xfId="26" applyNumberFormat="1" applyFont="1" applyFill="1" applyBorder="1" applyAlignment="1" applyProtection="1">
      <alignment horizontal="center" vertical="center"/>
      <protection hidden="1"/>
    </xf>
    <xf numFmtId="198" fontId="93" fillId="37" borderId="1" xfId="0" applyNumberFormat="1" applyFont="1" applyFill="1" applyBorder="1" applyAlignment="1">
      <alignment horizontal="center" vertical="center"/>
    </xf>
    <xf numFmtId="185" fontId="92" fillId="0" borderId="0" xfId="0" applyNumberFormat="1" applyFont="1" applyAlignment="1">
      <alignment vertical="center" wrapText="1"/>
    </xf>
    <xf numFmtId="0" fontId="60" fillId="42" borderId="0" xfId="0" applyFont="1" applyFill="1" applyAlignment="1">
      <alignment horizontal="center"/>
    </xf>
    <xf numFmtId="193" fontId="60" fillId="42" borderId="0" xfId="0" applyNumberFormat="1" applyFont="1" applyFill="1"/>
    <xf numFmtId="0" fontId="70" fillId="42" borderId="0" xfId="0" applyFont="1" applyFill="1"/>
    <xf numFmtId="199" fontId="60" fillId="42" borderId="0" xfId="0" applyNumberFormat="1" applyFont="1" applyFill="1" applyAlignment="1">
      <alignment horizontal="center"/>
    </xf>
    <xf numFmtId="0" fontId="60" fillId="42" borderId="0" xfId="0" applyFont="1" applyFill="1"/>
    <xf numFmtId="0" fontId="93" fillId="42" borderId="0" xfId="0" applyFont="1" applyFill="1"/>
    <xf numFmtId="181" fontId="60" fillId="42" borderId="0" xfId="0" applyNumberFormat="1" applyFont="1" applyFill="1" applyAlignment="1">
      <alignment horizontal="center"/>
    </xf>
    <xf numFmtId="178" fontId="60" fillId="42" borderId="0" xfId="0" applyNumberFormat="1" applyFont="1" applyFill="1" applyAlignment="1">
      <alignment horizontal="center"/>
    </xf>
    <xf numFmtId="2" fontId="60" fillId="42" borderId="0" xfId="0" applyNumberFormat="1" applyFont="1" applyFill="1" applyAlignment="1">
      <alignment horizontal="center"/>
    </xf>
    <xf numFmtId="1" fontId="60" fillId="42" borderId="0" xfId="0" applyNumberFormat="1" applyFont="1" applyFill="1" applyAlignment="1">
      <alignment horizontal="left"/>
    </xf>
    <xf numFmtId="0" fontId="131" fillId="0" borderId="0" xfId="0" applyFont="1" applyAlignment="1">
      <alignment horizontal="left" vertical="center" wrapText="1"/>
    </xf>
    <xf numFmtId="0" fontId="133" fillId="0" borderId="0" xfId="0" applyFont="1" applyAlignment="1">
      <alignment horizontal="center" vertical="center"/>
    </xf>
    <xf numFmtId="0" fontId="14" fillId="0" borderId="33" xfId="0" applyFont="1" applyBorder="1"/>
    <xf numFmtId="0" fontId="31" fillId="0" borderId="0" xfId="0" quotePrefix="1" applyFont="1" applyAlignment="1">
      <alignment horizontal="center"/>
    </xf>
    <xf numFmtId="15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137" fillId="0" borderId="0" xfId="0" applyFont="1"/>
    <xf numFmtId="0" fontId="14" fillId="0" borderId="60" xfId="0" applyFont="1" applyBorder="1"/>
    <xf numFmtId="0" fontId="14" fillId="0" borderId="61" xfId="0" applyFont="1" applyBorder="1"/>
    <xf numFmtId="0" fontId="31" fillId="0" borderId="61" xfId="0" applyFont="1" applyBorder="1" applyAlignment="1">
      <alignment horizontal="center"/>
    </xf>
    <xf numFmtId="0" fontId="14" fillId="0" borderId="62" xfId="0" applyFont="1" applyBorder="1"/>
    <xf numFmtId="0" fontId="14" fillId="0" borderId="63" xfId="0" applyFont="1" applyBorder="1"/>
    <xf numFmtId="0" fontId="14" fillId="0" borderId="64" xfId="0" applyFont="1" applyBorder="1"/>
    <xf numFmtId="0" fontId="14" fillId="0" borderId="65" xfId="0" applyFont="1" applyBorder="1"/>
    <xf numFmtId="0" fontId="14" fillId="0" borderId="66" xfId="0" applyFont="1" applyBorder="1"/>
    <xf numFmtId="0" fontId="14" fillId="0" borderId="67" xfId="0" applyFont="1" applyBorder="1"/>
    <xf numFmtId="0" fontId="14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68" xfId="0" applyFont="1" applyBorder="1"/>
    <xf numFmtId="0" fontId="14" fillId="0" borderId="63" xfId="0" applyFont="1" applyBorder="1" applyAlignment="1">
      <alignment horizontal="right"/>
    </xf>
    <xf numFmtId="15" fontId="14" fillId="0" borderId="0" xfId="0" applyNumberFormat="1" applyFont="1" applyAlignment="1">
      <alignment horizontal="left"/>
    </xf>
    <xf numFmtId="49" fontId="138" fillId="0" borderId="0" xfId="16" applyNumberFormat="1" applyFont="1" applyAlignment="1" applyProtection="1">
      <alignment horizontal="left"/>
      <protection hidden="1"/>
    </xf>
    <xf numFmtId="49" fontId="18" fillId="0" borderId="0" xfId="16" applyNumberFormat="1" applyFont="1" applyAlignment="1" applyProtection="1">
      <alignment horizontal="left"/>
      <protection hidden="1"/>
    </xf>
    <xf numFmtId="49" fontId="18" fillId="0" borderId="0" xfId="19" applyNumberFormat="1" applyFont="1"/>
    <xf numFmtId="190" fontId="18" fillId="10" borderId="72" xfId="26" applyNumberFormat="1" applyFont="1" applyFill="1" applyBorder="1" applyAlignment="1" applyProtection="1">
      <alignment horizontal="center" vertical="center"/>
      <protection hidden="1"/>
    </xf>
    <xf numFmtId="202" fontId="139" fillId="0" borderId="0" xfId="22" applyNumberFormat="1" applyFont="1" applyAlignment="1">
      <alignment vertical="center"/>
    </xf>
    <xf numFmtId="10" fontId="77" fillId="0" borderId="0" xfId="22" applyNumberFormat="1" applyFont="1" applyAlignment="1" applyProtection="1">
      <alignment horizontal="center" vertical="center"/>
      <protection locked="0" hidden="1"/>
    </xf>
    <xf numFmtId="0" fontId="18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60" fillId="0" borderId="0" xfId="0" applyFont="1" applyAlignment="1">
      <alignment vertical="center" wrapText="1"/>
    </xf>
    <xf numFmtId="0" fontId="140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0" fontId="89" fillId="0" borderId="0" xfId="0" applyFont="1" applyAlignment="1">
      <alignment horizontal="right" vertical="center"/>
    </xf>
    <xf numFmtId="0" fontId="74" fillId="0" borderId="0" xfId="0" applyFont="1" applyAlignment="1">
      <alignment horizontal="center" vertical="center"/>
    </xf>
    <xf numFmtId="0" fontId="141" fillId="0" borderId="0" xfId="0" applyFont="1" applyAlignment="1">
      <alignment horizontal="center" vertical="center"/>
    </xf>
    <xf numFmtId="185" fontId="60" fillId="0" borderId="73" xfId="0" applyNumberFormat="1" applyFont="1" applyBorder="1" applyAlignment="1">
      <alignment horizontal="center" vertical="center"/>
    </xf>
    <xf numFmtId="0" fontId="85" fillId="0" borderId="0" xfId="0" applyFont="1"/>
    <xf numFmtId="190" fontId="93" fillId="0" borderId="0" xfId="0" applyNumberFormat="1" applyFont="1" applyAlignment="1">
      <alignment vertical="center"/>
    </xf>
    <xf numFmtId="185" fontId="129" fillId="0" borderId="0" xfId="0" applyNumberFormat="1" applyFont="1" applyAlignment="1">
      <alignment vertical="center"/>
    </xf>
    <xf numFmtId="0" fontId="93" fillId="0" borderId="0" xfId="0" applyFont="1" applyAlignment="1">
      <alignment vertical="center"/>
    </xf>
    <xf numFmtId="187" fontId="129" fillId="0" borderId="0" xfId="0" applyNumberFormat="1" applyFont="1" applyAlignment="1">
      <alignment vertical="center"/>
    </xf>
    <xf numFmtId="0" fontId="123" fillId="36" borderId="74" xfId="22" applyFont="1" applyFill="1" applyBorder="1" applyAlignment="1">
      <alignment horizontal="center" vertical="center"/>
    </xf>
    <xf numFmtId="16" fontId="97" fillId="0" borderId="74" xfId="22" applyNumberFormat="1" applyFont="1" applyBorder="1" applyAlignment="1">
      <alignment horizontal="center" vertical="center"/>
    </xf>
    <xf numFmtId="183" fontId="74" fillId="0" borderId="74" xfId="22" applyNumberFormat="1" applyFont="1" applyBorder="1" applyAlignment="1" applyProtection="1">
      <alignment horizontal="center" vertical="center"/>
      <protection locked="0" hidden="1"/>
    </xf>
    <xf numFmtId="184" fontId="60" fillId="0" borderId="0" xfId="19" applyNumberFormat="1" applyFont="1" applyAlignment="1">
      <alignment vertical="center"/>
    </xf>
    <xf numFmtId="0" fontId="107" fillId="0" borderId="0" xfId="16" applyFont="1" applyAlignment="1" applyProtection="1">
      <alignment horizontal="left" vertical="center"/>
      <protection hidden="1"/>
    </xf>
    <xf numFmtId="190" fontId="142" fillId="0" borderId="0" xfId="3" applyNumberFormat="1" applyFont="1" applyFill="1" applyBorder="1" applyAlignment="1" applyProtection="1">
      <alignment horizontal="center" vertical="center"/>
      <protection hidden="1"/>
    </xf>
    <xf numFmtId="183" fontId="89" fillId="43" borderId="45" xfId="2517" applyNumberFormat="1" applyFont="1" applyFill="1" applyBorder="1" applyAlignment="1" applyProtection="1">
      <alignment horizontal="center" vertical="center"/>
      <protection hidden="1"/>
    </xf>
    <xf numFmtId="4" fontId="93" fillId="35" borderId="0" xfId="0" applyNumberFormat="1" applyFont="1" applyFill="1" applyAlignment="1">
      <alignment horizontal="center" vertical="center"/>
    </xf>
    <xf numFmtId="190" fontId="60" fillId="38" borderId="72" xfId="26" applyNumberFormat="1" applyFont="1" applyFill="1" applyBorder="1" applyAlignment="1" applyProtection="1">
      <alignment horizontal="center" vertical="center"/>
      <protection hidden="1"/>
    </xf>
    <xf numFmtId="0" fontId="60" fillId="0" borderId="0" xfId="26" applyNumberFormat="1" applyFont="1" applyFill="1" applyBorder="1" applyAlignment="1" applyProtection="1">
      <alignment horizontal="center" vertical="center"/>
      <protection hidden="1"/>
    </xf>
    <xf numFmtId="190" fontId="75" fillId="41" borderId="40" xfId="26" applyNumberFormat="1" applyFont="1" applyFill="1" applyBorder="1" applyAlignment="1" applyProtection="1">
      <alignment horizontal="center" vertical="center"/>
      <protection hidden="1"/>
    </xf>
    <xf numFmtId="190" fontId="131" fillId="38" borderId="40" xfId="26" applyNumberFormat="1" applyFont="1" applyFill="1" applyBorder="1" applyAlignment="1" applyProtection="1">
      <alignment vertical="center"/>
      <protection hidden="1"/>
    </xf>
    <xf numFmtId="198" fontId="93" fillId="38" borderId="40" xfId="0" applyNumberFormat="1" applyFont="1" applyFill="1" applyBorder="1" applyAlignment="1">
      <alignment horizontal="center" vertical="center"/>
    </xf>
    <xf numFmtId="201" fontId="93" fillId="38" borderId="40" xfId="0" applyNumberFormat="1" applyFont="1" applyFill="1" applyBorder="1" applyAlignment="1">
      <alignment horizontal="center" vertical="center"/>
    </xf>
    <xf numFmtId="4" fontId="94" fillId="41" borderId="0" xfId="3" applyNumberFormat="1" applyFont="1" applyFill="1" applyAlignment="1" applyProtection="1">
      <alignment horizontal="center" vertical="center"/>
      <protection hidden="1"/>
    </xf>
    <xf numFmtId="183" fontId="93" fillId="41" borderId="40" xfId="2517" applyNumberFormat="1" applyFont="1" applyFill="1" applyBorder="1" applyAlignment="1" applyProtection="1">
      <alignment horizontal="center" vertical="center"/>
      <protection hidden="1"/>
    </xf>
    <xf numFmtId="183" fontId="94" fillId="41" borderId="0" xfId="2517" applyNumberFormat="1" applyFont="1" applyFill="1" applyAlignment="1" applyProtection="1">
      <alignment horizontal="center" vertical="center"/>
      <protection hidden="1"/>
    </xf>
    <xf numFmtId="183" fontId="126" fillId="41" borderId="7" xfId="2517" applyNumberFormat="1" applyFont="1" applyFill="1" applyBorder="1" applyAlignment="1" applyProtection="1">
      <alignment horizontal="center" vertical="center"/>
      <protection hidden="1"/>
    </xf>
    <xf numFmtId="198" fontId="75" fillId="41" borderId="40" xfId="0" applyNumberFormat="1" applyFont="1" applyFill="1" applyBorder="1" applyAlignment="1">
      <alignment vertical="center"/>
    </xf>
    <xf numFmtId="0" fontId="75" fillId="37" borderId="0" xfId="0" applyFont="1" applyFill="1" applyAlignment="1">
      <alignment horizontal="center"/>
    </xf>
    <xf numFmtId="0" fontId="75" fillId="0" borderId="0" xfId="0" applyFont="1" applyAlignment="1">
      <alignment horizontal="left"/>
    </xf>
    <xf numFmtId="0" fontId="75" fillId="0" borderId="0" xfId="0" applyFont="1" applyAlignment="1">
      <alignment horizontal="center"/>
    </xf>
    <xf numFmtId="3" fontId="86" fillId="0" borderId="0" xfId="0" applyNumberFormat="1" applyFont="1" applyAlignment="1">
      <alignment horizontal="center"/>
    </xf>
    <xf numFmtId="3" fontId="75" fillId="0" borderId="0" xfId="0" applyNumberFormat="1" applyFont="1" applyAlignment="1">
      <alignment horizontal="center"/>
    </xf>
    <xf numFmtId="3" fontId="75" fillId="0" borderId="0" xfId="0" applyNumberFormat="1" applyFont="1" applyAlignment="1">
      <alignment horizontal="right"/>
    </xf>
    <xf numFmtId="175" fontId="75" fillId="0" borderId="0" xfId="0" applyNumberFormat="1" applyFont="1" applyAlignment="1">
      <alignment horizontal="center"/>
    </xf>
    <xf numFmtId="175" fontId="75" fillId="0" borderId="0" xfId="0" applyNumberFormat="1" applyFont="1" applyAlignment="1">
      <alignment horizontal="left" wrapText="1"/>
    </xf>
    <xf numFmtId="174" fontId="104" fillId="37" borderId="0" xfId="0" applyNumberFormat="1" applyFont="1" applyFill="1" applyAlignment="1">
      <alignment horizontal="center"/>
    </xf>
    <xf numFmtId="178" fontId="93" fillId="0" borderId="44" xfId="0" applyNumberFormat="1" applyFont="1" applyBorder="1" applyAlignment="1">
      <alignment horizontal="center" vertical="center"/>
    </xf>
    <xf numFmtId="176" fontId="60" fillId="0" borderId="44" xfId="0" applyNumberFormat="1" applyFont="1" applyBorder="1" applyAlignment="1">
      <alignment horizontal="center" vertical="center"/>
    </xf>
    <xf numFmtId="1" fontId="60" fillId="0" borderId="44" xfId="0" applyNumberFormat="1" applyFont="1" applyBorder="1" applyAlignment="1">
      <alignment horizontal="center" vertical="center"/>
    </xf>
    <xf numFmtId="2" fontId="93" fillId="0" borderId="44" xfId="0" applyNumberFormat="1" applyFont="1" applyBorder="1" applyAlignment="1">
      <alignment vertical="center"/>
    </xf>
    <xf numFmtId="0" fontId="93" fillId="0" borderId="44" xfId="0" applyFont="1" applyBorder="1" applyAlignment="1">
      <alignment horizontal="center" vertical="center" wrapText="1"/>
    </xf>
    <xf numFmtId="10" fontId="93" fillId="0" borderId="44" xfId="0" applyNumberFormat="1" applyFont="1" applyBorder="1" applyAlignment="1">
      <alignment horizontal="center" vertical="center"/>
    </xf>
    <xf numFmtId="175" fontId="93" fillId="0" borderId="44" xfId="0" applyNumberFormat="1" applyFont="1" applyBorder="1" applyAlignment="1">
      <alignment horizontal="left" vertical="center" wrapText="1"/>
    </xf>
    <xf numFmtId="10" fontId="93" fillId="0" borderId="0" xfId="0" applyNumberFormat="1" applyFont="1" applyAlignment="1">
      <alignment horizontal="center" vertical="center"/>
    </xf>
    <xf numFmtId="175" fontId="93" fillId="0" borderId="0" xfId="0" applyNumberFormat="1" applyFont="1" applyAlignment="1">
      <alignment horizontal="left" vertical="center" wrapText="1"/>
    </xf>
    <xf numFmtId="186" fontId="60" fillId="0" borderId="0" xfId="0" applyNumberFormat="1" applyFont="1" applyAlignment="1">
      <alignment horizontal="center" vertical="center"/>
    </xf>
    <xf numFmtId="1" fontId="60" fillId="0" borderId="0" xfId="28" applyNumberFormat="1" applyFont="1" applyAlignment="1">
      <alignment horizontal="center" vertical="center"/>
    </xf>
    <xf numFmtId="176" fontId="93" fillId="0" borderId="0" xfId="0" applyNumberFormat="1" applyFont="1" applyAlignment="1">
      <alignment horizontal="center" vertical="center"/>
    </xf>
    <xf numFmtId="3" fontId="93" fillId="0" borderId="0" xfId="0" applyNumberFormat="1" applyFont="1" applyAlignment="1">
      <alignment horizontal="center" vertical="center"/>
    </xf>
    <xf numFmtId="181" fontId="94" fillId="11" borderId="33" xfId="0" applyNumberFormat="1" applyFont="1" applyFill="1" applyBorder="1" applyAlignment="1">
      <alignment horizontal="center" vertical="center"/>
    </xf>
    <xf numFmtId="0" fontId="60" fillId="0" borderId="0" xfId="28" applyFont="1" applyAlignment="1">
      <alignment wrapText="1"/>
    </xf>
    <xf numFmtId="0" fontId="61" fillId="11" borderId="0" xfId="28" applyFont="1" applyFill="1" applyAlignment="1">
      <alignment horizontal="center" vertical="center"/>
    </xf>
    <xf numFmtId="190" fontId="131" fillId="38" borderId="45" xfId="26" applyNumberFormat="1" applyFont="1" applyFill="1" applyBorder="1" applyAlignment="1" applyProtection="1">
      <alignment vertical="center"/>
      <protection hidden="1"/>
    </xf>
    <xf numFmtId="0" fontId="132" fillId="0" borderId="0" xfId="0" applyFont="1" applyAlignment="1">
      <alignment vertical="center"/>
    </xf>
    <xf numFmtId="176" fontId="93" fillId="0" borderId="44" xfId="0" applyNumberFormat="1" applyFont="1" applyBorder="1" applyAlignment="1">
      <alignment horizontal="center" vertical="center"/>
    </xf>
    <xf numFmtId="1" fontId="93" fillId="0" borderId="44" xfId="0" applyNumberFormat="1" applyFont="1" applyBorder="1" applyAlignment="1">
      <alignment horizontal="center" vertical="center"/>
    </xf>
    <xf numFmtId="178" fontId="93" fillId="0" borderId="82" xfId="0" applyNumberFormat="1" applyFont="1" applyBorder="1" applyAlignment="1">
      <alignment horizontal="center" vertical="center"/>
    </xf>
    <xf numFmtId="176" fontId="60" fillId="0" borderId="82" xfId="0" applyNumberFormat="1" applyFont="1" applyBorder="1" applyAlignment="1">
      <alignment horizontal="center" vertical="center"/>
    </xf>
    <xf numFmtId="1" fontId="60" fillId="0" borderId="82" xfId="0" applyNumberFormat="1" applyFont="1" applyBorder="1" applyAlignment="1">
      <alignment horizontal="center" vertical="center"/>
    </xf>
    <xf numFmtId="2" fontId="93" fillId="0" borderId="82" xfId="0" applyNumberFormat="1" applyFont="1" applyBorder="1" applyAlignment="1">
      <alignment vertical="center"/>
    </xf>
    <xf numFmtId="0" fontId="93" fillId="0" borderId="82" xfId="0" applyFont="1" applyBorder="1" applyAlignment="1">
      <alignment horizontal="center" vertical="center" wrapText="1"/>
    </xf>
    <xf numFmtId="175" fontId="93" fillId="0" borderId="82" xfId="0" applyNumberFormat="1" applyFont="1" applyBorder="1" applyAlignment="1">
      <alignment horizontal="left" vertical="center" wrapText="1"/>
    </xf>
    <xf numFmtId="0" fontId="146" fillId="0" borderId="0" xfId="0" applyFont="1" applyAlignment="1">
      <alignment vertical="center"/>
    </xf>
    <xf numFmtId="0" fontId="147" fillId="0" borderId="0" xfId="0" applyFont="1" applyAlignment="1">
      <alignment vertical="center"/>
    </xf>
    <xf numFmtId="0" fontId="147" fillId="40" borderId="0" xfId="0" applyFont="1" applyFill="1" applyAlignment="1">
      <alignment vertical="center"/>
    </xf>
    <xf numFmtId="0" fontId="148" fillId="40" borderId="0" xfId="0" applyFont="1" applyFill="1" applyAlignment="1">
      <alignment horizontal="center" vertical="center"/>
    </xf>
    <xf numFmtId="0" fontId="146" fillId="40" borderId="0" xfId="0" applyFont="1" applyFill="1" applyAlignment="1">
      <alignment vertical="center"/>
    </xf>
    <xf numFmtId="0" fontId="149" fillId="40" borderId="0" xfId="0" applyFont="1" applyFill="1" applyAlignment="1">
      <alignment vertical="center"/>
    </xf>
    <xf numFmtId="0" fontId="93" fillId="44" borderId="35" xfId="0" applyFont="1" applyFill="1" applyBorder="1" applyAlignment="1">
      <alignment vertical="center"/>
    </xf>
    <xf numFmtId="0" fontId="61" fillId="44" borderId="0" xfId="0" applyFont="1" applyFill="1" applyAlignment="1">
      <alignment horizontal="center"/>
    </xf>
    <xf numFmtId="185" fontId="85" fillId="0" borderId="0" xfId="0" applyNumberFormat="1" applyFont="1" applyAlignment="1">
      <alignment horizontal="right" vertical="center"/>
    </xf>
    <xf numFmtId="183" fontId="86" fillId="41" borderId="7" xfId="2517" applyNumberFormat="1" applyFont="1" applyFill="1" applyBorder="1" applyAlignment="1" applyProtection="1">
      <alignment horizontal="center" vertical="center"/>
      <protection hidden="1"/>
    </xf>
    <xf numFmtId="183" fontId="75" fillId="45" borderId="40" xfId="2517" applyNumberFormat="1" applyFont="1" applyFill="1" applyBorder="1" applyAlignment="1" applyProtection="1">
      <alignment horizontal="center" vertical="center"/>
      <protection hidden="1"/>
    </xf>
    <xf numFmtId="2" fontId="150" fillId="46" borderId="0" xfId="19" applyNumberFormat="1" applyFont="1" applyFill="1" applyAlignment="1">
      <alignment horizontal="left" vertical="center" wrapText="1" indent="1"/>
    </xf>
    <xf numFmtId="2" fontId="18" fillId="47" borderId="7" xfId="26" applyNumberFormat="1" applyFont="1" applyFill="1" applyBorder="1" applyAlignment="1" applyProtection="1">
      <alignment horizontal="center" vertical="center"/>
      <protection hidden="1"/>
    </xf>
    <xf numFmtId="0" fontId="32" fillId="47" borderId="0" xfId="0" applyFont="1" applyFill="1" applyAlignment="1">
      <alignment horizontal="center"/>
    </xf>
    <xf numFmtId="0" fontId="60" fillId="0" borderId="83" xfId="0" applyFont="1" applyBorder="1" applyAlignment="1">
      <alignment horizontal="left" vertical="center" indent="1"/>
    </xf>
    <xf numFmtId="181" fontId="93" fillId="0" borderId="38" xfId="0" applyNumberFormat="1" applyFont="1" applyBorder="1" applyAlignment="1">
      <alignment horizontal="center" vertical="center"/>
    </xf>
    <xf numFmtId="198" fontId="70" fillId="0" borderId="0" xfId="0" applyNumberFormat="1" applyFont="1"/>
    <xf numFmtId="0" fontId="3" fillId="0" borderId="0" xfId="0" applyFont="1"/>
    <xf numFmtId="0" fontId="18" fillId="0" borderId="0" xfId="3327" applyFont="1"/>
    <xf numFmtId="0" fontId="3" fillId="0" borderId="0" xfId="18" applyFont="1" applyAlignment="1" applyProtection="1">
      <alignment vertical="center"/>
      <protection hidden="1"/>
    </xf>
    <xf numFmtId="0" fontId="18" fillId="0" borderId="0" xfId="3327" applyFont="1" applyAlignment="1">
      <alignment vertical="center"/>
    </xf>
    <xf numFmtId="0" fontId="3" fillId="0" borderId="0" xfId="0" applyFont="1" applyAlignment="1">
      <alignment vertical="center"/>
    </xf>
    <xf numFmtId="0" fontId="151" fillId="0" borderId="0" xfId="3327" applyFont="1" applyAlignment="1">
      <alignment vertical="center"/>
    </xf>
    <xf numFmtId="0" fontId="17" fillId="0" borderId="0" xfId="18" applyFont="1" applyAlignment="1" applyProtection="1">
      <alignment horizontal="right" vertical="center" indent="1"/>
      <protection hidden="1"/>
    </xf>
    <xf numFmtId="0" fontId="152" fillId="0" borderId="0" xfId="3327" applyFont="1" applyAlignment="1">
      <alignment vertical="center"/>
    </xf>
    <xf numFmtId="0" fontId="3" fillId="0" borderId="0" xfId="3327" applyFont="1" applyAlignment="1">
      <alignment vertical="center"/>
    </xf>
    <xf numFmtId="0" fontId="14" fillId="0" borderId="63" xfId="0" applyFont="1" applyBorder="1" applyAlignment="1">
      <alignment horizontal="left" vertical="top" indent="1"/>
    </xf>
    <xf numFmtId="183" fontId="15" fillId="48" borderId="84" xfId="0" applyNumberFormat="1" applyFont="1" applyFill="1" applyBorder="1" applyAlignment="1" applyProtection="1">
      <alignment horizontal="center" vertical="center"/>
      <protection hidden="1"/>
    </xf>
    <xf numFmtId="183" fontId="94" fillId="48" borderId="48" xfId="0" applyNumberFormat="1" applyFont="1" applyFill="1" applyBorder="1" applyAlignment="1" applyProtection="1">
      <alignment horizontal="center" vertical="center"/>
      <protection hidden="1"/>
    </xf>
    <xf numFmtId="0" fontId="61" fillId="0" borderId="0" xfId="23" applyFont="1" applyAlignment="1" applyProtection="1">
      <alignment horizontal="right" vertical="center" indent="2"/>
      <protection hidden="1"/>
    </xf>
    <xf numFmtId="199" fontId="93" fillId="0" borderId="35" xfId="0" applyNumberFormat="1" applyFont="1" applyBorder="1" applyAlignment="1">
      <alignment horizontal="left" vertical="center"/>
    </xf>
    <xf numFmtId="176" fontId="93" fillId="38" borderId="85" xfId="0" applyNumberFormat="1" applyFont="1" applyFill="1" applyBorder="1" applyAlignment="1">
      <alignment horizontal="center" vertical="center"/>
    </xf>
    <xf numFmtId="178" fontId="93" fillId="0" borderId="0" xfId="0" applyNumberFormat="1" applyFont="1" applyAlignment="1">
      <alignment horizontal="center" vertical="center"/>
    </xf>
    <xf numFmtId="176" fontId="60" fillId="0" borderId="0" xfId="0" applyNumberFormat="1" applyFont="1" applyAlignment="1">
      <alignment horizontal="center" vertical="center"/>
    </xf>
    <xf numFmtId="1" fontId="60" fillId="0" borderId="0" xfId="0" applyNumberFormat="1" applyFont="1" applyAlignment="1">
      <alignment horizontal="center" vertical="center"/>
    </xf>
    <xf numFmtId="2" fontId="93" fillId="0" borderId="0" xfId="0" applyNumberFormat="1" applyFont="1" applyAlignment="1">
      <alignment vertical="center"/>
    </xf>
    <xf numFmtId="0" fontId="93" fillId="0" borderId="0" xfId="0" applyFont="1" applyAlignment="1">
      <alignment horizontal="center" vertical="center" wrapText="1"/>
    </xf>
    <xf numFmtId="0" fontId="93" fillId="0" borderId="0" xfId="0" applyFont="1" applyAlignment="1">
      <alignment horizontal="left" vertical="center"/>
    </xf>
    <xf numFmtId="0" fontId="93" fillId="0" borderId="0" xfId="0" quotePrefix="1" applyFont="1" applyAlignment="1">
      <alignment horizontal="left" vertical="center"/>
    </xf>
    <xf numFmtId="176" fontId="93" fillId="0" borderId="82" xfId="0" applyNumberFormat="1" applyFont="1" applyBorder="1" applyAlignment="1">
      <alignment horizontal="center" vertical="center"/>
    </xf>
    <xf numFmtId="1" fontId="93" fillId="0" borderId="82" xfId="0" applyNumberFormat="1" applyFont="1" applyBorder="1" applyAlignment="1">
      <alignment horizontal="center" vertical="center"/>
    </xf>
    <xf numFmtId="173" fontId="86" fillId="36" borderId="0" xfId="0" applyNumberFormat="1" applyFont="1" applyFill="1" applyAlignment="1">
      <alignment horizontal="center" vertical="center" wrapText="1"/>
    </xf>
    <xf numFmtId="173" fontId="86" fillId="36" borderId="0" xfId="0" applyNumberFormat="1" applyFont="1" applyFill="1" applyAlignment="1">
      <alignment horizontal="left" vertical="center" wrapText="1"/>
    </xf>
    <xf numFmtId="2" fontId="86" fillId="36" borderId="0" xfId="10" applyNumberFormat="1" applyFont="1" applyFill="1" applyBorder="1" applyAlignment="1" applyProtection="1">
      <alignment horizontal="left" vertical="center" wrapText="1"/>
    </xf>
    <xf numFmtId="176" fontId="86" fillId="36" borderId="0" xfId="0" applyNumberFormat="1" applyFont="1" applyFill="1" applyAlignment="1">
      <alignment horizontal="center" vertical="center" wrapText="1"/>
    </xf>
    <xf numFmtId="3" fontId="86" fillId="36" borderId="0" xfId="0" applyNumberFormat="1" applyFont="1" applyFill="1" applyAlignment="1">
      <alignment horizontal="center" vertical="center" wrapText="1"/>
    </xf>
    <xf numFmtId="181" fontId="86" fillId="36" borderId="0" xfId="0" applyNumberFormat="1" applyFont="1" applyFill="1" applyAlignment="1">
      <alignment horizontal="center" vertical="center" wrapText="1"/>
    </xf>
    <xf numFmtId="175" fontId="86" fillId="36" borderId="0" xfId="0" applyNumberFormat="1" applyFont="1" applyFill="1" applyAlignment="1">
      <alignment horizontal="center" vertical="center" wrapText="1"/>
    </xf>
    <xf numFmtId="178" fontId="93" fillId="0" borderId="87" xfId="0" applyNumberFormat="1" applyFont="1" applyBorder="1" applyAlignment="1">
      <alignment horizontal="center" vertical="center"/>
    </xf>
    <xf numFmtId="0" fontId="93" fillId="0" borderId="44" xfId="0" applyFont="1" applyBorder="1" applyAlignment="1">
      <alignment horizontal="left" vertical="center"/>
    </xf>
    <xf numFmtId="0" fontId="93" fillId="0" borderId="88" xfId="0" applyFont="1" applyBorder="1" applyAlignment="1">
      <alignment horizontal="center" vertical="center" wrapText="1"/>
    </xf>
    <xf numFmtId="0" fontId="107" fillId="40" borderId="0" xfId="0" applyFont="1" applyFill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60" fillId="0" borderId="0" xfId="0" applyNumberFormat="1" applyFont="1" applyAlignment="1">
      <alignment horizontal="center"/>
    </xf>
    <xf numFmtId="179" fontId="70" fillId="0" borderId="0" xfId="26" applyNumberFormat="1" applyFont="1" applyAlignment="1">
      <alignment horizontal="left" vertical="center"/>
    </xf>
    <xf numFmtId="0" fontId="75" fillId="0" borderId="0" xfId="19" applyFont="1" applyAlignment="1">
      <alignment vertical="center"/>
    </xf>
    <xf numFmtId="3" fontId="60" fillId="0" borderId="0" xfId="19" applyNumberFormat="1" applyFont="1" applyAlignment="1">
      <alignment horizontal="center" vertical="center"/>
    </xf>
    <xf numFmtId="0" fontId="65" fillId="0" borderId="0" xfId="19" applyFont="1" applyAlignment="1">
      <alignment horizontal="left"/>
    </xf>
    <xf numFmtId="2" fontId="61" fillId="0" borderId="0" xfId="0" applyNumberFormat="1" applyFont="1" applyAlignment="1">
      <alignment horizontal="left"/>
    </xf>
    <xf numFmtId="2" fontId="94" fillId="11" borderId="0" xfId="26" applyNumberFormat="1" applyFont="1" applyFill="1" applyBorder="1" applyAlignment="1" applyProtection="1">
      <alignment horizontal="center"/>
      <protection hidden="1"/>
    </xf>
    <xf numFmtId="0" fontId="70" fillId="38" borderId="46" xfId="0" applyFont="1" applyFill="1" applyBorder="1" applyAlignment="1">
      <alignment horizontal="center"/>
    </xf>
    <xf numFmtId="181" fontId="85" fillId="0" borderId="0" xfId="0" quotePrefix="1" applyNumberFormat="1" applyFont="1" applyAlignment="1">
      <alignment horizontal="left"/>
    </xf>
    <xf numFmtId="2" fontId="69" fillId="0" borderId="0" xfId="19" applyNumberFormat="1" applyFont="1" applyAlignment="1">
      <alignment horizontal="left"/>
    </xf>
    <xf numFmtId="178" fontId="60" fillId="0" borderId="0" xfId="0" quotePrefix="1" applyNumberFormat="1" applyFont="1" applyAlignment="1">
      <alignment horizontal="left"/>
    </xf>
    <xf numFmtId="0" fontId="86" fillId="36" borderId="0" xfId="0" applyFont="1" applyFill="1" applyAlignment="1">
      <alignment horizontal="center" vertical="center" wrapText="1"/>
    </xf>
    <xf numFmtId="193" fontId="86" fillId="36" borderId="0" xfId="0" applyNumberFormat="1" applyFont="1" applyFill="1" applyAlignment="1">
      <alignment horizontal="center" vertical="center" wrapText="1"/>
    </xf>
    <xf numFmtId="199" fontId="86" fillId="36" borderId="0" xfId="0" applyNumberFormat="1" applyFont="1" applyFill="1" applyAlignment="1">
      <alignment horizontal="center" vertical="center" wrapText="1"/>
    </xf>
    <xf numFmtId="0" fontId="86" fillId="36" borderId="0" xfId="0" applyFont="1" applyFill="1" applyAlignment="1">
      <alignment vertical="center" wrapText="1"/>
    </xf>
    <xf numFmtId="178" fontId="86" fillId="36" borderId="0" xfId="0" applyNumberFormat="1" applyFont="1" applyFill="1" applyAlignment="1">
      <alignment horizontal="center" vertical="center" wrapText="1"/>
    </xf>
    <xf numFmtId="166" fontId="86" fillId="36" borderId="0" xfId="10" applyFont="1" applyFill="1" applyBorder="1" applyAlignment="1">
      <alignment horizontal="center" vertical="center" wrapText="1"/>
    </xf>
    <xf numFmtId="2" fontId="86" fillId="36" borderId="0" xfId="10" applyNumberFormat="1" applyFont="1" applyFill="1" applyBorder="1" applyAlignment="1">
      <alignment horizontal="center" vertical="center" wrapText="1"/>
    </xf>
    <xf numFmtId="182" fontId="86" fillId="36" borderId="0" xfId="10" applyNumberFormat="1" applyFont="1" applyFill="1" applyBorder="1" applyAlignment="1">
      <alignment horizontal="center" vertical="center" wrapText="1"/>
    </xf>
    <xf numFmtId="1" fontId="86" fillId="36" borderId="0" xfId="0" applyNumberFormat="1" applyFont="1" applyFill="1" applyAlignment="1">
      <alignment horizontal="left" vertical="center" wrapText="1"/>
    </xf>
    <xf numFmtId="3" fontId="74" fillId="0" borderId="0" xfId="0" applyNumberFormat="1" applyFont="1" applyAlignment="1">
      <alignment horizontal="center" vertical="center"/>
    </xf>
    <xf numFmtId="0" fontId="86" fillId="37" borderId="0" xfId="0" applyFont="1" applyFill="1" applyAlignment="1">
      <alignment horizontal="center" vertical="center" wrapText="1"/>
    </xf>
    <xf numFmtId="193" fontId="86" fillId="37" borderId="0" xfId="0" applyNumberFormat="1" applyFont="1" applyFill="1" applyAlignment="1">
      <alignment horizontal="center" vertical="center" wrapText="1"/>
    </xf>
    <xf numFmtId="2" fontId="86" fillId="37" borderId="0" xfId="0" applyNumberFormat="1" applyFont="1" applyFill="1" applyAlignment="1">
      <alignment horizontal="center" vertical="center" wrapText="1"/>
    </xf>
    <xf numFmtId="2" fontId="86" fillId="37" borderId="0" xfId="0" applyNumberFormat="1" applyFont="1" applyFill="1" applyAlignment="1">
      <alignment vertical="center" wrapText="1"/>
    </xf>
    <xf numFmtId="2" fontId="86" fillId="0" borderId="0" xfId="0" applyNumberFormat="1" applyFont="1" applyAlignment="1">
      <alignment horizontal="center" vertical="center" wrapText="1"/>
    </xf>
    <xf numFmtId="199" fontId="86" fillId="0" borderId="0" xfId="0" applyNumberFormat="1" applyFont="1" applyAlignment="1">
      <alignment horizontal="center" vertical="center" wrapText="1"/>
    </xf>
    <xf numFmtId="2" fontId="86" fillId="0" borderId="0" xfId="0" applyNumberFormat="1" applyFont="1" applyAlignment="1">
      <alignment vertical="center" wrapText="1"/>
    </xf>
    <xf numFmtId="0" fontId="86" fillId="0" borderId="0" xfId="0" applyFont="1" applyAlignment="1">
      <alignment vertical="center" wrapText="1"/>
    </xf>
    <xf numFmtId="0" fontId="86" fillId="0" borderId="0" xfId="0" applyFont="1" applyAlignment="1">
      <alignment horizontal="center" vertical="center" wrapText="1"/>
    </xf>
    <xf numFmtId="181" fontId="86" fillId="0" borderId="0" xfId="0" applyNumberFormat="1" applyFont="1" applyAlignment="1">
      <alignment horizontal="center" vertical="center" wrapText="1"/>
    </xf>
    <xf numFmtId="178" fontId="86" fillId="0" borderId="0" xfId="0" applyNumberFormat="1" applyFont="1" applyAlignment="1">
      <alignment horizontal="center" vertical="center" wrapText="1"/>
    </xf>
    <xf numFmtId="166" fontId="86" fillId="0" borderId="0" xfId="10" applyFont="1" applyFill="1" applyBorder="1" applyAlignment="1">
      <alignment horizontal="center" vertical="center" wrapText="1"/>
    </xf>
    <xf numFmtId="2" fontId="86" fillId="0" borderId="0" xfId="10" applyNumberFormat="1" applyFont="1" applyFill="1" applyBorder="1" applyAlignment="1">
      <alignment horizontal="center" vertical="center" wrapText="1"/>
    </xf>
    <xf numFmtId="182" fontId="86" fillId="0" borderId="0" xfId="10" applyNumberFormat="1" applyFont="1" applyFill="1" applyBorder="1" applyAlignment="1">
      <alignment horizontal="center" vertical="center" wrapText="1"/>
    </xf>
    <xf numFmtId="1" fontId="86" fillId="0" borderId="0" xfId="0" applyNumberFormat="1" applyFont="1" applyAlignment="1">
      <alignment horizontal="left" vertical="center" wrapText="1"/>
    </xf>
    <xf numFmtId="0" fontId="70" fillId="0" borderId="86" xfId="0" applyFont="1" applyBorder="1" applyAlignment="1">
      <alignment vertical="center"/>
    </xf>
    <xf numFmtId="2" fontId="60" fillId="0" borderId="86" xfId="10" applyNumberFormat="1" applyFont="1" applyFill="1" applyBorder="1" applyAlignment="1">
      <alignment horizontal="center" vertical="center"/>
    </xf>
    <xf numFmtId="0" fontId="70" fillId="50" borderId="86" xfId="0" applyFont="1" applyFill="1" applyBorder="1" applyAlignment="1">
      <alignment vertical="center"/>
    </xf>
    <xf numFmtId="3" fontId="60" fillId="0" borderId="0" xfId="0" applyNumberFormat="1" applyFont="1" applyAlignment="1">
      <alignment horizontal="center" vertical="center"/>
    </xf>
    <xf numFmtId="0" fontId="107" fillId="0" borderId="0" xfId="0" applyFont="1"/>
    <xf numFmtId="190" fontId="60" fillId="38" borderId="0" xfId="26" applyNumberFormat="1" applyFont="1" applyFill="1" applyBorder="1" applyAlignment="1" applyProtection="1">
      <alignment horizontal="center" vertical="center"/>
      <protection hidden="1"/>
    </xf>
    <xf numFmtId="198" fontId="75" fillId="41" borderId="0" xfId="0" applyNumberFormat="1" applyFont="1" applyFill="1" applyAlignment="1">
      <alignment vertical="center"/>
    </xf>
    <xf numFmtId="198" fontId="93" fillId="38" borderId="0" xfId="0" applyNumberFormat="1" applyFont="1" applyFill="1" applyAlignment="1">
      <alignment horizontal="center" vertical="center"/>
    </xf>
    <xf numFmtId="201" fontId="93" fillId="38" borderId="0" xfId="0" applyNumberFormat="1" applyFont="1" applyFill="1" applyAlignment="1">
      <alignment horizontal="center" vertical="center"/>
    </xf>
    <xf numFmtId="198" fontId="93" fillId="37" borderId="0" xfId="0" applyNumberFormat="1" applyFont="1" applyFill="1" applyAlignment="1">
      <alignment horizontal="center" vertical="center"/>
    </xf>
    <xf numFmtId="0" fontId="93" fillId="50" borderId="35" xfId="0" applyFont="1" applyFill="1" applyBorder="1" applyAlignment="1">
      <alignment horizontal="center" vertical="center"/>
    </xf>
    <xf numFmtId="198" fontId="18" fillId="0" borderId="0" xfId="19" applyNumberFormat="1" applyFont="1" applyAlignment="1">
      <alignment vertical="center"/>
    </xf>
    <xf numFmtId="198" fontId="93" fillId="49" borderId="47" xfId="2517" applyNumberFormat="1" applyFont="1" applyFill="1" applyBorder="1" applyAlignment="1" applyProtection="1">
      <alignment horizontal="center" vertical="center"/>
      <protection hidden="1"/>
    </xf>
    <xf numFmtId="183" fontId="93" fillId="49" borderId="40" xfId="2517" applyNumberFormat="1" applyFont="1" applyFill="1" applyBorder="1" applyAlignment="1" applyProtection="1">
      <alignment horizontal="center" vertical="center"/>
      <protection hidden="1"/>
    </xf>
    <xf numFmtId="10" fontId="75" fillId="45" borderId="40" xfId="26" applyNumberFormat="1" applyFont="1" applyFill="1" applyBorder="1" applyAlignment="1" applyProtection="1">
      <alignment horizontal="center" vertical="center"/>
      <protection hidden="1"/>
    </xf>
    <xf numFmtId="0" fontId="99" fillId="0" borderId="0" xfId="22" applyFont="1" applyAlignment="1">
      <alignment horizontal="right" vertical="center" indent="1"/>
    </xf>
    <xf numFmtId="2" fontId="100" fillId="11" borderId="0" xfId="26" applyNumberFormat="1" applyFont="1" applyFill="1" applyBorder="1" applyAlignment="1" applyProtection="1">
      <alignment horizontal="center" vertical="center"/>
      <protection hidden="1"/>
    </xf>
    <xf numFmtId="0" fontId="70" fillId="44" borderId="86" xfId="0" applyFont="1" applyFill="1" applyBorder="1" applyAlignment="1">
      <alignment vertical="center"/>
    </xf>
    <xf numFmtId="178" fontId="93" fillId="37" borderId="44" xfId="0" applyNumberFormat="1" applyFont="1" applyFill="1" applyBorder="1" applyAlignment="1">
      <alignment horizontal="center" vertical="center"/>
    </xf>
    <xf numFmtId="178" fontId="93" fillId="44" borderId="44" xfId="0" applyNumberFormat="1" applyFont="1" applyFill="1" applyBorder="1" applyAlignment="1">
      <alignment horizontal="center" vertical="center"/>
    </xf>
    <xf numFmtId="0" fontId="153" fillId="0" borderId="0" xfId="19" applyFont="1" applyAlignment="1">
      <alignment vertical="center"/>
    </xf>
    <xf numFmtId="0" fontId="153" fillId="0" borderId="0" xfId="0" applyFont="1" applyAlignment="1">
      <alignment horizontal="left" vertical="center"/>
    </xf>
    <xf numFmtId="2" fontId="154" fillId="0" borderId="0" xfId="17" applyNumberFormat="1" applyFont="1" applyAlignment="1">
      <alignment vertical="center"/>
    </xf>
    <xf numFmtId="198" fontId="93" fillId="37" borderId="81" xfId="0" applyNumberFormat="1" applyFont="1" applyFill="1" applyBorder="1" applyAlignment="1">
      <alignment horizontal="center" vertical="center"/>
    </xf>
    <xf numFmtId="198" fontId="93" fillId="37" borderId="59" xfId="0" applyNumberFormat="1" applyFont="1" applyFill="1" applyBorder="1" applyAlignment="1">
      <alignment horizontal="center" vertical="center"/>
    </xf>
    <xf numFmtId="0" fontId="67" fillId="0" borderId="13" xfId="0" applyFont="1" applyBorder="1" applyAlignment="1">
      <alignment horizontal="center" vertical="center" wrapText="1"/>
    </xf>
    <xf numFmtId="0" fontId="67" fillId="0" borderId="14" xfId="0" applyFont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0" fontId="112" fillId="0" borderId="51" xfId="0" applyFont="1" applyBorder="1" applyAlignment="1">
      <alignment horizontal="center" vertical="center" wrapText="1"/>
    </xf>
    <xf numFmtId="0" fontId="112" fillId="0" borderId="52" xfId="0" applyFont="1" applyBorder="1" applyAlignment="1">
      <alignment horizontal="center" vertical="center" wrapText="1"/>
    </xf>
    <xf numFmtId="0" fontId="112" fillId="0" borderId="53" xfId="0" applyFont="1" applyBorder="1" applyAlignment="1">
      <alignment horizontal="center" vertical="center" wrapText="1"/>
    </xf>
    <xf numFmtId="0" fontId="112" fillId="0" borderId="54" xfId="0" applyFont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0" fontId="112" fillId="0" borderId="55" xfId="0" applyFont="1" applyBorder="1" applyAlignment="1">
      <alignment horizontal="center" vertical="center" wrapText="1"/>
    </xf>
    <xf numFmtId="0" fontId="112" fillId="0" borderId="56" xfId="0" applyFont="1" applyBorder="1" applyAlignment="1">
      <alignment horizontal="center" vertical="center" wrapText="1"/>
    </xf>
    <xf numFmtId="0" fontId="112" fillId="0" borderId="57" xfId="0" applyFont="1" applyBorder="1" applyAlignment="1">
      <alignment horizontal="center" vertical="center" wrapText="1"/>
    </xf>
    <xf numFmtId="0" fontId="112" fillId="0" borderId="58" xfId="0" applyFont="1" applyBorder="1" applyAlignment="1">
      <alignment horizontal="center" vertical="center" wrapText="1"/>
    </xf>
    <xf numFmtId="0" fontId="69" fillId="0" borderId="13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69" fillId="0" borderId="17" xfId="0" applyFont="1" applyBorder="1" applyAlignment="1">
      <alignment horizontal="center" vertical="center" wrapText="1"/>
    </xf>
    <xf numFmtId="0" fontId="69" fillId="0" borderId="18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3" fillId="0" borderId="75" xfId="3327" applyFont="1" applyBorder="1" applyAlignment="1">
      <alignment horizontal="center" vertical="center" wrapText="1"/>
    </xf>
    <xf numFmtId="0" fontId="143" fillId="0" borderId="76" xfId="3327" applyFont="1" applyBorder="1" applyAlignment="1">
      <alignment horizontal="center" vertical="center" wrapText="1"/>
    </xf>
    <xf numFmtId="0" fontId="143" fillId="0" borderId="77" xfId="3327" applyFont="1" applyBorder="1" applyAlignment="1">
      <alignment horizontal="center" vertical="center" wrapText="1"/>
    </xf>
    <xf numFmtId="0" fontId="143" fillId="0" borderId="78" xfId="3327" applyFont="1" applyBorder="1" applyAlignment="1">
      <alignment horizontal="center" vertical="center" wrapText="1"/>
    </xf>
    <xf numFmtId="0" fontId="143" fillId="0" borderId="79" xfId="3327" applyFont="1" applyBorder="1" applyAlignment="1">
      <alignment horizontal="center" vertical="center" wrapText="1"/>
    </xf>
    <xf numFmtId="0" fontId="143" fillId="0" borderId="80" xfId="3327" applyFont="1" applyBorder="1" applyAlignment="1">
      <alignment horizontal="center" vertical="center" wrapText="1"/>
    </xf>
    <xf numFmtId="15" fontId="67" fillId="0" borderId="0" xfId="19" applyNumberFormat="1" applyFont="1" applyAlignment="1">
      <alignment horizontal="left"/>
    </xf>
    <xf numFmtId="15" fontId="64" fillId="0" borderId="0" xfId="19" applyNumberFormat="1" applyFont="1" applyAlignment="1">
      <alignment horizontal="left"/>
    </xf>
    <xf numFmtId="0" fontId="121" fillId="0" borderId="0" xfId="0" applyFont="1" applyAlignment="1">
      <alignment horizontal="center" vertical="center"/>
    </xf>
    <xf numFmtId="0" fontId="112" fillId="34" borderId="32" xfId="0" applyFont="1" applyFill="1" applyBorder="1" applyAlignment="1">
      <alignment horizontal="center" vertical="center"/>
    </xf>
    <xf numFmtId="0" fontId="112" fillId="34" borderId="34" xfId="0" applyFont="1" applyFill="1" applyBorder="1" applyAlignment="1">
      <alignment horizontal="center" vertical="center"/>
    </xf>
    <xf numFmtId="3" fontId="61" fillId="11" borderId="19" xfId="16" applyNumberFormat="1" applyFont="1" applyFill="1" applyBorder="1" applyAlignment="1" applyProtection="1">
      <alignment horizontal="left" vertical="top" wrapText="1"/>
      <protection hidden="1"/>
    </xf>
    <xf numFmtId="3" fontId="61" fillId="11" borderId="20" xfId="16" applyNumberFormat="1" applyFont="1" applyFill="1" applyBorder="1" applyAlignment="1" applyProtection="1">
      <alignment horizontal="left" vertical="top" wrapText="1"/>
      <protection hidden="1"/>
    </xf>
    <xf numFmtId="3" fontId="61" fillId="11" borderId="21" xfId="16" applyNumberFormat="1" applyFont="1" applyFill="1" applyBorder="1" applyAlignment="1" applyProtection="1">
      <alignment horizontal="left" vertical="top" wrapText="1"/>
      <protection hidden="1"/>
    </xf>
    <xf numFmtId="0" fontId="127" fillId="36" borderId="0" xfId="16" applyFont="1" applyFill="1" applyAlignment="1" applyProtection="1">
      <alignment horizontal="left" vertical="center"/>
      <protection hidden="1"/>
    </xf>
    <xf numFmtId="0" fontId="133" fillId="0" borderId="0" xfId="0" applyFont="1" applyAlignment="1">
      <alignment horizontal="center" vertical="center"/>
    </xf>
    <xf numFmtId="0" fontId="145" fillId="36" borderId="0" xfId="16" applyFont="1" applyFill="1" applyAlignment="1" applyProtection="1">
      <alignment horizontal="left" vertical="center"/>
      <protection hidden="1"/>
    </xf>
    <xf numFmtId="0" fontId="131" fillId="0" borderId="0" xfId="0" applyFont="1" applyAlignment="1">
      <alignment horizontal="left" vertical="center" wrapText="1"/>
    </xf>
    <xf numFmtId="0" fontId="127" fillId="39" borderId="0" xfId="0" applyFont="1" applyFill="1" applyAlignment="1">
      <alignment horizontal="left" vertical="center" wrapText="1"/>
    </xf>
    <xf numFmtId="176" fontId="93" fillId="38" borderId="89" xfId="0" applyNumberFormat="1" applyFont="1" applyFill="1" applyBorder="1" applyAlignment="1">
      <alignment horizontal="center" vertical="center"/>
    </xf>
    <xf numFmtId="190" fontId="92" fillId="41" borderId="40" xfId="26" applyNumberFormat="1" applyFont="1" applyFill="1" applyBorder="1" applyAlignment="1" applyProtection="1">
      <alignment horizontal="center" vertical="center"/>
      <protection hidden="1"/>
    </xf>
  </cellXfs>
  <cellStyles count="3333">
    <cellStyle name="20% - Accent1 2" xfId="2518" xr:uid="{00000000-0005-0000-0000-000000000000}"/>
    <cellStyle name="20% - Accent2 2" xfId="2519" xr:uid="{00000000-0005-0000-0000-000001000000}"/>
    <cellStyle name="20% - Accent3 2" xfId="2520" xr:uid="{00000000-0005-0000-0000-000002000000}"/>
    <cellStyle name="20% - Accent4 2" xfId="2521" xr:uid="{00000000-0005-0000-0000-000003000000}"/>
    <cellStyle name="20% - Accent5 2" xfId="2522" xr:uid="{00000000-0005-0000-0000-000004000000}"/>
    <cellStyle name="20% - Accent6 2" xfId="2523" xr:uid="{00000000-0005-0000-0000-000005000000}"/>
    <cellStyle name="40% - Accent1 2" xfId="2524" xr:uid="{00000000-0005-0000-0000-000006000000}"/>
    <cellStyle name="40% - Accent2 2" xfId="2525" xr:uid="{00000000-0005-0000-0000-000007000000}"/>
    <cellStyle name="40% - Accent3 2" xfId="2526" xr:uid="{00000000-0005-0000-0000-000008000000}"/>
    <cellStyle name="40% - Accent4 2" xfId="2527" xr:uid="{00000000-0005-0000-0000-000009000000}"/>
    <cellStyle name="40% - Accent5 2" xfId="2528" xr:uid="{00000000-0005-0000-0000-00000A000000}"/>
    <cellStyle name="40% - Accent6 2" xfId="2529" xr:uid="{00000000-0005-0000-0000-00000B000000}"/>
    <cellStyle name="60% - Accent1 2" xfId="2530" xr:uid="{00000000-0005-0000-0000-00000C000000}"/>
    <cellStyle name="60% - Accent2 2" xfId="2531" xr:uid="{00000000-0005-0000-0000-00000D000000}"/>
    <cellStyle name="60% - Accent3 2" xfId="2532" xr:uid="{00000000-0005-0000-0000-00000E000000}"/>
    <cellStyle name="60% - Accent4 2" xfId="2533" xr:uid="{00000000-0005-0000-0000-00000F000000}"/>
    <cellStyle name="60% - Accent5 2" xfId="2534" xr:uid="{00000000-0005-0000-0000-000010000000}"/>
    <cellStyle name="60% - Accent6 2" xfId="2535" xr:uid="{00000000-0005-0000-0000-000011000000}"/>
    <cellStyle name="Accent1 2" xfId="2536" xr:uid="{00000000-0005-0000-0000-000012000000}"/>
    <cellStyle name="Accent2 2" xfId="2537" xr:uid="{00000000-0005-0000-0000-000013000000}"/>
    <cellStyle name="Accent3 2" xfId="2538" xr:uid="{00000000-0005-0000-0000-000014000000}"/>
    <cellStyle name="Accent4 2" xfId="2539" xr:uid="{00000000-0005-0000-0000-000015000000}"/>
    <cellStyle name="Accent5 2" xfId="2540" xr:uid="{00000000-0005-0000-0000-000016000000}"/>
    <cellStyle name="Accent6 2" xfId="2541" xr:uid="{00000000-0005-0000-0000-000017000000}"/>
    <cellStyle name="Bad" xfId="2542" xr:uid="{00000000-0005-0000-0000-000018000000}"/>
    <cellStyle name="Berekening" xfId="1" xr:uid="{00000000-0005-0000-0000-000019000000}"/>
    <cellStyle name="Berekening 2" xfId="2543" xr:uid="{00000000-0005-0000-0000-00001A000000}"/>
    <cellStyle name="Calculation" xfId="2544" xr:uid="{00000000-0005-0000-0000-00001B000000}"/>
    <cellStyle name="Check Cell" xfId="2545" xr:uid="{00000000-0005-0000-0000-00001C000000}"/>
    <cellStyle name="Comma [0]" xfId="2546" xr:uid="{00000000-0005-0000-0000-00001D000000}"/>
    <cellStyle name="Comma_AA BCR/ Basis ruimtestaat 13.0" xfId="2547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8" xr:uid="{00000000-0005-0000-0000-000021000000}"/>
    <cellStyle name="Currency [0]" xfId="2549" xr:uid="{00000000-0005-0000-0000-000022000000}"/>
    <cellStyle name="Currency_2.objekten aanbestedi#B9BC8.xls" xfId="2550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Currency_MACHINEKST.xls" xfId="6" xr:uid="{00000000-0005-0000-0000-000026000000}"/>
    <cellStyle name="euro" xfId="7" xr:uid="{00000000-0005-0000-0000-000027000000}"/>
    <cellStyle name="Euro 2" xfId="2551" xr:uid="{00000000-0005-0000-0000-000028000000}"/>
    <cellStyle name="Euro 3" xfId="2552" xr:uid="{00000000-0005-0000-0000-000029000000}"/>
    <cellStyle name="Euro 4" xfId="2553" xr:uid="{00000000-0005-0000-0000-00002A000000}"/>
    <cellStyle name="Euro_Calculatie Lenger Seafoods Yerseke 090106-1" xfId="2554" xr:uid="{00000000-0005-0000-0000-00002B000000}"/>
    <cellStyle name="Explanatory Text" xfId="2555" xr:uid="{00000000-0005-0000-0000-00002C000000}"/>
    <cellStyle name="Followed Hyperlink_Aantal groepen per school.xls" xfId="2556" xr:uid="{00000000-0005-0000-0000-00002D000000}"/>
    <cellStyle name="Gekoppelde cel" xfId="8" xr:uid="{00000000-0005-0000-0000-00002E000000}"/>
    <cellStyle name="Gekoppelde cel 2" xfId="2557" xr:uid="{00000000-0005-0000-0000-00002F000000}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Gevolgde hyperlink" xfId="940" builtinId="9" hidden="1"/>
    <cellStyle name="Gevolgde hyperlink" xfId="942" builtinId="9" hidden="1"/>
    <cellStyle name="Gevolgde hyperlink" xfId="944" builtinId="9" hidden="1"/>
    <cellStyle name="Gevolgde hyperlink" xfId="946" builtinId="9" hidden="1"/>
    <cellStyle name="Gevolgde hyperlink" xfId="948" builtinId="9" hidden="1"/>
    <cellStyle name="Gevolgde hyperlink" xfId="950" builtinId="9" hidden="1"/>
    <cellStyle name="Gevolgde hyperlink" xfId="952" builtinId="9" hidden="1"/>
    <cellStyle name="Gevolgde hyperlink" xfId="954" builtinId="9" hidden="1"/>
    <cellStyle name="Gevolgde hyperlink" xfId="956" builtinId="9" hidden="1"/>
    <cellStyle name="Gevolgde hyperlink" xfId="958" builtinId="9" hidden="1"/>
    <cellStyle name="Gevolgde hyperlink" xfId="960" builtinId="9" hidden="1"/>
    <cellStyle name="Gevolgde hyperlink" xfId="962" builtinId="9" hidden="1"/>
    <cellStyle name="Gevolgde hyperlink" xfId="964" builtinId="9" hidden="1"/>
    <cellStyle name="Gevolgde hyperlink" xfId="966" builtinId="9" hidden="1"/>
    <cellStyle name="Gevolgde hyperlink" xfId="968" builtinId="9" hidden="1"/>
    <cellStyle name="Gevolgde hyperlink" xfId="970" builtinId="9" hidden="1"/>
    <cellStyle name="Gevolgde hyperlink" xfId="972" builtinId="9" hidden="1"/>
    <cellStyle name="Gevolgde hyperlink" xfId="974" builtinId="9" hidden="1"/>
    <cellStyle name="Gevolgde hyperlink" xfId="976" builtinId="9" hidden="1"/>
    <cellStyle name="Gevolgde hyperlink" xfId="978" builtinId="9" hidden="1"/>
    <cellStyle name="Gevolgde hyperlink" xfId="980" builtinId="9" hidden="1"/>
    <cellStyle name="Gevolgde hyperlink" xfId="982" builtinId="9" hidden="1"/>
    <cellStyle name="Gevolgde hyperlink" xfId="984" builtinId="9" hidden="1"/>
    <cellStyle name="Gevolgde hyperlink" xfId="986" builtinId="9" hidden="1"/>
    <cellStyle name="Gevolgde hyperlink" xfId="988" builtinId="9" hidden="1"/>
    <cellStyle name="Gevolgde hyperlink" xfId="990" builtinId="9" hidden="1"/>
    <cellStyle name="Gevolgde hyperlink" xfId="992" builtinId="9" hidden="1"/>
    <cellStyle name="Gevolgde hyperlink" xfId="994" builtinId="9" hidden="1"/>
    <cellStyle name="Gevolgde hyperlink" xfId="996" builtinId="9" hidden="1"/>
    <cellStyle name="Gevolgde hyperlink" xfId="998" builtinId="9" hidden="1"/>
    <cellStyle name="Gevolgde hyperlink" xfId="1000" builtinId="9" hidden="1"/>
    <cellStyle name="Gevolgde hyperlink" xfId="1002" builtinId="9" hidden="1"/>
    <cellStyle name="Gevolgde hyperlink" xfId="1004" builtinId="9" hidden="1"/>
    <cellStyle name="Gevolgde hyperlink" xfId="1006" builtinId="9" hidden="1"/>
    <cellStyle name="Gevolgde hyperlink" xfId="1008" builtinId="9" hidden="1"/>
    <cellStyle name="Gevolgde hyperlink" xfId="1010" builtinId="9" hidden="1"/>
    <cellStyle name="Gevolgde hyperlink" xfId="1012" builtinId="9" hidden="1"/>
    <cellStyle name="Gevolgde hyperlink" xfId="1014" builtinId="9" hidden="1"/>
    <cellStyle name="Gevolgde hyperlink" xfId="1016" builtinId="9" hidden="1"/>
    <cellStyle name="Gevolgde hyperlink" xfId="1018" builtinId="9" hidden="1"/>
    <cellStyle name="Gevolgde hyperlink" xfId="1020" builtinId="9" hidden="1"/>
    <cellStyle name="Gevolgde hyperlink" xfId="1022" builtinId="9" hidden="1"/>
    <cellStyle name="Gevolgde hyperlink" xfId="1024" builtinId="9" hidden="1"/>
    <cellStyle name="Gevolgde hyperlink" xfId="1026" builtinId="9" hidden="1"/>
    <cellStyle name="Gevolgde hyperlink" xfId="1028" builtinId="9" hidden="1"/>
    <cellStyle name="Gevolgde hyperlink" xfId="1030" builtinId="9" hidden="1"/>
    <cellStyle name="Gevolgde hyperlink" xfId="1032" builtinId="9" hidden="1"/>
    <cellStyle name="Gevolgde hyperlink" xfId="1034" builtinId="9" hidden="1"/>
    <cellStyle name="Gevolgde hyperlink" xfId="1036" builtinId="9" hidden="1"/>
    <cellStyle name="Gevolgde hyperlink" xfId="1038" builtinId="9" hidden="1"/>
    <cellStyle name="Gevolgde hyperlink" xfId="1040" builtinId="9" hidden="1"/>
    <cellStyle name="Gevolgde hyperlink" xfId="1042" builtinId="9" hidden="1"/>
    <cellStyle name="Gevolgde hyperlink" xfId="1044" builtinId="9" hidden="1"/>
    <cellStyle name="Gevolgde hyperlink" xfId="1046" builtinId="9" hidden="1"/>
    <cellStyle name="Gevolgde hyperlink" xfId="1048" builtinId="9" hidden="1"/>
    <cellStyle name="Gevolgde hyperlink" xfId="1050" builtinId="9" hidden="1"/>
    <cellStyle name="Gevolgde hyperlink" xfId="1052" builtinId="9" hidden="1"/>
    <cellStyle name="Gevolgde hyperlink" xfId="1054" builtinId="9" hidden="1"/>
    <cellStyle name="Gevolgde hyperlink" xfId="1056" builtinId="9" hidden="1"/>
    <cellStyle name="Gevolgde hyperlink" xfId="1058" builtinId="9" hidden="1"/>
    <cellStyle name="Gevolgde hyperlink" xfId="1060" builtinId="9" hidden="1"/>
    <cellStyle name="Gevolgde hyperlink" xfId="1062" builtinId="9" hidden="1"/>
    <cellStyle name="Gevolgde hyperlink" xfId="1064" builtinId="9" hidden="1"/>
    <cellStyle name="Gevolgde hyperlink" xfId="1066" builtinId="9" hidden="1"/>
    <cellStyle name="Gevolgde hyperlink" xfId="1068" builtinId="9" hidden="1"/>
    <cellStyle name="Gevolgde hyperlink" xfId="1070" builtinId="9" hidden="1"/>
    <cellStyle name="Gevolgde hyperlink" xfId="1072" builtinId="9" hidden="1"/>
    <cellStyle name="Gevolgde hyperlink" xfId="1074" builtinId="9" hidden="1"/>
    <cellStyle name="Gevolgde hyperlink" xfId="1076" builtinId="9" hidden="1"/>
    <cellStyle name="Gevolgde hyperlink" xfId="1078" builtinId="9" hidden="1"/>
    <cellStyle name="Gevolgde hyperlink" xfId="1080" builtinId="9" hidden="1"/>
    <cellStyle name="Gevolgde hyperlink" xfId="1082" builtinId="9" hidden="1"/>
    <cellStyle name="Gevolgde hyperlink" xfId="1084" builtinId="9" hidden="1"/>
    <cellStyle name="Gevolgde hyperlink" xfId="1086" builtinId="9" hidden="1"/>
    <cellStyle name="Gevolgde hyperlink" xfId="1088" builtinId="9" hidden="1"/>
    <cellStyle name="Gevolgde hyperlink" xfId="1090" builtinId="9" hidden="1"/>
    <cellStyle name="Gevolgde hyperlink" xfId="1092" builtinId="9" hidden="1"/>
    <cellStyle name="Gevolgde hyperlink" xfId="1094" builtinId="9" hidden="1"/>
    <cellStyle name="Gevolgde hyperlink" xfId="1096" builtinId="9" hidden="1"/>
    <cellStyle name="Gevolgde hyperlink" xfId="1098" builtinId="9" hidden="1"/>
    <cellStyle name="Gevolgde hyperlink" xfId="1100" builtinId="9" hidden="1"/>
    <cellStyle name="Gevolgde hyperlink" xfId="1102" builtinId="9" hidden="1"/>
    <cellStyle name="Gevolgde hyperlink" xfId="1104" builtinId="9" hidden="1"/>
    <cellStyle name="Gevolgde hyperlink" xfId="1106" builtinId="9" hidden="1"/>
    <cellStyle name="Gevolgde hyperlink" xfId="1108" builtinId="9" hidden="1"/>
    <cellStyle name="Gevolgde hyperlink" xfId="1110" builtinId="9" hidden="1"/>
    <cellStyle name="Gevolgde hyperlink" xfId="1112" builtinId="9" hidden="1"/>
    <cellStyle name="Gevolgde hyperlink" xfId="1114" builtinId="9" hidden="1"/>
    <cellStyle name="Gevolgde hyperlink" xfId="1116" builtinId="9" hidden="1"/>
    <cellStyle name="Gevolgde hyperlink" xfId="1118" builtinId="9" hidden="1"/>
    <cellStyle name="Gevolgde hyperlink" xfId="1120" builtinId="9" hidden="1"/>
    <cellStyle name="Gevolgde hyperlink" xfId="1122" builtinId="9" hidden="1"/>
    <cellStyle name="Gevolgde hyperlink" xfId="1124" builtinId="9" hidden="1"/>
    <cellStyle name="Gevolgde hyperlink" xfId="1126" builtinId="9" hidden="1"/>
    <cellStyle name="Gevolgde hyperlink" xfId="1128" builtinId="9" hidden="1"/>
    <cellStyle name="Gevolgde hyperlink" xfId="1130" builtinId="9" hidden="1"/>
    <cellStyle name="Gevolgde hyperlink" xfId="1132" builtinId="9" hidden="1"/>
    <cellStyle name="Gevolgde hyperlink" xfId="1134" builtinId="9" hidden="1"/>
    <cellStyle name="Gevolgde hyperlink" xfId="1136" builtinId="9" hidden="1"/>
    <cellStyle name="Gevolgde hyperlink" xfId="1138" builtinId="9" hidden="1"/>
    <cellStyle name="Gevolgde hyperlink" xfId="1140" builtinId="9" hidden="1"/>
    <cellStyle name="Gevolgde hyperlink" xfId="1142" builtinId="9" hidden="1"/>
    <cellStyle name="Gevolgde hyperlink" xfId="1144" builtinId="9" hidden="1"/>
    <cellStyle name="Gevolgde hyperlink" xfId="1146" builtinId="9" hidden="1"/>
    <cellStyle name="Gevolgde hyperlink" xfId="1148" builtinId="9" hidden="1"/>
    <cellStyle name="Gevolgde hyperlink" xfId="1150" builtinId="9" hidden="1"/>
    <cellStyle name="Gevolgde hyperlink" xfId="1152" builtinId="9" hidden="1"/>
    <cellStyle name="Gevolgde hyperlink" xfId="1154" builtinId="9" hidden="1"/>
    <cellStyle name="Gevolgde hyperlink" xfId="1156" builtinId="9" hidden="1"/>
    <cellStyle name="Gevolgde hyperlink" xfId="1158" builtinId="9" hidden="1"/>
    <cellStyle name="Gevolgde hyperlink" xfId="1160" builtinId="9" hidden="1"/>
    <cellStyle name="Gevolgde hyperlink" xfId="1162" builtinId="9" hidden="1"/>
    <cellStyle name="Gevolgde hyperlink" xfId="1164" builtinId="9" hidden="1"/>
    <cellStyle name="Gevolgde hyperlink" xfId="1166" builtinId="9" hidden="1"/>
    <cellStyle name="Gevolgde hyperlink" xfId="1168" builtinId="9" hidden="1"/>
    <cellStyle name="Gevolgde hyperlink" xfId="1170" builtinId="9" hidden="1"/>
    <cellStyle name="Gevolgde hyperlink" xfId="1172" builtinId="9" hidden="1"/>
    <cellStyle name="Gevolgde hyperlink" xfId="1174" builtinId="9" hidden="1"/>
    <cellStyle name="Gevolgde hyperlink" xfId="1176" builtinId="9" hidden="1"/>
    <cellStyle name="Gevolgde hyperlink" xfId="1178" builtinId="9" hidden="1"/>
    <cellStyle name="Gevolgde hyperlink" xfId="1180" builtinId="9" hidden="1"/>
    <cellStyle name="Gevolgde hyperlink" xfId="1182" builtinId="9" hidden="1"/>
    <cellStyle name="Gevolgde hyperlink" xfId="1184" builtinId="9" hidden="1"/>
    <cellStyle name="Gevolgde hyperlink" xfId="1186" builtinId="9" hidden="1"/>
    <cellStyle name="Gevolgde hyperlink" xfId="1188" builtinId="9" hidden="1"/>
    <cellStyle name="Gevolgde hyperlink" xfId="1190" builtinId="9" hidden="1"/>
    <cellStyle name="Gevolgde hyperlink" xfId="1192" builtinId="9" hidden="1"/>
    <cellStyle name="Gevolgde hyperlink" xfId="1194" builtinId="9" hidden="1"/>
    <cellStyle name="Gevolgde hyperlink" xfId="1196" builtinId="9" hidden="1"/>
    <cellStyle name="Gevolgde hyperlink" xfId="1198" builtinId="9" hidden="1"/>
    <cellStyle name="Gevolgde hyperlink" xfId="1200" builtinId="9" hidden="1"/>
    <cellStyle name="Gevolgde hyperlink" xfId="1202" builtinId="9" hidden="1"/>
    <cellStyle name="Gevolgde hyperlink" xfId="1204" builtinId="9" hidden="1"/>
    <cellStyle name="Gevolgde hyperlink" xfId="1206" builtinId="9" hidden="1"/>
    <cellStyle name="Gevolgde hyperlink" xfId="1208" builtinId="9" hidden="1"/>
    <cellStyle name="Gevolgde hyperlink" xfId="1210" builtinId="9" hidden="1"/>
    <cellStyle name="Gevolgde hyperlink" xfId="1212" builtinId="9" hidden="1"/>
    <cellStyle name="Gevolgde hyperlink" xfId="1214" builtinId="9" hidden="1"/>
    <cellStyle name="Gevolgde hyperlink" xfId="1216" builtinId="9" hidden="1"/>
    <cellStyle name="Gevolgde hyperlink" xfId="1218" builtinId="9" hidden="1"/>
    <cellStyle name="Gevolgde hyperlink" xfId="1220" builtinId="9" hidden="1"/>
    <cellStyle name="Gevolgde hyperlink" xfId="1222" builtinId="9" hidden="1"/>
    <cellStyle name="Gevolgde hyperlink" xfId="1224" builtinId="9" hidden="1"/>
    <cellStyle name="Gevolgde hyperlink" xfId="1226" builtinId="9" hidden="1"/>
    <cellStyle name="Gevolgde hyperlink" xfId="1228" builtinId="9" hidden="1"/>
    <cellStyle name="Gevolgde hyperlink" xfId="1230" builtinId="9" hidden="1"/>
    <cellStyle name="Gevolgde hyperlink" xfId="1232" builtinId="9" hidden="1"/>
    <cellStyle name="Gevolgde hyperlink" xfId="1234" builtinId="9" hidden="1"/>
    <cellStyle name="Gevolgde hyperlink" xfId="1236" builtinId="9" hidden="1"/>
    <cellStyle name="Gevolgde hyperlink" xfId="1238" builtinId="9" hidden="1"/>
    <cellStyle name="Gevolgde hyperlink" xfId="1240" builtinId="9" hidden="1"/>
    <cellStyle name="Gevolgde hyperlink" xfId="1242" builtinId="9" hidden="1"/>
    <cellStyle name="Gevolgde hyperlink" xfId="1244" builtinId="9" hidden="1"/>
    <cellStyle name="Gevolgde hyperlink" xfId="1246" builtinId="9" hidden="1"/>
    <cellStyle name="Gevolgde hyperlink" xfId="1248" builtinId="9" hidden="1"/>
    <cellStyle name="Gevolgde hyperlink" xfId="1250" builtinId="9" hidden="1"/>
    <cellStyle name="Gevolgde hyperlink" xfId="1252" builtinId="9" hidden="1"/>
    <cellStyle name="Gevolgde hyperlink" xfId="1254" builtinId="9" hidden="1"/>
    <cellStyle name="Gevolgde hyperlink" xfId="1256" builtinId="9" hidden="1"/>
    <cellStyle name="Gevolgde hyperlink" xfId="1258" builtinId="9" hidden="1"/>
    <cellStyle name="Gevolgde hyperlink" xfId="1260" builtinId="9" hidden="1"/>
    <cellStyle name="Gevolgde hyperlink" xfId="1262" builtinId="9" hidden="1"/>
    <cellStyle name="Gevolgde hyperlink" xfId="1264" builtinId="9" hidden="1"/>
    <cellStyle name="Gevolgde hyperlink" xfId="1266" builtinId="9" hidden="1"/>
    <cellStyle name="Gevolgde hyperlink" xfId="1268" builtinId="9" hidden="1"/>
    <cellStyle name="Gevolgde hyperlink" xfId="1270" builtinId="9" hidden="1"/>
    <cellStyle name="Gevolgde hyperlink" xfId="1272" builtinId="9" hidden="1"/>
    <cellStyle name="Gevolgde hyperlink" xfId="1274" builtinId="9" hidden="1"/>
    <cellStyle name="Gevolgde hyperlink" xfId="1276" builtinId="9" hidden="1"/>
    <cellStyle name="Gevolgde hyperlink" xfId="1278" builtinId="9" hidden="1"/>
    <cellStyle name="Gevolgde hyperlink" xfId="1280" builtinId="9" hidden="1"/>
    <cellStyle name="Gevolgde hyperlink" xfId="1282" builtinId="9" hidden="1"/>
    <cellStyle name="Gevolgde hyperlink" xfId="1284" builtinId="9" hidden="1"/>
    <cellStyle name="Gevolgde hyperlink" xfId="1286" builtinId="9" hidden="1"/>
    <cellStyle name="Gevolgde hyperlink" xfId="1288" builtinId="9" hidden="1"/>
    <cellStyle name="Gevolgde hyperlink" xfId="1290" builtinId="9" hidden="1"/>
    <cellStyle name="Gevolgde hyperlink" xfId="1292" builtinId="9" hidden="1"/>
    <cellStyle name="Gevolgde hyperlink" xfId="1294" builtinId="9" hidden="1"/>
    <cellStyle name="Gevolgde hyperlink" xfId="1296" builtinId="9" hidden="1"/>
    <cellStyle name="Gevolgde hyperlink" xfId="1298" builtinId="9" hidden="1"/>
    <cellStyle name="Gevolgde hyperlink" xfId="1300" builtinId="9" hidden="1"/>
    <cellStyle name="Gevolgde hyperlink" xfId="1302" builtinId="9" hidden="1"/>
    <cellStyle name="Gevolgde hyperlink" xfId="1304" builtinId="9" hidden="1"/>
    <cellStyle name="Gevolgde hyperlink" xfId="1306" builtinId="9" hidden="1"/>
    <cellStyle name="Gevolgde hyperlink" xfId="1308" builtinId="9" hidden="1"/>
    <cellStyle name="Gevolgde hyperlink" xfId="1310" builtinId="9" hidden="1"/>
    <cellStyle name="Gevolgde hyperlink" xfId="1312" builtinId="9" hidden="1"/>
    <cellStyle name="Gevolgde hyperlink" xfId="1314" builtinId="9" hidden="1"/>
    <cellStyle name="Gevolgde hyperlink" xfId="1316" builtinId="9" hidden="1"/>
    <cellStyle name="Gevolgde hyperlink" xfId="1318" builtinId="9" hidden="1"/>
    <cellStyle name="Gevolgde hyperlink" xfId="1320" builtinId="9" hidden="1"/>
    <cellStyle name="Gevolgde hyperlink" xfId="1322" builtinId="9" hidden="1"/>
    <cellStyle name="Gevolgde hyperlink" xfId="1324" builtinId="9" hidden="1"/>
    <cellStyle name="Gevolgde hyperlink" xfId="1326" builtinId="9" hidden="1"/>
    <cellStyle name="Gevolgde hyperlink" xfId="1328" builtinId="9" hidden="1"/>
    <cellStyle name="Gevolgde hyperlink" xfId="1330" builtinId="9" hidden="1"/>
    <cellStyle name="Gevolgde hyperlink" xfId="1332" builtinId="9" hidden="1"/>
    <cellStyle name="Gevolgde hyperlink" xfId="1334" builtinId="9" hidden="1"/>
    <cellStyle name="Gevolgde hyperlink" xfId="1336" builtinId="9" hidden="1"/>
    <cellStyle name="Gevolgde hyperlink" xfId="1338" builtinId="9" hidden="1"/>
    <cellStyle name="Gevolgde hyperlink" xfId="1340" builtinId="9" hidden="1"/>
    <cellStyle name="Gevolgde hyperlink" xfId="1342" builtinId="9" hidden="1"/>
    <cellStyle name="Gevolgde hyperlink" xfId="1344" builtinId="9" hidden="1"/>
    <cellStyle name="Gevolgde hyperlink" xfId="1346" builtinId="9" hidden="1"/>
    <cellStyle name="Gevolgde hyperlink" xfId="1348" builtinId="9" hidden="1"/>
    <cellStyle name="Gevolgde hyperlink" xfId="1350" builtinId="9" hidden="1"/>
    <cellStyle name="Gevolgde hyperlink" xfId="1352" builtinId="9" hidden="1"/>
    <cellStyle name="Gevolgde hyperlink" xfId="1354" builtinId="9" hidden="1"/>
    <cellStyle name="Gevolgde hyperlink" xfId="1356" builtinId="9" hidden="1"/>
    <cellStyle name="Gevolgde hyperlink" xfId="1358" builtinId="9" hidden="1"/>
    <cellStyle name="Gevolgde hyperlink" xfId="1360" builtinId="9" hidden="1"/>
    <cellStyle name="Gevolgde hyperlink" xfId="1362" builtinId="9" hidden="1"/>
    <cellStyle name="Gevolgde hyperlink" xfId="1364" builtinId="9" hidden="1"/>
    <cellStyle name="Gevolgde hyperlink" xfId="1366" builtinId="9" hidden="1"/>
    <cellStyle name="Gevolgde hyperlink" xfId="1368" builtinId="9" hidden="1"/>
    <cellStyle name="Gevolgde hyperlink" xfId="1370" builtinId="9" hidden="1"/>
    <cellStyle name="Gevolgde hyperlink" xfId="1372" builtinId="9" hidden="1"/>
    <cellStyle name="Gevolgde hyperlink" xfId="1374" builtinId="9" hidden="1"/>
    <cellStyle name="Gevolgde hyperlink" xfId="1376" builtinId="9" hidden="1"/>
    <cellStyle name="Gevolgde hyperlink" xfId="1378" builtinId="9" hidden="1"/>
    <cellStyle name="Gevolgde hyperlink" xfId="1380" builtinId="9" hidden="1"/>
    <cellStyle name="Gevolgde hyperlink" xfId="1382" builtinId="9" hidden="1"/>
    <cellStyle name="Gevolgde hyperlink" xfId="1384" builtinId="9" hidden="1"/>
    <cellStyle name="Gevolgde hyperlink" xfId="1386" builtinId="9" hidden="1"/>
    <cellStyle name="Gevolgde hyperlink" xfId="1388" builtinId="9" hidden="1"/>
    <cellStyle name="Gevolgde hyperlink" xfId="1390" builtinId="9" hidden="1"/>
    <cellStyle name="Gevolgde hyperlink" xfId="1392" builtinId="9" hidden="1"/>
    <cellStyle name="Gevolgde hyperlink" xfId="1394" builtinId="9" hidden="1"/>
    <cellStyle name="Gevolgde hyperlink" xfId="1396" builtinId="9" hidden="1"/>
    <cellStyle name="Gevolgde hyperlink" xfId="1398" builtinId="9" hidden="1"/>
    <cellStyle name="Gevolgde hyperlink" xfId="1400" builtinId="9" hidden="1"/>
    <cellStyle name="Gevolgde hyperlink" xfId="1402" builtinId="9" hidden="1"/>
    <cellStyle name="Gevolgde hyperlink" xfId="1404" builtinId="9" hidden="1"/>
    <cellStyle name="Gevolgde hyperlink" xfId="1406" builtinId="9" hidden="1"/>
    <cellStyle name="Gevolgde hyperlink" xfId="1408" builtinId="9" hidden="1"/>
    <cellStyle name="Gevolgde hyperlink" xfId="1410" builtinId="9" hidden="1"/>
    <cellStyle name="Gevolgde hyperlink" xfId="1412" builtinId="9" hidden="1"/>
    <cellStyle name="Gevolgde hyperlink" xfId="1414" builtinId="9" hidden="1"/>
    <cellStyle name="Gevolgde hyperlink" xfId="1416" builtinId="9" hidden="1"/>
    <cellStyle name="Gevolgde hyperlink" xfId="1418" builtinId="9" hidden="1"/>
    <cellStyle name="Gevolgde hyperlink" xfId="1420" builtinId="9" hidden="1"/>
    <cellStyle name="Gevolgde hyperlink" xfId="1422" builtinId="9" hidden="1"/>
    <cellStyle name="Gevolgde hyperlink" xfId="1424" builtinId="9" hidden="1"/>
    <cellStyle name="Gevolgde hyperlink" xfId="1426" builtinId="9" hidden="1"/>
    <cellStyle name="Gevolgde hyperlink" xfId="1428" builtinId="9" hidden="1"/>
    <cellStyle name="Gevolgde hyperlink" xfId="1430" builtinId="9" hidden="1"/>
    <cellStyle name="Gevolgde hyperlink" xfId="1432" builtinId="9" hidden="1"/>
    <cellStyle name="Gevolgde hyperlink" xfId="1434" builtinId="9" hidden="1"/>
    <cellStyle name="Gevolgde hyperlink" xfId="1436" builtinId="9" hidden="1"/>
    <cellStyle name="Gevolgde hyperlink" xfId="1438" builtinId="9" hidden="1"/>
    <cellStyle name="Gevolgde hyperlink" xfId="1440" builtinId="9" hidden="1"/>
    <cellStyle name="Gevolgde hyperlink" xfId="1442" builtinId="9" hidden="1"/>
    <cellStyle name="Gevolgde hyperlink" xfId="1444" builtinId="9" hidden="1"/>
    <cellStyle name="Gevolgde hyperlink" xfId="1446" builtinId="9" hidden="1"/>
    <cellStyle name="Gevolgde hyperlink" xfId="1448" builtinId="9" hidden="1"/>
    <cellStyle name="Gevolgde hyperlink" xfId="1450" builtinId="9" hidden="1"/>
    <cellStyle name="Gevolgde hyperlink" xfId="1452" builtinId="9" hidden="1"/>
    <cellStyle name="Gevolgde hyperlink" xfId="1454" builtinId="9" hidden="1"/>
    <cellStyle name="Gevolgde hyperlink" xfId="1456" builtinId="9" hidden="1"/>
    <cellStyle name="Gevolgde hyperlink" xfId="1458" builtinId="9" hidden="1"/>
    <cellStyle name="Gevolgde hyperlink" xfId="1460" builtinId="9" hidden="1"/>
    <cellStyle name="Gevolgde hyperlink" xfId="1462" builtinId="9" hidden="1"/>
    <cellStyle name="Gevolgde hyperlink" xfId="1464" builtinId="9" hidden="1"/>
    <cellStyle name="Gevolgde hyperlink" xfId="1466" builtinId="9" hidden="1"/>
    <cellStyle name="Gevolgde hyperlink" xfId="1468" builtinId="9" hidden="1"/>
    <cellStyle name="Gevolgde hyperlink" xfId="1470" builtinId="9" hidden="1"/>
    <cellStyle name="Gevolgde hyperlink" xfId="1472" builtinId="9" hidden="1"/>
    <cellStyle name="Gevolgde hyperlink" xfId="1474" builtinId="9" hidden="1"/>
    <cellStyle name="Gevolgde hyperlink" xfId="1476" builtinId="9" hidden="1"/>
    <cellStyle name="Gevolgde hyperlink" xfId="1478" builtinId="9" hidden="1"/>
    <cellStyle name="Gevolgde hyperlink" xfId="1480" builtinId="9" hidden="1"/>
    <cellStyle name="Gevolgde hyperlink" xfId="1482" builtinId="9" hidden="1"/>
    <cellStyle name="Gevolgde hyperlink" xfId="1484" builtinId="9" hidden="1"/>
    <cellStyle name="Gevolgde hyperlink" xfId="1486" builtinId="9" hidden="1"/>
    <cellStyle name="Gevolgde hyperlink" xfId="1488" builtinId="9" hidden="1"/>
    <cellStyle name="Gevolgde hyperlink" xfId="1490" builtinId="9" hidden="1"/>
    <cellStyle name="Gevolgde hyperlink" xfId="1492" builtinId="9" hidden="1"/>
    <cellStyle name="Gevolgde hyperlink" xfId="1494" builtinId="9" hidden="1"/>
    <cellStyle name="Gevolgde hyperlink" xfId="1496" builtinId="9" hidden="1"/>
    <cellStyle name="Gevolgde hyperlink" xfId="1498" builtinId="9" hidden="1"/>
    <cellStyle name="Gevolgde hyperlink" xfId="1500" builtinId="9" hidden="1"/>
    <cellStyle name="Gevolgde hyperlink" xfId="1502" builtinId="9" hidden="1"/>
    <cellStyle name="Gevolgde hyperlink" xfId="1504" builtinId="9" hidden="1"/>
    <cellStyle name="Gevolgde hyperlink" xfId="1506" builtinId="9" hidden="1"/>
    <cellStyle name="Gevolgde hyperlink" xfId="1508" builtinId="9" hidden="1"/>
    <cellStyle name="Gevolgde hyperlink" xfId="1510" builtinId="9" hidden="1"/>
    <cellStyle name="Gevolgde hyperlink" xfId="1512" builtinId="9" hidden="1"/>
    <cellStyle name="Gevolgde hyperlink" xfId="1514" builtinId="9" hidden="1"/>
    <cellStyle name="Gevolgde hyperlink" xfId="1516" builtinId="9" hidden="1"/>
    <cellStyle name="Gevolgde hyperlink" xfId="1518" builtinId="9" hidden="1"/>
    <cellStyle name="Gevolgde hyperlink" xfId="1520" builtinId="9" hidden="1"/>
    <cellStyle name="Gevolgde hyperlink" xfId="1522" builtinId="9" hidden="1"/>
    <cellStyle name="Gevolgde hyperlink" xfId="1524" builtinId="9" hidden="1"/>
    <cellStyle name="Gevolgde hyperlink" xfId="1526" builtinId="9" hidden="1"/>
    <cellStyle name="Gevolgde hyperlink" xfId="1528" builtinId="9" hidden="1"/>
    <cellStyle name="Gevolgde hyperlink" xfId="1530" builtinId="9" hidden="1"/>
    <cellStyle name="Gevolgde hyperlink" xfId="1532" builtinId="9" hidden="1"/>
    <cellStyle name="Gevolgde hyperlink" xfId="1534" builtinId="9" hidden="1"/>
    <cellStyle name="Gevolgde hyperlink" xfId="1536" builtinId="9" hidden="1"/>
    <cellStyle name="Gevolgde hyperlink" xfId="1538" builtinId="9" hidden="1"/>
    <cellStyle name="Gevolgde hyperlink" xfId="1540" builtinId="9" hidden="1"/>
    <cellStyle name="Gevolgde hyperlink" xfId="1542" builtinId="9" hidden="1"/>
    <cellStyle name="Gevolgde hyperlink" xfId="1544" builtinId="9" hidden="1"/>
    <cellStyle name="Gevolgde hyperlink" xfId="1546" builtinId="9" hidden="1"/>
    <cellStyle name="Gevolgde hyperlink" xfId="1548" builtinId="9" hidden="1"/>
    <cellStyle name="Gevolgde hyperlink" xfId="1550" builtinId="9" hidden="1"/>
    <cellStyle name="Gevolgde hyperlink" xfId="1552" builtinId="9" hidden="1"/>
    <cellStyle name="Gevolgde hyperlink" xfId="1554" builtinId="9" hidden="1"/>
    <cellStyle name="Gevolgde hyperlink" xfId="1556" builtinId="9" hidden="1"/>
    <cellStyle name="Gevolgde hyperlink" xfId="1558" builtinId="9" hidden="1"/>
    <cellStyle name="Gevolgde hyperlink" xfId="1560" builtinId="9" hidden="1"/>
    <cellStyle name="Gevolgde hyperlink" xfId="1562" builtinId="9" hidden="1"/>
    <cellStyle name="Gevolgde hyperlink" xfId="1564" builtinId="9" hidden="1"/>
    <cellStyle name="Gevolgde hyperlink" xfId="1566" builtinId="9" hidden="1"/>
    <cellStyle name="Gevolgde hyperlink" xfId="1568" builtinId="9" hidden="1"/>
    <cellStyle name="Gevolgde hyperlink" xfId="1570" builtinId="9" hidden="1"/>
    <cellStyle name="Gevolgde hyperlink" xfId="1572" builtinId="9" hidden="1"/>
    <cellStyle name="Gevolgde hyperlink" xfId="1574" builtinId="9" hidden="1"/>
    <cellStyle name="Gevolgde hyperlink" xfId="1576" builtinId="9" hidden="1"/>
    <cellStyle name="Gevolgde hyperlink" xfId="1578" builtinId="9" hidden="1"/>
    <cellStyle name="Gevolgde hyperlink" xfId="1580" builtinId="9" hidden="1"/>
    <cellStyle name="Gevolgde hyperlink" xfId="1582" builtinId="9" hidden="1"/>
    <cellStyle name="Gevolgde hyperlink" xfId="1584" builtinId="9" hidden="1"/>
    <cellStyle name="Gevolgde hyperlink" xfId="1586" builtinId="9" hidden="1"/>
    <cellStyle name="Gevolgde hyperlink" xfId="1588" builtinId="9" hidden="1"/>
    <cellStyle name="Gevolgde hyperlink" xfId="1590" builtinId="9" hidden="1"/>
    <cellStyle name="Gevolgde hyperlink" xfId="1592" builtinId="9" hidden="1"/>
    <cellStyle name="Gevolgde hyperlink" xfId="1594" builtinId="9" hidden="1"/>
    <cellStyle name="Gevolgde hyperlink" xfId="1596" builtinId="9" hidden="1"/>
    <cellStyle name="Gevolgde hyperlink" xfId="1598" builtinId="9" hidden="1"/>
    <cellStyle name="Gevolgde hyperlink" xfId="1600" builtinId="9" hidden="1"/>
    <cellStyle name="Gevolgde hyperlink" xfId="1602" builtinId="9" hidden="1"/>
    <cellStyle name="Gevolgde hyperlink" xfId="1604" builtinId="9" hidden="1"/>
    <cellStyle name="Gevolgde hyperlink" xfId="1606" builtinId="9" hidden="1"/>
    <cellStyle name="Gevolgde hyperlink" xfId="1608" builtinId="9" hidden="1"/>
    <cellStyle name="Gevolgde hyperlink" xfId="1610" builtinId="9" hidden="1"/>
    <cellStyle name="Gevolgde hyperlink" xfId="1612" builtinId="9" hidden="1"/>
    <cellStyle name="Gevolgde hyperlink" xfId="1614" builtinId="9" hidden="1"/>
    <cellStyle name="Gevolgde hyperlink" xfId="1616" builtinId="9" hidden="1"/>
    <cellStyle name="Gevolgde hyperlink" xfId="1618" builtinId="9" hidden="1"/>
    <cellStyle name="Gevolgde hyperlink" xfId="1620" builtinId="9" hidden="1"/>
    <cellStyle name="Gevolgde hyperlink" xfId="1622" builtinId="9" hidden="1"/>
    <cellStyle name="Gevolgde hyperlink" xfId="1624" builtinId="9" hidden="1"/>
    <cellStyle name="Gevolgde hyperlink" xfId="1626" builtinId="9" hidden="1"/>
    <cellStyle name="Gevolgde hyperlink" xfId="1628" builtinId="9" hidden="1"/>
    <cellStyle name="Gevolgde hyperlink" xfId="1630" builtinId="9" hidden="1"/>
    <cellStyle name="Gevolgde hyperlink" xfId="1632" builtinId="9" hidden="1"/>
    <cellStyle name="Gevolgde hyperlink" xfId="1634" builtinId="9" hidden="1"/>
    <cellStyle name="Gevolgde hyperlink" xfId="1636" builtinId="9" hidden="1"/>
    <cellStyle name="Gevolgde hyperlink" xfId="1638" builtinId="9" hidden="1"/>
    <cellStyle name="Gevolgde hyperlink" xfId="1640" builtinId="9" hidden="1"/>
    <cellStyle name="Gevolgde hyperlink" xfId="1642" builtinId="9" hidden="1"/>
    <cellStyle name="Gevolgde hyperlink" xfId="1644" builtinId="9" hidden="1"/>
    <cellStyle name="Gevolgde hyperlink" xfId="1646" builtinId="9" hidden="1"/>
    <cellStyle name="Gevolgde hyperlink" xfId="1648" builtinId="9" hidden="1"/>
    <cellStyle name="Gevolgde hyperlink" xfId="1650" builtinId="9" hidden="1"/>
    <cellStyle name="Gevolgde hyperlink" xfId="1652" builtinId="9" hidden="1"/>
    <cellStyle name="Gevolgde hyperlink" xfId="1654" builtinId="9" hidden="1"/>
    <cellStyle name="Gevolgde hyperlink" xfId="1656" builtinId="9" hidden="1"/>
    <cellStyle name="Gevolgde hyperlink" xfId="1658" builtinId="9" hidden="1"/>
    <cellStyle name="Gevolgde hyperlink" xfId="1660" builtinId="9" hidden="1"/>
    <cellStyle name="Gevolgde hyperlink" xfId="1662" builtinId="9" hidden="1"/>
    <cellStyle name="Gevolgde hyperlink" xfId="1664" builtinId="9" hidden="1"/>
    <cellStyle name="Gevolgde hyperlink" xfId="1666" builtinId="9" hidden="1"/>
    <cellStyle name="Gevolgde hyperlink" xfId="1668" builtinId="9" hidden="1"/>
    <cellStyle name="Gevolgde hyperlink" xfId="1670" builtinId="9" hidden="1"/>
    <cellStyle name="Gevolgde hyperlink" xfId="1672" builtinId="9" hidden="1"/>
    <cellStyle name="Gevolgde hyperlink" xfId="1674" builtinId="9" hidden="1"/>
    <cellStyle name="Gevolgde hyperlink" xfId="1676" builtinId="9" hidden="1"/>
    <cellStyle name="Gevolgde hyperlink" xfId="1678" builtinId="9" hidden="1"/>
    <cellStyle name="Gevolgde hyperlink" xfId="1680" builtinId="9" hidden="1"/>
    <cellStyle name="Gevolgde hyperlink" xfId="1682" builtinId="9" hidden="1"/>
    <cellStyle name="Gevolgde hyperlink" xfId="1684" builtinId="9" hidden="1"/>
    <cellStyle name="Gevolgde hyperlink" xfId="1686" builtinId="9" hidden="1"/>
    <cellStyle name="Gevolgde hyperlink" xfId="1688" builtinId="9" hidden="1"/>
    <cellStyle name="Gevolgde hyperlink" xfId="1690" builtinId="9" hidden="1"/>
    <cellStyle name="Gevolgde hyperlink" xfId="1692" builtinId="9" hidden="1"/>
    <cellStyle name="Gevolgde hyperlink" xfId="1694" builtinId="9" hidden="1"/>
    <cellStyle name="Gevolgde hyperlink" xfId="1696" builtinId="9" hidden="1"/>
    <cellStyle name="Gevolgde hyperlink" xfId="1698" builtinId="9" hidden="1"/>
    <cellStyle name="Gevolgde hyperlink" xfId="1700" builtinId="9" hidden="1"/>
    <cellStyle name="Gevolgde hyperlink" xfId="1702" builtinId="9" hidden="1"/>
    <cellStyle name="Gevolgde hyperlink" xfId="1704" builtinId="9" hidden="1"/>
    <cellStyle name="Gevolgde hyperlink" xfId="1706" builtinId="9" hidden="1"/>
    <cellStyle name="Gevolgde hyperlink" xfId="1708" builtinId="9" hidden="1"/>
    <cellStyle name="Gevolgde hyperlink" xfId="1710" builtinId="9" hidden="1"/>
    <cellStyle name="Gevolgde hyperlink" xfId="1712" builtinId="9" hidden="1"/>
    <cellStyle name="Gevolgde hyperlink" xfId="1714" builtinId="9" hidden="1"/>
    <cellStyle name="Gevolgde hyperlink" xfId="1716" builtinId="9" hidden="1"/>
    <cellStyle name="Gevolgde hyperlink" xfId="1718" builtinId="9" hidden="1"/>
    <cellStyle name="Gevolgde hyperlink" xfId="1720" builtinId="9" hidden="1"/>
    <cellStyle name="Gevolgde hyperlink" xfId="1722" builtinId="9" hidden="1"/>
    <cellStyle name="Gevolgde hyperlink" xfId="1724" builtinId="9" hidden="1"/>
    <cellStyle name="Gevolgde hyperlink" xfId="1726" builtinId="9" hidden="1"/>
    <cellStyle name="Gevolgde hyperlink" xfId="1728" builtinId="9" hidden="1"/>
    <cellStyle name="Gevolgde hyperlink" xfId="1730" builtinId="9" hidden="1"/>
    <cellStyle name="Gevolgde hyperlink" xfId="1732" builtinId="9" hidden="1"/>
    <cellStyle name="Gevolgde hyperlink" xfId="1734" builtinId="9" hidden="1"/>
    <cellStyle name="Gevolgde hyperlink" xfId="1736" builtinId="9" hidden="1"/>
    <cellStyle name="Gevolgde hyperlink" xfId="1738" builtinId="9" hidden="1"/>
    <cellStyle name="Gevolgde hyperlink" xfId="1740" builtinId="9" hidden="1"/>
    <cellStyle name="Gevolgde hyperlink" xfId="1742" builtinId="9" hidden="1"/>
    <cellStyle name="Gevolgde hyperlink" xfId="1744" builtinId="9" hidden="1"/>
    <cellStyle name="Gevolgde hyperlink" xfId="1746" builtinId="9" hidden="1"/>
    <cellStyle name="Gevolgde hyperlink" xfId="1748" builtinId="9" hidden="1"/>
    <cellStyle name="Gevolgde hyperlink" xfId="1750" builtinId="9" hidden="1"/>
    <cellStyle name="Gevolgde hyperlink" xfId="1752" builtinId="9" hidden="1"/>
    <cellStyle name="Gevolgde hyperlink" xfId="1754" builtinId="9" hidden="1"/>
    <cellStyle name="Gevolgde hyperlink" xfId="1756" builtinId="9" hidden="1"/>
    <cellStyle name="Gevolgde hyperlink" xfId="1758" builtinId="9" hidden="1"/>
    <cellStyle name="Gevolgde hyperlink" xfId="1760" builtinId="9" hidden="1"/>
    <cellStyle name="Gevolgde hyperlink" xfId="1762" builtinId="9" hidden="1"/>
    <cellStyle name="Gevolgde hyperlink" xfId="1764" builtinId="9" hidden="1"/>
    <cellStyle name="Gevolgde hyperlink" xfId="1766" builtinId="9" hidden="1"/>
    <cellStyle name="Gevolgde hyperlink" xfId="1768" builtinId="9" hidden="1"/>
    <cellStyle name="Gevolgde hyperlink" xfId="1770" builtinId="9" hidden="1"/>
    <cellStyle name="Gevolgde hyperlink" xfId="1772" builtinId="9" hidden="1"/>
    <cellStyle name="Gevolgde hyperlink" xfId="1774" builtinId="9" hidden="1"/>
    <cellStyle name="Gevolgde hyperlink" xfId="1776" builtinId="9" hidden="1"/>
    <cellStyle name="Gevolgde hyperlink" xfId="1778" builtinId="9" hidden="1"/>
    <cellStyle name="Gevolgde hyperlink" xfId="1780" builtinId="9" hidden="1"/>
    <cellStyle name="Gevolgde hyperlink" xfId="1782" builtinId="9" hidden="1"/>
    <cellStyle name="Gevolgde hyperlink" xfId="1784" builtinId="9" hidden="1"/>
    <cellStyle name="Gevolgde hyperlink" xfId="1786" builtinId="9" hidden="1"/>
    <cellStyle name="Gevolgde hyperlink" xfId="1788" builtinId="9" hidden="1"/>
    <cellStyle name="Gevolgde hyperlink" xfId="1790" builtinId="9" hidden="1"/>
    <cellStyle name="Gevolgde hyperlink" xfId="1792" builtinId="9" hidden="1"/>
    <cellStyle name="Gevolgde hyperlink" xfId="1794" builtinId="9" hidden="1"/>
    <cellStyle name="Gevolgde hyperlink" xfId="1796" builtinId="9" hidden="1"/>
    <cellStyle name="Gevolgde hyperlink" xfId="1798" builtinId="9" hidden="1"/>
    <cellStyle name="Gevolgde hyperlink" xfId="1800" builtinId="9" hidden="1"/>
    <cellStyle name="Gevolgde hyperlink" xfId="1802" builtinId="9" hidden="1"/>
    <cellStyle name="Gevolgde hyperlink" xfId="1804" builtinId="9" hidden="1"/>
    <cellStyle name="Gevolgde hyperlink" xfId="1806" builtinId="9" hidden="1"/>
    <cellStyle name="Gevolgde hyperlink" xfId="1808" builtinId="9" hidden="1"/>
    <cellStyle name="Gevolgde hyperlink" xfId="1810" builtinId="9" hidden="1"/>
    <cellStyle name="Gevolgde hyperlink" xfId="1812" builtinId="9" hidden="1"/>
    <cellStyle name="Gevolgde hyperlink" xfId="1814" builtinId="9" hidden="1"/>
    <cellStyle name="Gevolgde hyperlink" xfId="1816" builtinId="9" hidden="1"/>
    <cellStyle name="Gevolgde hyperlink" xfId="1818" builtinId="9" hidden="1"/>
    <cellStyle name="Gevolgde hyperlink" xfId="1820" builtinId="9" hidden="1"/>
    <cellStyle name="Gevolgde hyperlink" xfId="1822" builtinId="9" hidden="1"/>
    <cellStyle name="Gevolgde hyperlink" xfId="1824" builtinId="9" hidden="1"/>
    <cellStyle name="Gevolgde hyperlink" xfId="1826" builtinId="9" hidden="1"/>
    <cellStyle name="Gevolgde hyperlink" xfId="1828" builtinId="9" hidden="1"/>
    <cellStyle name="Gevolgde hyperlink" xfId="1830" builtinId="9" hidden="1"/>
    <cellStyle name="Gevolgde hyperlink" xfId="1832" builtinId="9" hidden="1"/>
    <cellStyle name="Gevolgde hyperlink" xfId="1834" builtinId="9" hidden="1"/>
    <cellStyle name="Gevolgde hyperlink" xfId="1836" builtinId="9" hidden="1"/>
    <cellStyle name="Gevolgde hyperlink" xfId="1838" builtinId="9" hidden="1"/>
    <cellStyle name="Gevolgde hyperlink" xfId="1840" builtinId="9" hidden="1"/>
    <cellStyle name="Gevolgde hyperlink" xfId="1842" builtinId="9" hidden="1"/>
    <cellStyle name="Gevolgde hyperlink" xfId="1844" builtinId="9" hidden="1"/>
    <cellStyle name="Gevolgde hyperlink" xfId="1846" builtinId="9" hidden="1"/>
    <cellStyle name="Gevolgde hyperlink" xfId="1848" builtinId="9" hidden="1"/>
    <cellStyle name="Gevolgde hyperlink" xfId="1850" builtinId="9" hidden="1"/>
    <cellStyle name="Gevolgde hyperlink" xfId="1852" builtinId="9" hidden="1"/>
    <cellStyle name="Gevolgde hyperlink" xfId="1854" builtinId="9" hidden="1"/>
    <cellStyle name="Gevolgde hyperlink" xfId="1856" builtinId="9" hidden="1"/>
    <cellStyle name="Gevolgde hyperlink" xfId="1858" builtinId="9" hidden="1"/>
    <cellStyle name="Gevolgde hyperlink" xfId="1860" builtinId="9" hidden="1"/>
    <cellStyle name="Gevolgde hyperlink" xfId="1862" builtinId="9" hidden="1"/>
    <cellStyle name="Gevolgde hyperlink" xfId="1864" builtinId="9" hidden="1"/>
    <cellStyle name="Gevolgde hyperlink" xfId="1866" builtinId="9" hidden="1"/>
    <cellStyle name="Gevolgde hyperlink" xfId="1868" builtinId="9" hidden="1"/>
    <cellStyle name="Gevolgde hyperlink" xfId="1870" builtinId="9" hidden="1"/>
    <cellStyle name="Gevolgde hyperlink" xfId="1872" builtinId="9" hidden="1"/>
    <cellStyle name="Gevolgde hyperlink" xfId="1874" builtinId="9" hidden="1"/>
    <cellStyle name="Gevolgde hyperlink" xfId="1876" builtinId="9" hidden="1"/>
    <cellStyle name="Gevolgde hyperlink" xfId="1878" builtinId="9" hidden="1"/>
    <cellStyle name="Gevolgde hyperlink" xfId="1880" builtinId="9" hidden="1"/>
    <cellStyle name="Gevolgde hyperlink" xfId="1882" builtinId="9" hidden="1"/>
    <cellStyle name="Gevolgde hyperlink" xfId="1884" builtinId="9" hidden="1"/>
    <cellStyle name="Gevolgde hyperlink" xfId="1886" builtinId="9" hidden="1"/>
    <cellStyle name="Gevolgde hyperlink" xfId="1888" builtinId="9" hidden="1"/>
    <cellStyle name="Gevolgde hyperlink" xfId="1890" builtinId="9" hidden="1"/>
    <cellStyle name="Gevolgde hyperlink" xfId="1892" builtinId="9" hidden="1"/>
    <cellStyle name="Gevolgde hyperlink" xfId="1894" builtinId="9" hidden="1"/>
    <cellStyle name="Gevolgde hyperlink" xfId="1896" builtinId="9" hidden="1"/>
    <cellStyle name="Gevolgde hyperlink" xfId="1898" builtinId="9" hidden="1"/>
    <cellStyle name="Gevolgde hyperlink" xfId="1900" builtinId="9" hidden="1"/>
    <cellStyle name="Gevolgde hyperlink" xfId="1902" builtinId="9" hidden="1"/>
    <cellStyle name="Gevolgde hyperlink" xfId="1904" builtinId="9" hidden="1"/>
    <cellStyle name="Gevolgde hyperlink" xfId="1906" builtinId="9" hidden="1"/>
    <cellStyle name="Gevolgde hyperlink" xfId="1908" builtinId="9" hidden="1"/>
    <cellStyle name="Gevolgde hyperlink" xfId="1910" builtinId="9" hidden="1"/>
    <cellStyle name="Gevolgde hyperlink" xfId="1912" builtinId="9" hidden="1"/>
    <cellStyle name="Gevolgde hyperlink" xfId="1914" builtinId="9" hidden="1"/>
    <cellStyle name="Gevolgde hyperlink" xfId="1916" builtinId="9" hidden="1"/>
    <cellStyle name="Gevolgde hyperlink" xfId="1918" builtinId="9" hidden="1"/>
    <cellStyle name="Gevolgde hyperlink" xfId="1920" builtinId="9" hidden="1"/>
    <cellStyle name="Gevolgde hyperlink" xfId="1922" builtinId="9" hidden="1"/>
    <cellStyle name="Gevolgde hyperlink" xfId="1924" builtinId="9" hidden="1"/>
    <cellStyle name="Gevolgde hyperlink" xfId="1926" builtinId="9" hidden="1"/>
    <cellStyle name="Gevolgde hyperlink" xfId="1928" builtinId="9" hidden="1"/>
    <cellStyle name="Gevolgde hyperlink" xfId="1930" builtinId="9" hidden="1"/>
    <cellStyle name="Gevolgde hyperlink" xfId="1932" builtinId="9" hidden="1"/>
    <cellStyle name="Gevolgde hyperlink" xfId="1934" builtinId="9" hidden="1"/>
    <cellStyle name="Gevolgde hyperlink" xfId="1936" builtinId="9" hidden="1"/>
    <cellStyle name="Gevolgde hyperlink" xfId="1938" builtinId="9" hidden="1"/>
    <cellStyle name="Gevolgde hyperlink" xfId="1940" builtinId="9" hidden="1"/>
    <cellStyle name="Gevolgde hyperlink" xfId="1942" builtinId="9" hidden="1"/>
    <cellStyle name="Gevolgde hyperlink" xfId="1944" builtinId="9" hidden="1"/>
    <cellStyle name="Gevolgde hyperlink" xfId="1946" builtinId="9" hidden="1"/>
    <cellStyle name="Gevolgde hyperlink" xfId="1948" builtinId="9" hidden="1"/>
    <cellStyle name="Gevolgde hyperlink" xfId="1950" builtinId="9" hidden="1"/>
    <cellStyle name="Gevolgde hyperlink" xfId="1952" builtinId="9" hidden="1"/>
    <cellStyle name="Gevolgde hyperlink" xfId="1954" builtinId="9" hidden="1"/>
    <cellStyle name="Gevolgde hyperlink" xfId="1956" builtinId="9" hidden="1"/>
    <cellStyle name="Gevolgde hyperlink" xfId="1958" builtinId="9" hidden="1"/>
    <cellStyle name="Gevolgde hyperlink" xfId="1960" builtinId="9" hidden="1"/>
    <cellStyle name="Gevolgde hyperlink" xfId="1962" builtinId="9" hidden="1"/>
    <cellStyle name="Gevolgde hyperlink" xfId="1964" builtinId="9" hidden="1"/>
    <cellStyle name="Gevolgde hyperlink" xfId="1966" builtinId="9" hidden="1"/>
    <cellStyle name="Gevolgde hyperlink" xfId="1968" builtinId="9" hidden="1"/>
    <cellStyle name="Gevolgde hyperlink" xfId="1970" builtinId="9" hidden="1"/>
    <cellStyle name="Gevolgde hyperlink" xfId="1972" builtinId="9" hidden="1"/>
    <cellStyle name="Gevolgde hyperlink" xfId="1974" builtinId="9" hidden="1"/>
    <cellStyle name="Gevolgde hyperlink" xfId="1976" builtinId="9" hidden="1"/>
    <cellStyle name="Gevolgde hyperlink" xfId="1978" builtinId="9" hidden="1"/>
    <cellStyle name="Gevolgde hyperlink" xfId="1980" builtinId="9" hidden="1"/>
    <cellStyle name="Gevolgde hyperlink" xfId="1982" builtinId="9" hidden="1"/>
    <cellStyle name="Gevolgde hyperlink" xfId="1984" builtinId="9" hidden="1"/>
    <cellStyle name="Gevolgde hyperlink" xfId="1986" builtinId="9" hidden="1"/>
    <cellStyle name="Gevolgde hyperlink" xfId="1988" builtinId="9" hidden="1"/>
    <cellStyle name="Gevolgde hyperlink" xfId="1990" builtinId="9" hidden="1"/>
    <cellStyle name="Gevolgde hyperlink" xfId="1992" builtinId="9" hidden="1"/>
    <cellStyle name="Gevolgde hyperlink" xfId="1994" builtinId="9" hidden="1"/>
    <cellStyle name="Gevolgde hyperlink" xfId="1996" builtinId="9" hidden="1"/>
    <cellStyle name="Gevolgde hyperlink" xfId="1998" builtinId="9" hidden="1"/>
    <cellStyle name="Gevolgde hyperlink" xfId="2000" builtinId="9" hidden="1"/>
    <cellStyle name="Gevolgde hyperlink" xfId="2002" builtinId="9" hidden="1"/>
    <cellStyle name="Gevolgde hyperlink" xfId="2004" builtinId="9" hidden="1"/>
    <cellStyle name="Gevolgde hyperlink" xfId="2006" builtinId="9" hidden="1"/>
    <cellStyle name="Gevolgde hyperlink" xfId="2008" builtinId="9" hidden="1"/>
    <cellStyle name="Gevolgde hyperlink" xfId="2010" builtinId="9" hidden="1"/>
    <cellStyle name="Gevolgde hyperlink" xfId="2012" builtinId="9" hidden="1"/>
    <cellStyle name="Gevolgde hyperlink" xfId="2014" builtinId="9" hidden="1"/>
    <cellStyle name="Gevolgde hyperlink" xfId="2016" builtinId="9" hidden="1"/>
    <cellStyle name="Gevolgde hyperlink" xfId="2018" builtinId="9" hidden="1"/>
    <cellStyle name="Gevolgde hyperlink" xfId="2020" builtinId="9" hidden="1"/>
    <cellStyle name="Gevolgde hyperlink" xfId="2022" builtinId="9" hidden="1"/>
    <cellStyle name="Gevolgde hyperlink" xfId="2024" builtinId="9" hidden="1"/>
    <cellStyle name="Gevolgde hyperlink" xfId="2026" builtinId="9" hidden="1"/>
    <cellStyle name="Gevolgde hyperlink" xfId="2028" builtinId="9" hidden="1"/>
    <cellStyle name="Gevolgde hyperlink" xfId="2030" builtinId="9" hidden="1"/>
    <cellStyle name="Gevolgde hyperlink" xfId="2032" builtinId="9" hidden="1"/>
    <cellStyle name="Gevolgde hyperlink" xfId="2034" builtinId="9" hidden="1"/>
    <cellStyle name="Gevolgde hyperlink" xfId="2036" builtinId="9" hidden="1"/>
    <cellStyle name="Gevolgde hyperlink" xfId="2038" builtinId="9" hidden="1"/>
    <cellStyle name="Gevolgde hyperlink" xfId="2040" builtinId="9" hidden="1"/>
    <cellStyle name="Gevolgde hyperlink" xfId="2042" builtinId="9" hidden="1"/>
    <cellStyle name="Gevolgde hyperlink" xfId="2044" builtinId="9" hidden="1"/>
    <cellStyle name="Gevolgde hyperlink" xfId="2046" builtinId="9" hidden="1"/>
    <cellStyle name="Gevolgde hyperlink" xfId="2048" builtinId="9" hidden="1"/>
    <cellStyle name="Gevolgde hyperlink" xfId="2050" builtinId="9" hidden="1"/>
    <cellStyle name="Gevolgde hyperlink" xfId="2052" builtinId="9" hidden="1"/>
    <cellStyle name="Gevolgde hyperlink" xfId="2054" builtinId="9" hidden="1"/>
    <cellStyle name="Gevolgde hyperlink" xfId="2056" builtinId="9" hidden="1"/>
    <cellStyle name="Gevolgde hyperlink" xfId="2058" builtinId="9" hidden="1"/>
    <cellStyle name="Gevolgde hyperlink" xfId="2060" builtinId="9" hidden="1"/>
    <cellStyle name="Gevolgde hyperlink" xfId="2062" builtinId="9" hidden="1"/>
    <cellStyle name="Gevolgde hyperlink" xfId="2064" builtinId="9" hidden="1"/>
    <cellStyle name="Gevolgde hyperlink" xfId="2066" builtinId="9" hidden="1"/>
    <cellStyle name="Gevolgde hyperlink" xfId="2068" builtinId="9" hidden="1"/>
    <cellStyle name="Gevolgde hyperlink" xfId="2070" builtinId="9" hidden="1"/>
    <cellStyle name="Gevolgde hyperlink" xfId="2072" builtinId="9" hidden="1"/>
    <cellStyle name="Gevolgde hyperlink" xfId="2074" builtinId="9" hidden="1"/>
    <cellStyle name="Gevolgde hyperlink" xfId="2076" builtinId="9" hidden="1"/>
    <cellStyle name="Gevolgde hyperlink" xfId="2078" builtinId="9" hidden="1"/>
    <cellStyle name="Gevolgde hyperlink" xfId="2080" builtinId="9" hidden="1"/>
    <cellStyle name="Gevolgde hyperlink" xfId="2082" builtinId="9" hidden="1"/>
    <cellStyle name="Gevolgde hyperlink" xfId="2084" builtinId="9" hidden="1"/>
    <cellStyle name="Gevolgde hyperlink" xfId="2086" builtinId="9" hidden="1"/>
    <cellStyle name="Gevolgde hyperlink" xfId="2088" builtinId="9" hidden="1"/>
    <cellStyle name="Gevolgde hyperlink" xfId="2090" builtinId="9" hidden="1"/>
    <cellStyle name="Gevolgde hyperlink" xfId="2092" builtinId="9" hidden="1"/>
    <cellStyle name="Gevolgde hyperlink" xfId="2094" builtinId="9" hidden="1"/>
    <cellStyle name="Gevolgde hyperlink" xfId="2096" builtinId="9" hidden="1"/>
    <cellStyle name="Gevolgde hyperlink" xfId="2098" builtinId="9" hidden="1"/>
    <cellStyle name="Gevolgde hyperlink" xfId="2100" builtinId="9" hidden="1"/>
    <cellStyle name="Gevolgde hyperlink" xfId="2102" builtinId="9" hidden="1"/>
    <cellStyle name="Gevolgde hyperlink" xfId="2104" builtinId="9" hidden="1"/>
    <cellStyle name="Gevolgde hyperlink" xfId="2106" builtinId="9" hidden="1"/>
    <cellStyle name="Gevolgde hyperlink" xfId="2108" builtinId="9" hidden="1"/>
    <cellStyle name="Gevolgde hyperlink" xfId="2110" builtinId="9" hidden="1"/>
    <cellStyle name="Gevolgde hyperlink" xfId="2112" builtinId="9" hidden="1"/>
    <cellStyle name="Gevolgde hyperlink" xfId="2114" builtinId="9" hidden="1"/>
    <cellStyle name="Gevolgde hyperlink" xfId="2116" builtinId="9" hidden="1"/>
    <cellStyle name="Gevolgde hyperlink" xfId="2118" builtinId="9" hidden="1"/>
    <cellStyle name="Gevolgde hyperlink" xfId="2120" builtinId="9" hidden="1"/>
    <cellStyle name="Gevolgde hyperlink" xfId="2122" builtinId="9" hidden="1"/>
    <cellStyle name="Gevolgde hyperlink" xfId="2124" builtinId="9" hidden="1"/>
    <cellStyle name="Gevolgde hyperlink" xfId="2126" builtinId="9" hidden="1"/>
    <cellStyle name="Gevolgde hyperlink" xfId="2128" builtinId="9" hidden="1"/>
    <cellStyle name="Gevolgde hyperlink" xfId="2130" builtinId="9" hidden="1"/>
    <cellStyle name="Gevolgde hyperlink" xfId="2132" builtinId="9" hidden="1"/>
    <cellStyle name="Gevolgde hyperlink" xfId="2134" builtinId="9" hidden="1"/>
    <cellStyle name="Gevolgde hyperlink" xfId="2136" builtinId="9" hidden="1"/>
    <cellStyle name="Gevolgde hyperlink" xfId="2138" builtinId="9" hidden="1"/>
    <cellStyle name="Gevolgde hyperlink" xfId="2140" builtinId="9" hidden="1"/>
    <cellStyle name="Gevolgde hyperlink" xfId="2142" builtinId="9" hidden="1"/>
    <cellStyle name="Gevolgde hyperlink" xfId="2144" builtinId="9" hidden="1"/>
    <cellStyle name="Gevolgde hyperlink" xfId="2146" builtinId="9" hidden="1"/>
    <cellStyle name="Gevolgde hyperlink" xfId="2148" builtinId="9" hidden="1"/>
    <cellStyle name="Gevolgde hyperlink" xfId="2150" builtinId="9" hidden="1"/>
    <cellStyle name="Gevolgde hyperlink" xfId="2152" builtinId="9" hidden="1"/>
    <cellStyle name="Gevolgde hyperlink" xfId="2154" builtinId="9" hidden="1"/>
    <cellStyle name="Gevolgde hyperlink" xfId="2156" builtinId="9" hidden="1"/>
    <cellStyle name="Gevolgde hyperlink" xfId="2158" builtinId="9" hidden="1"/>
    <cellStyle name="Gevolgde hyperlink" xfId="2160" builtinId="9" hidden="1"/>
    <cellStyle name="Gevolgde hyperlink" xfId="2162" builtinId="9" hidden="1"/>
    <cellStyle name="Gevolgde hyperlink" xfId="2164" builtinId="9" hidden="1"/>
    <cellStyle name="Gevolgde hyperlink" xfId="2166" builtinId="9" hidden="1"/>
    <cellStyle name="Gevolgde hyperlink" xfId="2168" builtinId="9" hidden="1"/>
    <cellStyle name="Gevolgde hyperlink" xfId="2170" builtinId="9" hidden="1"/>
    <cellStyle name="Gevolgde hyperlink" xfId="2172" builtinId="9" hidden="1"/>
    <cellStyle name="Gevolgde hyperlink" xfId="2174" builtinId="9" hidden="1"/>
    <cellStyle name="Gevolgde hyperlink" xfId="2176" builtinId="9" hidden="1"/>
    <cellStyle name="Gevolgde hyperlink" xfId="2178" builtinId="9" hidden="1"/>
    <cellStyle name="Gevolgde hyperlink" xfId="2180" builtinId="9" hidden="1"/>
    <cellStyle name="Gevolgde hyperlink" xfId="2182" builtinId="9" hidden="1"/>
    <cellStyle name="Gevolgde hyperlink" xfId="2184" builtinId="9" hidden="1"/>
    <cellStyle name="Gevolgde hyperlink" xfId="2186" builtinId="9" hidden="1"/>
    <cellStyle name="Gevolgde hyperlink" xfId="2188" builtinId="9" hidden="1"/>
    <cellStyle name="Gevolgde hyperlink" xfId="2190" builtinId="9" hidden="1"/>
    <cellStyle name="Gevolgde hyperlink" xfId="2192" builtinId="9" hidden="1"/>
    <cellStyle name="Gevolgde hyperlink" xfId="2194" builtinId="9" hidden="1"/>
    <cellStyle name="Gevolgde hyperlink" xfId="2196" builtinId="9" hidden="1"/>
    <cellStyle name="Gevolgde hyperlink" xfId="2198" builtinId="9" hidden="1"/>
    <cellStyle name="Gevolgde hyperlink" xfId="2200" builtinId="9" hidden="1"/>
    <cellStyle name="Gevolgde hyperlink" xfId="2202" builtinId="9" hidden="1"/>
    <cellStyle name="Gevolgde hyperlink" xfId="2204" builtinId="9" hidden="1"/>
    <cellStyle name="Gevolgde hyperlink" xfId="2206" builtinId="9" hidden="1"/>
    <cellStyle name="Gevolgde hyperlink" xfId="2208" builtinId="9" hidden="1"/>
    <cellStyle name="Gevolgde hyperlink" xfId="2210" builtinId="9" hidden="1"/>
    <cellStyle name="Gevolgde hyperlink" xfId="2212" builtinId="9" hidden="1"/>
    <cellStyle name="Gevolgde hyperlink" xfId="2214" builtinId="9" hidden="1"/>
    <cellStyle name="Gevolgde hyperlink" xfId="2216" builtinId="9" hidden="1"/>
    <cellStyle name="Gevolgde hyperlink" xfId="2218" builtinId="9" hidden="1"/>
    <cellStyle name="Gevolgde hyperlink" xfId="2220" builtinId="9" hidden="1"/>
    <cellStyle name="Gevolgde hyperlink" xfId="2222" builtinId="9" hidden="1"/>
    <cellStyle name="Gevolgde hyperlink" xfId="2224" builtinId="9" hidden="1"/>
    <cellStyle name="Gevolgde hyperlink" xfId="2226" builtinId="9" hidden="1"/>
    <cellStyle name="Gevolgde hyperlink" xfId="2228" builtinId="9" hidden="1"/>
    <cellStyle name="Gevolgde hyperlink" xfId="2230" builtinId="9" hidden="1"/>
    <cellStyle name="Gevolgde hyperlink" xfId="2232" builtinId="9" hidden="1"/>
    <cellStyle name="Gevolgde hyperlink" xfId="2234" builtinId="9" hidden="1"/>
    <cellStyle name="Gevolgde hyperlink" xfId="2236" builtinId="9" hidden="1"/>
    <cellStyle name="Gevolgde hyperlink" xfId="2238" builtinId="9" hidden="1"/>
    <cellStyle name="Gevolgde hyperlink" xfId="2240" builtinId="9" hidden="1"/>
    <cellStyle name="Gevolgde hyperlink" xfId="2242" builtinId="9" hidden="1"/>
    <cellStyle name="Gevolgde hyperlink" xfId="2244" builtinId="9" hidden="1"/>
    <cellStyle name="Gevolgde hyperlink" xfId="2246" builtinId="9" hidden="1"/>
    <cellStyle name="Gevolgde hyperlink" xfId="2248" builtinId="9" hidden="1"/>
    <cellStyle name="Gevolgde hyperlink" xfId="2250" builtinId="9" hidden="1"/>
    <cellStyle name="Gevolgde hyperlink" xfId="2252" builtinId="9" hidden="1"/>
    <cellStyle name="Gevolgde hyperlink" xfId="2254" builtinId="9" hidden="1"/>
    <cellStyle name="Gevolgde hyperlink" xfId="2256" builtinId="9" hidden="1"/>
    <cellStyle name="Gevolgde hyperlink" xfId="2258" builtinId="9" hidden="1"/>
    <cellStyle name="Gevolgde hyperlink" xfId="2260" builtinId="9" hidden="1"/>
    <cellStyle name="Gevolgde hyperlink" xfId="2262" builtinId="9" hidden="1"/>
    <cellStyle name="Gevolgde hyperlink" xfId="2264" builtinId="9" hidden="1"/>
    <cellStyle name="Gevolgde hyperlink" xfId="2266" builtinId="9" hidden="1"/>
    <cellStyle name="Gevolgde hyperlink" xfId="2268" builtinId="9" hidden="1"/>
    <cellStyle name="Gevolgde hyperlink" xfId="2270" builtinId="9" hidden="1"/>
    <cellStyle name="Gevolgde hyperlink" xfId="2272" builtinId="9" hidden="1"/>
    <cellStyle name="Gevolgde hyperlink" xfId="2274" builtinId="9" hidden="1"/>
    <cellStyle name="Gevolgde hyperlink" xfId="2276" builtinId="9" hidden="1"/>
    <cellStyle name="Gevolgde hyperlink" xfId="2278" builtinId="9" hidden="1"/>
    <cellStyle name="Gevolgde hyperlink" xfId="2280" builtinId="9" hidden="1"/>
    <cellStyle name="Gevolgde hyperlink" xfId="2282" builtinId="9" hidden="1"/>
    <cellStyle name="Gevolgde hyperlink" xfId="2284" builtinId="9" hidden="1"/>
    <cellStyle name="Gevolgde hyperlink" xfId="2286" builtinId="9" hidden="1"/>
    <cellStyle name="Gevolgde hyperlink" xfId="2288" builtinId="9" hidden="1"/>
    <cellStyle name="Gevolgde hyperlink" xfId="2290" builtinId="9" hidden="1"/>
    <cellStyle name="Gevolgde hyperlink" xfId="2292" builtinId="9" hidden="1"/>
    <cellStyle name="Gevolgde hyperlink" xfId="2294" builtinId="9" hidden="1"/>
    <cellStyle name="Gevolgde hyperlink" xfId="2296" builtinId="9" hidden="1"/>
    <cellStyle name="Gevolgde hyperlink" xfId="2298" builtinId="9" hidden="1"/>
    <cellStyle name="Gevolgde hyperlink" xfId="2300" builtinId="9" hidden="1"/>
    <cellStyle name="Gevolgde hyperlink" xfId="2302" builtinId="9" hidden="1"/>
    <cellStyle name="Gevolgde hyperlink" xfId="2304" builtinId="9" hidden="1"/>
    <cellStyle name="Gevolgde hyperlink" xfId="2306" builtinId="9" hidden="1"/>
    <cellStyle name="Gevolgde hyperlink" xfId="2308" builtinId="9" hidden="1"/>
    <cellStyle name="Gevolgde hyperlink" xfId="2310" builtinId="9" hidden="1"/>
    <cellStyle name="Gevolgde hyperlink" xfId="2312" builtinId="9" hidden="1"/>
    <cellStyle name="Gevolgde hyperlink" xfId="2314" builtinId="9" hidden="1"/>
    <cellStyle name="Gevolgde hyperlink" xfId="2316" builtinId="9" hidden="1"/>
    <cellStyle name="Gevolgde hyperlink" xfId="2318" builtinId="9" hidden="1"/>
    <cellStyle name="Gevolgde hyperlink" xfId="2320" builtinId="9" hidden="1"/>
    <cellStyle name="Gevolgde hyperlink" xfId="2322" builtinId="9" hidden="1"/>
    <cellStyle name="Gevolgde hyperlink" xfId="2324" builtinId="9" hidden="1"/>
    <cellStyle name="Gevolgde hyperlink" xfId="2326" builtinId="9" hidden="1"/>
    <cellStyle name="Gevolgde hyperlink" xfId="2328" builtinId="9" hidden="1"/>
    <cellStyle name="Gevolgde hyperlink" xfId="2330" builtinId="9" hidden="1"/>
    <cellStyle name="Gevolgde hyperlink" xfId="2332" builtinId="9" hidden="1"/>
    <cellStyle name="Gevolgde hyperlink" xfId="2334" builtinId="9" hidden="1"/>
    <cellStyle name="Gevolgde hyperlink" xfId="2336" builtinId="9" hidden="1"/>
    <cellStyle name="Gevolgde hyperlink" xfId="2338" builtinId="9" hidden="1"/>
    <cellStyle name="Gevolgde hyperlink" xfId="2340" builtinId="9" hidden="1"/>
    <cellStyle name="Gevolgde hyperlink" xfId="2342" builtinId="9" hidden="1"/>
    <cellStyle name="Gevolgde hyperlink" xfId="2344" builtinId="9" hidden="1"/>
    <cellStyle name="Gevolgde hyperlink" xfId="2346" builtinId="9" hidden="1"/>
    <cellStyle name="Gevolgde hyperlink" xfId="2348" builtinId="9" hidden="1"/>
    <cellStyle name="Gevolgde hyperlink" xfId="2350" builtinId="9" hidden="1"/>
    <cellStyle name="Gevolgde hyperlink" xfId="2352" builtinId="9" hidden="1"/>
    <cellStyle name="Gevolgde hyperlink" xfId="2354" builtinId="9" hidden="1"/>
    <cellStyle name="Gevolgde hyperlink" xfId="2356" builtinId="9" hidden="1"/>
    <cellStyle name="Gevolgde hyperlink" xfId="2358" builtinId="9" hidden="1"/>
    <cellStyle name="Gevolgde hyperlink" xfId="2360" builtinId="9" hidden="1"/>
    <cellStyle name="Gevolgde hyperlink" xfId="2362" builtinId="9" hidden="1"/>
    <cellStyle name="Gevolgde hyperlink" xfId="2364" builtinId="9" hidden="1"/>
    <cellStyle name="Gevolgde hyperlink" xfId="2366" builtinId="9" hidden="1"/>
    <cellStyle name="Gevolgde hyperlink" xfId="2368" builtinId="9" hidden="1"/>
    <cellStyle name="Gevolgde hyperlink" xfId="2370" builtinId="9" hidden="1"/>
    <cellStyle name="Gevolgde hyperlink" xfId="2372" builtinId="9" hidden="1"/>
    <cellStyle name="Gevolgde hyperlink" xfId="2374" builtinId="9" hidden="1"/>
    <cellStyle name="Gevolgde hyperlink" xfId="2376" builtinId="9" hidden="1"/>
    <cellStyle name="Gevolgde hyperlink" xfId="2378" builtinId="9" hidden="1"/>
    <cellStyle name="Gevolgde hyperlink" xfId="2380" builtinId="9" hidden="1"/>
    <cellStyle name="Gevolgde hyperlink" xfId="2382" builtinId="9" hidden="1"/>
    <cellStyle name="Gevolgde hyperlink" xfId="2384" builtinId="9" hidden="1"/>
    <cellStyle name="Gevolgde hyperlink" xfId="2386" builtinId="9" hidden="1"/>
    <cellStyle name="Gevolgde hyperlink" xfId="2388" builtinId="9" hidden="1"/>
    <cellStyle name="Gevolgde hyperlink" xfId="2390" builtinId="9" hidden="1"/>
    <cellStyle name="Gevolgde hyperlink" xfId="2392" builtinId="9" hidden="1"/>
    <cellStyle name="Gevolgde hyperlink" xfId="2394" builtinId="9" hidden="1"/>
    <cellStyle name="Gevolgde hyperlink" xfId="2396" builtinId="9" hidden="1"/>
    <cellStyle name="Gevolgde hyperlink" xfId="2398" builtinId="9" hidden="1"/>
    <cellStyle name="Gevolgde hyperlink" xfId="2400" builtinId="9" hidden="1"/>
    <cellStyle name="Gevolgde hyperlink" xfId="2402" builtinId="9" hidden="1"/>
    <cellStyle name="Gevolgde hyperlink" xfId="2404" builtinId="9" hidden="1"/>
    <cellStyle name="Gevolgde hyperlink" xfId="2406" builtinId="9" hidden="1"/>
    <cellStyle name="Gevolgde hyperlink" xfId="2408" builtinId="9" hidden="1"/>
    <cellStyle name="Gevolgde hyperlink" xfId="2410" builtinId="9" hidden="1"/>
    <cellStyle name="Gevolgde hyperlink" xfId="2412" builtinId="9" hidden="1"/>
    <cellStyle name="Gevolgde hyperlink" xfId="2414" builtinId="9" hidden="1"/>
    <cellStyle name="Gevolgde hyperlink" xfId="2416" builtinId="9" hidden="1"/>
    <cellStyle name="Gevolgde hyperlink" xfId="2418" builtinId="9" hidden="1"/>
    <cellStyle name="Gevolgde hyperlink" xfId="2420" builtinId="9" hidden="1"/>
    <cellStyle name="Gevolgde hyperlink" xfId="2422" builtinId="9" hidden="1"/>
    <cellStyle name="Gevolgde hyperlink" xfId="2424" builtinId="9" hidden="1"/>
    <cellStyle name="Gevolgde hyperlink" xfId="2426" builtinId="9" hidden="1"/>
    <cellStyle name="Gevolgde hyperlink" xfId="2428" builtinId="9" hidden="1"/>
    <cellStyle name="Gevolgde hyperlink" xfId="2430" builtinId="9" hidden="1"/>
    <cellStyle name="Gevolgde hyperlink" xfId="2432" builtinId="9" hidden="1"/>
    <cellStyle name="Gevolgde hyperlink" xfId="2434" builtinId="9" hidden="1"/>
    <cellStyle name="Gevolgde hyperlink" xfId="2436" builtinId="9" hidden="1"/>
    <cellStyle name="Gevolgde hyperlink" xfId="2438" builtinId="9" hidden="1"/>
    <cellStyle name="Gevolgde hyperlink" xfId="2440" builtinId="9" hidden="1"/>
    <cellStyle name="Gevolgde hyperlink" xfId="2442" builtinId="9" hidden="1"/>
    <cellStyle name="Gevolgde hyperlink" xfId="2444" builtinId="9" hidden="1"/>
    <cellStyle name="Gevolgde hyperlink" xfId="2446" builtinId="9" hidden="1"/>
    <cellStyle name="Gevolgde hyperlink" xfId="2448" builtinId="9" hidden="1"/>
    <cellStyle name="Gevolgde hyperlink" xfId="2450" builtinId="9" hidden="1"/>
    <cellStyle name="Gevolgde hyperlink" xfId="2452" builtinId="9" hidden="1"/>
    <cellStyle name="Gevolgde hyperlink" xfId="2454" builtinId="9" hidden="1"/>
    <cellStyle name="Gevolgde hyperlink" xfId="2456" builtinId="9" hidden="1"/>
    <cellStyle name="Gevolgde hyperlink" xfId="2458" builtinId="9" hidden="1"/>
    <cellStyle name="Gevolgde hyperlink" xfId="2460" builtinId="9" hidden="1"/>
    <cellStyle name="Gevolgde hyperlink" xfId="2462" builtinId="9" hidden="1"/>
    <cellStyle name="Gevolgde hyperlink" xfId="2464" builtinId="9" hidden="1"/>
    <cellStyle name="Gevolgde hyperlink" xfId="2466" builtinId="9" hidden="1"/>
    <cellStyle name="Gevolgde hyperlink" xfId="2468" builtinId="9" hidden="1"/>
    <cellStyle name="Gevolgde hyperlink" xfId="2470" builtinId="9" hidden="1"/>
    <cellStyle name="Gevolgde hyperlink" xfId="2472" builtinId="9" hidden="1"/>
    <cellStyle name="Gevolgde hyperlink" xfId="2474" builtinId="9" hidden="1"/>
    <cellStyle name="Gevolgde hyperlink" xfId="2476" builtinId="9" hidden="1"/>
    <cellStyle name="Gevolgde hyperlink" xfId="2478" builtinId="9" hidden="1"/>
    <cellStyle name="Gevolgde hyperlink" xfId="2480" builtinId="9" hidden="1"/>
    <cellStyle name="Gevolgde hyperlink" xfId="2482" builtinId="9" hidden="1"/>
    <cellStyle name="Gevolgde hyperlink" xfId="2484" builtinId="9" hidden="1"/>
    <cellStyle name="Gevolgde hyperlink" xfId="2486" builtinId="9" hidden="1"/>
    <cellStyle name="Gevolgde hyperlink" xfId="2488" builtinId="9" hidden="1"/>
    <cellStyle name="Gevolgde hyperlink" xfId="2490" builtinId="9" hidden="1"/>
    <cellStyle name="Gevolgde hyperlink" xfId="2492" builtinId="9" hidden="1"/>
    <cellStyle name="Gevolgde hyperlink" xfId="2494" builtinId="9" hidden="1"/>
    <cellStyle name="Gevolgde hyperlink" xfId="2496" builtinId="9" hidden="1"/>
    <cellStyle name="Gevolgde hyperlink" xfId="2498" builtinId="9" hidden="1"/>
    <cellStyle name="Gevolgde hyperlink" xfId="2500" builtinId="9" hidden="1"/>
    <cellStyle name="Gevolgde hyperlink" xfId="2502" builtinId="9" hidden="1"/>
    <cellStyle name="Gevolgde hyperlink" xfId="2504" builtinId="9" hidden="1"/>
    <cellStyle name="Gevolgde hyperlink" xfId="2506" builtinId="9" hidden="1"/>
    <cellStyle name="Gevolgde hyperlink" xfId="2508" builtinId="9" hidden="1"/>
    <cellStyle name="Gevolgde hyperlink" xfId="2510" builtinId="9" hidden="1"/>
    <cellStyle name="Gevolgde hyperlink" xfId="2513" builtinId="9" hidden="1"/>
    <cellStyle name="Gevolgde hyperlink" xfId="2515" builtinId="9" hidden="1"/>
    <cellStyle name="Gevolgde hyperlink" xfId="2625" builtinId="9" hidden="1"/>
    <cellStyle name="Gevolgde hyperlink" xfId="2627" builtinId="9" hidden="1"/>
    <cellStyle name="Gevolgde hyperlink" xfId="2629" builtinId="9" hidden="1"/>
    <cellStyle name="Gevolgde hyperlink" xfId="2631" builtinId="9" hidden="1"/>
    <cellStyle name="Gevolgde hyperlink" xfId="2633" builtinId="9" hidden="1"/>
    <cellStyle name="Gevolgde hyperlink" xfId="2635" builtinId="9" hidden="1"/>
    <cellStyle name="Gevolgde hyperlink" xfId="2637" builtinId="9" hidden="1"/>
    <cellStyle name="Gevolgde hyperlink" xfId="2639" builtinId="9" hidden="1"/>
    <cellStyle name="Gevolgde hyperlink" xfId="2641" builtinId="9" hidden="1"/>
    <cellStyle name="Gevolgde hyperlink" xfId="2643" builtinId="9" hidden="1"/>
    <cellStyle name="Gevolgde hyperlink" xfId="2645" builtinId="9" hidden="1"/>
    <cellStyle name="Gevolgde hyperlink" xfId="2647" builtinId="9" hidden="1"/>
    <cellStyle name="Gevolgde hyperlink" xfId="2649" builtinId="9" hidden="1"/>
    <cellStyle name="Gevolgde hyperlink" xfId="2651" builtinId="9" hidden="1"/>
    <cellStyle name="Gevolgde hyperlink" xfId="2653" builtinId="9" hidden="1"/>
    <cellStyle name="Gevolgde hyperlink" xfId="2655" builtinId="9" hidden="1"/>
    <cellStyle name="Gevolgde hyperlink" xfId="2657" builtinId="9" hidden="1"/>
    <cellStyle name="Gevolgde hyperlink" xfId="2659" builtinId="9" hidden="1"/>
    <cellStyle name="Gevolgde hyperlink" xfId="2661" builtinId="9" hidden="1"/>
    <cellStyle name="Gevolgde hyperlink" xfId="2663" builtinId="9" hidden="1"/>
    <cellStyle name="Gevolgde hyperlink" xfId="2665" builtinId="9" hidden="1"/>
    <cellStyle name="Gevolgde hyperlink" xfId="2667" builtinId="9" hidden="1"/>
    <cellStyle name="Gevolgde hyperlink" xfId="2669" builtinId="9" hidden="1"/>
    <cellStyle name="Gevolgde hyperlink" xfId="2671" builtinId="9" hidden="1"/>
    <cellStyle name="Gevolgde hyperlink" xfId="2673" builtinId="9" hidden="1"/>
    <cellStyle name="Gevolgde hyperlink" xfId="2675" builtinId="9" hidden="1"/>
    <cellStyle name="Gevolgde hyperlink" xfId="2677" builtinId="9" hidden="1"/>
    <cellStyle name="Gevolgde hyperlink" xfId="2679" builtinId="9" hidden="1"/>
    <cellStyle name="Gevolgde hyperlink" xfId="2681" builtinId="9" hidden="1"/>
    <cellStyle name="Gevolgde hyperlink" xfId="2683" builtinId="9" hidden="1"/>
    <cellStyle name="Gevolgde hyperlink" xfId="2685" builtinId="9" hidden="1"/>
    <cellStyle name="Gevolgde hyperlink" xfId="2687" builtinId="9" hidden="1"/>
    <cellStyle name="Gevolgde hyperlink" xfId="2689" builtinId="9" hidden="1"/>
    <cellStyle name="Gevolgde hyperlink" xfId="2691" builtinId="9" hidden="1"/>
    <cellStyle name="Gevolgde hyperlink" xfId="2693" builtinId="9" hidden="1"/>
    <cellStyle name="Gevolgde hyperlink" xfId="2695" builtinId="9" hidden="1"/>
    <cellStyle name="Gevolgde hyperlink" xfId="2697" builtinId="9" hidden="1"/>
    <cellStyle name="Gevolgde hyperlink" xfId="2699" builtinId="9" hidden="1"/>
    <cellStyle name="Gevolgde hyperlink" xfId="2701" builtinId="9" hidden="1"/>
    <cellStyle name="Gevolgde hyperlink" xfId="2703" builtinId="9" hidden="1"/>
    <cellStyle name="Gevolgde hyperlink" xfId="2705" builtinId="9" hidden="1"/>
    <cellStyle name="Gevolgde hyperlink" xfId="2707" builtinId="9" hidden="1"/>
    <cellStyle name="Gevolgde hyperlink" xfId="2709" builtinId="9" hidden="1"/>
    <cellStyle name="Gevolgde hyperlink" xfId="2711" builtinId="9" hidden="1"/>
    <cellStyle name="Gevolgde hyperlink" xfId="2713" builtinId="9" hidden="1"/>
    <cellStyle name="Gevolgde hyperlink" xfId="2715" builtinId="9" hidden="1"/>
    <cellStyle name="Gevolgde hyperlink" xfId="2717" builtinId="9" hidden="1"/>
    <cellStyle name="Gevolgde hyperlink" xfId="2719" builtinId="9" hidden="1"/>
    <cellStyle name="Gevolgde hyperlink" xfId="2721" builtinId="9" hidden="1"/>
    <cellStyle name="Gevolgde hyperlink" xfId="2723" builtinId="9" hidden="1"/>
    <cellStyle name="Gevolgde hyperlink" xfId="2725" builtinId="9" hidden="1"/>
    <cellStyle name="Gevolgde hyperlink" xfId="2727" builtinId="9" hidden="1"/>
    <cellStyle name="Gevolgde hyperlink" xfId="2729" builtinId="9" hidden="1"/>
    <cellStyle name="Gevolgde hyperlink" xfId="2731" builtinId="9" hidden="1"/>
    <cellStyle name="Gevolgde hyperlink" xfId="2733" builtinId="9" hidden="1"/>
    <cellStyle name="Gevolgde hyperlink" xfId="2735" builtinId="9" hidden="1"/>
    <cellStyle name="Gevolgde hyperlink" xfId="2737" builtinId="9" hidden="1"/>
    <cellStyle name="Gevolgde hyperlink" xfId="2739" builtinId="9" hidden="1"/>
    <cellStyle name="Gevolgde hyperlink" xfId="2741" builtinId="9" hidden="1"/>
    <cellStyle name="Gevolgde hyperlink" xfId="2743" builtinId="9" hidden="1"/>
    <cellStyle name="Gevolgde hyperlink" xfId="2745" builtinId="9" hidden="1"/>
    <cellStyle name="Gevolgde hyperlink" xfId="2747" builtinId="9" hidden="1"/>
    <cellStyle name="Gevolgde hyperlink" xfId="2749" builtinId="9" hidden="1"/>
    <cellStyle name="Gevolgde hyperlink" xfId="2751" builtinId="9" hidden="1"/>
    <cellStyle name="Gevolgde hyperlink" xfId="2753" builtinId="9" hidden="1"/>
    <cellStyle name="Gevolgde hyperlink" xfId="2755" builtinId="9" hidden="1"/>
    <cellStyle name="Gevolgde hyperlink" xfId="2757" builtinId="9" hidden="1"/>
    <cellStyle name="Gevolgde hyperlink" xfId="2759" builtinId="9" hidden="1"/>
    <cellStyle name="Gevolgde hyperlink" xfId="2761" builtinId="9" hidden="1"/>
    <cellStyle name="Gevolgde hyperlink" xfId="2763" builtinId="9" hidden="1"/>
    <cellStyle name="Gevolgde hyperlink" xfId="2765" builtinId="9" hidden="1"/>
    <cellStyle name="Gevolgde hyperlink" xfId="2767" builtinId="9" hidden="1"/>
    <cellStyle name="Gevolgde hyperlink" xfId="2769" builtinId="9" hidden="1"/>
    <cellStyle name="Gevolgde hyperlink" xfId="2771" builtinId="9" hidden="1"/>
    <cellStyle name="Gevolgde hyperlink" xfId="2773" builtinId="9" hidden="1"/>
    <cellStyle name="Gevolgde hyperlink" xfId="2775" builtinId="9" hidden="1"/>
    <cellStyle name="Gevolgde hyperlink" xfId="2777" builtinId="9" hidden="1"/>
    <cellStyle name="Gevolgde hyperlink" xfId="2779" builtinId="9" hidden="1"/>
    <cellStyle name="Gevolgde hyperlink" xfId="2781" builtinId="9" hidden="1"/>
    <cellStyle name="Gevolgde hyperlink" xfId="2783" builtinId="9" hidden="1"/>
    <cellStyle name="Gevolgde hyperlink" xfId="2785" builtinId="9" hidden="1"/>
    <cellStyle name="Gevolgde hyperlink" xfId="2787" builtinId="9" hidden="1"/>
    <cellStyle name="Gevolgde hyperlink" xfId="2789" builtinId="9" hidden="1"/>
    <cellStyle name="Gevolgde hyperlink" xfId="2791" builtinId="9" hidden="1"/>
    <cellStyle name="Gevolgde hyperlink" xfId="2793" builtinId="9" hidden="1"/>
    <cellStyle name="Gevolgde hyperlink" xfId="2795" builtinId="9" hidden="1"/>
    <cellStyle name="Gevolgde hyperlink" xfId="2797" builtinId="9" hidden="1"/>
    <cellStyle name="Gevolgde hyperlink" xfId="2799" builtinId="9" hidden="1"/>
    <cellStyle name="Gevolgde hyperlink" xfId="2801" builtinId="9" hidden="1"/>
    <cellStyle name="Gevolgde hyperlink" xfId="2803" builtinId="9" hidden="1"/>
    <cellStyle name="Gevolgde hyperlink" xfId="2805" builtinId="9" hidden="1"/>
    <cellStyle name="Gevolgde hyperlink" xfId="2807" builtinId="9" hidden="1"/>
    <cellStyle name="Gevolgde hyperlink" xfId="2809" builtinId="9" hidden="1"/>
    <cellStyle name="Gevolgde hyperlink" xfId="2811" builtinId="9" hidden="1"/>
    <cellStyle name="Gevolgde hyperlink" xfId="2813" builtinId="9" hidden="1"/>
    <cellStyle name="Gevolgde hyperlink" xfId="2815" builtinId="9" hidden="1"/>
    <cellStyle name="Gevolgde hyperlink" xfId="2817" builtinId="9" hidden="1"/>
    <cellStyle name="Gevolgde hyperlink" xfId="2819" builtinId="9" hidden="1"/>
    <cellStyle name="Gevolgde hyperlink" xfId="2821" builtinId="9" hidden="1"/>
    <cellStyle name="Gevolgde hyperlink" xfId="2823" builtinId="9" hidden="1"/>
    <cellStyle name="Gevolgde hyperlink" xfId="2825" builtinId="9" hidden="1"/>
    <cellStyle name="Gevolgde hyperlink" xfId="2827" builtinId="9" hidden="1"/>
    <cellStyle name="Gevolgde hyperlink" xfId="2829" builtinId="9" hidden="1"/>
    <cellStyle name="Gevolgde hyperlink" xfId="2831" builtinId="9" hidden="1"/>
    <cellStyle name="Gevolgde hyperlink" xfId="2833" builtinId="9" hidden="1"/>
    <cellStyle name="Gevolgde hyperlink" xfId="2835" builtinId="9" hidden="1"/>
    <cellStyle name="Gevolgde hyperlink" xfId="2837" builtinId="9" hidden="1"/>
    <cellStyle name="Gevolgde hyperlink" xfId="2839" builtinId="9" hidden="1"/>
    <cellStyle name="Gevolgde hyperlink" xfId="2841" builtinId="9" hidden="1"/>
    <cellStyle name="Gevolgde hyperlink" xfId="2843" builtinId="9" hidden="1"/>
    <cellStyle name="Gevolgde hyperlink" xfId="2845" builtinId="9" hidden="1"/>
    <cellStyle name="Gevolgde hyperlink" xfId="2847" builtinId="9" hidden="1"/>
    <cellStyle name="Gevolgde hyperlink" xfId="2849" builtinId="9" hidden="1"/>
    <cellStyle name="Gevolgde hyperlink" xfId="2851" builtinId="9" hidden="1"/>
    <cellStyle name="Gevolgde hyperlink" xfId="2853" builtinId="9" hidden="1"/>
    <cellStyle name="Gevolgde hyperlink" xfId="2855" builtinId="9" hidden="1"/>
    <cellStyle name="Gevolgde hyperlink" xfId="2857" builtinId="9" hidden="1"/>
    <cellStyle name="Gevolgde hyperlink" xfId="2859" builtinId="9" hidden="1"/>
    <cellStyle name="Gevolgde hyperlink" xfId="2861" builtinId="9" hidden="1"/>
    <cellStyle name="Gevolgde hyperlink" xfId="2863" builtinId="9" hidden="1"/>
    <cellStyle name="Gevolgde hyperlink" xfId="2865" builtinId="9" hidden="1"/>
    <cellStyle name="Gevolgde hyperlink" xfId="2867" builtinId="9" hidden="1"/>
    <cellStyle name="Gevolgde hyperlink" xfId="2869" builtinId="9" hidden="1"/>
    <cellStyle name="Gevolgde hyperlink" xfId="2871" builtinId="9" hidden="1"/>
    <cellStyle name="Gevolgde hyperlink" xfId="2873" builtinId="9" hidden="1"/>
    <cellStyle name="Gevolgde hyperlink" xfId="2875" builtinId="9" hidden="1"/>
    <cellStyle name="Gevolgde hyperlink" xfId="2877" builtinId="9" hidden="1"/>
    <cellStyle name="Gevolgde hyperlink" xfId="2879" builtinId="9" hidden="1"/>
    <cellStyle name="Gevolgde hyperlink" xfId="2881" builtinId="9" hidden="1"/>
    <cellStyle name="Gevolgde hyperlink" xfId="2883" builtinId="9" hidden="1"/>
    <cellStyle name="Gevolgde hyperlink" xfId="2885" builtinId="9" hidden="1"/>
    <cellStyle name="Gevolgde hyperlink" xfId="2887" builtinId="9" hidden="1"/>
    <cellStyle name="Gevolgde hyperlink" xfId="2889" builtinId="9" hidden="1"/>
    <cellStyle name="Gevolgde hyperlink" xfId="2891" builtinId="9" hidden="1"/>
    <cellStyle name="Gevolgde hyperlink" xfId="2893" builtinId="9" hidden="1"/>
    <cellStyle name="Gevolgde hyperlink" xfId="2895" builtinId="9" hidden="1"/>
    <cellStyle name="Gevolgde hyperlink" xfId="2897" builtinId="9" hidden="1"/>
    <cellStyle name="Gevolgde hyperlink" xfId="2899" builtinId="9" hidden="1"/>
    <cellStyle name="Gevolgde hyperlink" xfId="2901" builtinId="9" hidden="1"/>
    <cellStyle name="Gevolgde hyperlink" xfId="2903" builtinId="9" hidden="1"/>
    <cellStyle name="Gevolgde hyperlink" xfId="2905" builtinId="9" hidden="1"/>
    <cellStyle name="Gevolgde hyperlink" xfId="2907" builtinId="9" hidden="1"/>
    <cellStyle name="Gevolgde hyperlink" xfId="2909" builtinId="9" hidden="1"/>
    <cellStyle name="Gevolgde hyperlink" xfId="2911" builtinId="9" hidden="1"/>
    <cellStyle name="Gevolgde hyperlink" xfId="2913" builtinId="9" hidden="1"/>
    <cellStyle name="Gevolgde hyperlink" xfId="2915" builtinId="9" hidden="1"/>
    <cellStyle name="Gevolgde hyperlink" xfId="2917" builtinId="9" hidden="1"/>
    <cellStyle name="Gevolgde hyperlink" xfId="2919" builtinId="9" hidden="1"/>
    <cellStyle name="Gevolgde hyperlink" xfId="2921" builtinId="9" hidden="1"/>
    <cellStyle name="Gevolgde hyperlink" xfId="2923" builtinId="9" hidden="1"/>
    <cellStyle name="Gevolgde hyperlink" xfId="2925" builtinId="9" hidden="1"/>
    <cellStyle name="Gevolgde hyperlink" xfId="2927" builtinId="9" hidden="1"/>
    <cellStyle name="Gevolgde hyperlink" xfId="2929" builtinId="9" hidden="1"/>
    <cellStyle name="Gevolgde hyperlink" xfId="2931" builtinId="9" hidden="1"/>
    <cellStyle name="Gevolgde hyperlink" xfId="2933" builtinId="9" hidden="1"/>
    <cellStyle name="Gevolgde hyperlink" xfId="2935" builtinId="9" hidden="1"/>
    <cellStyle name="Gevolgde hyperlink" xfId="2937" builtinId="9" hidden="1"/>
    <cellStyle name="Gevolgde hyperlink" xfId="2939" builtinId="9" hidden="1"/>
    <cellStyle name="Gevolgde hyperlink" xfId="2941" builtinId="9" hidden="1"/>
    <cellStyle name="Gevolgde hyperlink" xfId="2943" builtinId="9" hidden="1"/>
    <cellStyle name="Gevolgde hyperlink" xfId="2945" builtinId="9" hidden="1"/>
    <cellStyle name="Gevolgde hyperlink" xfId="2947" builtinId="9" hidden="1"/>
    <cellStyle name="Gevolgde hyperlink" xfId="2949" builtinId="9" hidden="1"/>
    <cellStyle name="Gevolgde hyperlink" xfId="2951" builtinId="9" hidden="1"/>
    <cellStyle name="Gevolgde hyperlink" xfId="2953" builtinId="9" hidden="1"/>
    <cellStyle name="Gevolgde hyperlink" xfId="2955" builtinId="9" hidden="1"/>
    <cellStyle name="Gevolgde hyperlink" xfId="2957" builtinId="9" hidden="1"/>
    <cellStyle name="Gevolgde hyperlink" xfId="2959" builtinId="9" hidden="1"/>
    <cellStyle name="Gevolgde hyperlink" xfId="2961" builtinId="9" hidden="1"/>
    <cellStyle name="Gevolgde hyperlink" xfId="2963" builtinId="9" hidden="1"/>
    <cellStyle name="Gevolgde hyperlink" xfId="2965" builtinId="9" hidden="1"/>
    <cellStyle name="Gevolgde hyperlink" xfId="2967" builtinId="9" hidden="1"/>
    <cellStyle name="Gevolgde hyperlink" xfId="2969" builtinId="9" hidden="1"/>
    <cellStyle name="Gevolgde hyperlink" xfId="2971" builtinId="9" hidden="1"/>
    <cellStyle name="Gevolgde hyperlink" xfId="2973" builtinId="9" hidden="1"/>
    <cellStyle name="Gevolgde hyperlink" xfId="2975" builtinId="9" hidden="1"/>
    <cellStyle name="Gevolgde hyperlink" xfId="2977" builtinId="9" hidden="1"/>
    <cellStyle name="Gevolgde hyperlink" xfId="2979" builtinId="9" hidden="1"/>
    <cellStyle name="Gevolgde hyperlink" xfId="2981" builtinId="9" hidden="1"/>
    <cellStyle name="Gevolgde hyperlink" xfId="2983" builtinId="9" hidden="1"/>
    <cellStyle name="Gevolgde hyperlink" xfId="2985" builtinId="9" hidden="1"/>
    <cellStyle name="Gevolgde hyperlink" xfId="2987" builtinId="9" hidden="1"/>
    <cellStyle name="Gevolgde hyperlink" xfId="2989" builtinId="9" hidden="1"/>
    <cellStyle name="Gevolgde hyperlink" xfId="2991" builtinId="9" hidden="1"/>
    <cellStyle name="Gevolgde hyperlink" xfId="2993" builtinId="9" hidden="1"/>
    <cellStyle name="Gevolgde hyperlink" xfId="2995" builtinId="9" hidden="1"/>
    <cellStyle name="Gevolgde hyperlink" xfId="2997" builtinId="9" hidden="1"/>
    <cellStyle name="Gevolgde hyperlink" xfId="2999" builtinId="9" hidden="1"/>
    <cellStyle name="Gevolgde hyperlink" xfId="3001" builtinId="9" hidden="1"/>
    <cellStyle name="Gevolgde hyperlink" xfId="3003" builtinId="9" hidden="1"/>
    <cellStyle name="Gevolgde hyperlink" xfId="3005" builtinId="9" hidden="1"/>
    <cellStyle name="Gevolgde hyperlink" xfId="3007" builtinId="9" hidden="1"/>
    <cellStyle name="Gevolgde hyperlink" xfId="3009" builtinId="9" hidden="1"/>
    <cellStyle name="Gevolgde hyperlink" xfId="3011" builtinId="9" hidden="1"/>
    <cellStyle name="Gevolgde hyperlink" xfId="3013" builtinId="9" hidden="1"/>
    <cellStyle name="Gevolgde hyperlink" xfId="3015" builtinId="9" hidden="1"/>
    <cellStyle name="Gevolgde hyperlink" xfId="3017" builtinId="9" hidden="1"/>
    <cellStyle name="Gevolgde hyperlink" xfId="3019" builtinId="9" hidden="1"/>
    <cellStyle name="Gevolgde hyperlink" xfId="3021" builtinId="9" hidden="1"/>
    <cellStyle name="Gevolgde hyperlink" xfId="3023" builtinId="9" hidden="1"/>
    <cellStyle name="Gevolgde hyperlink" xfId="3025" builtinId="9" hidden="1"/>
    <cellStyle name="Gevolgde hyperlink" xfId="3027" builtinId="9" hidden="1"/>
    <cellStyle name="Gevolgde hyperlink" xfId="3029" builtinId="9" hidden="1"/>
    <cellStyle name="Gevolgde hyperlink" xfId="3031" builtinId="9" hidden="1"/>
    <cellStyle name="Gevolgde hyperlink" xfId="3033" builtinId="9" hidden="1"/>
    <cellStyle name="Gevolgde hyperlink" xfId="3035" builtinId="9" hidden="1"/>
    <cellStyle name="Gevolgde hyperlink" xfId="3037" builtinId="9" hidden="1"/>
    <cellStyle name="Gevolgde hyperlink" xfId="3039" builtinId="9" hidden="1"/>
    <cellStyle name="Gevolgde hyperlink" xfId="3041" builtinId="9" hidden="1"/>
    <cellStyle name="Gevolgde hyperlink" xfId="3043" builtinId="9" hidden="1"/>
    <cellStyle name="Gevolgde hyperlink" xfId="3045" builtinId="9" hidden="1"/>
    <cellStyle name="Gevolgde hyperlink" xfId="3047" builtinId="9" hidden="1"/>
    <cellStyle name="Gevolgde hyperlink" xfId="3049" builtinId="9" hidden="1"/>
    <cellStyle name="Gevolgde hyperlink" xfId="3051" builtinId="9" hidden="1"/>
    <cellStyle name="Gevolgde hyperlink" xfId="3053" builtinId="9" hidden="1"/>
    <cellStyle name="Gevolgde hyperlink" xfId="3055" builtinId="9" hidden="1"/>
    <cellStyle name="Gevolgde hyperlink" xfId="3057" builtinId="9" hidden="1"/>
    <cellStyle name="Gevolgde hyperlink" xfId="3059" builtinId="9" hidden="1"/>
    <cellStyle name="Gevolgde hyperlink" xfId="3061" builtinId="9" hidden="1"/>
    <cellStyle name="Gevolgde hyperlink" xfId="3063" builtinId="9" hidden="1"/>
    <cellStyle name="Gevolgde hyperlink" xfId="3065" builtinId="9" hidden="1"/>
    <cellStyle name="Gevolgde hyperlink" xfId="3067" builtinId="9" hidden="1"/>
    <cellStyle name="Gevolgde hyperlink" xfId="3069" builtinId="9" hidden="1"/>
    <cellStyle name="Gevolgde hyperlink" xfId="3071" builtinId="9" hidden="1"/>
    <cellStyle name="Gevolgde hyperlink" xfId="3073" builtinId="9" hidden="1"/>
    <cellStyle name="Gevolgde hyperlink" xfId="3075" builtinId="9" hidden="1"/>
    <cellStyle name="Gevolgde hyperlink" xfId="3077" builtinId="9" hidden="1"/>
    <cellStyle name="Gevolgde hyperlink" xfId="3079" builtinId="9" hidden="1"/>
    <cellStyle name="Gevolgde hyperlink" xfId="3081" builtinId="9" hidden="1"/>
    <cellStyle name="Gevolgde hyperlink" xfId="3083" builtinId="9" hidden="1"/>
    <cellStyle name="Gevolgde hyperlink" xfId="3085" builtinId="9" hidden="1"/>
    <cellStyle name="Gevolgde hyperlink" xfId="3087" builtinId="9" hidden="1"/>
    <cellStyle name="Gevolgde hyperlink" xfId="3089" builtinId="9" hidden="1"/>
    <cellStyle name="Gevolgde hyperlink" xfId="3091" builtinId="9" hidden="1"/>
    <cellStyle name="Gevolgde hyperlink" xfId="3093" builtinId="9" hidden="1"/>
    <cellStyle name="Gevolgde hyperlink" xfId="3095" builtinId="9" hidden="1"/>
    <cellStyle name="Gevolgde hyperlink" xfId="3097" builtinId="9" hidden="1"/>
    <cellStyle name="Gevolgde hyperlink" xfId="3099" builtinId="9" hidden="1"/>
    <cellStyle name="Gevolgde hyperlink" xfId="3101" builtinId="9" hidden="1"/>
    <cellStyle name="Gevolgde hyperlink" xfId="3103" builtinId="9" hidden="1"/>
    <cellStyle name="Gevolgde hyperlink" xfId="3105" builtinId="9" hidden="1"/>
    <cellStyle name="Gevolgde hyperlink" xfId="3107" builtinId="9" hidden="1"/>
    <cellStyle name="Gevolgde hyperlink" xfId="3109" builtinId="9" hidden="1"/>
    <cellStyle name="Gevolgde hyperlink" xfId="3111" builtinId="9" hidden="1"/>
    <cellStyle name="Gevolgde hyperlink" xfId="3113" builtinId="9" hidden="1"/>
    <cellStyle name="Gevolgde hyperlink" xfId="3115" builtinId="9" hidden="1"/>
    <cellStyle name="Gevolgde hyperlink" xfId="3117" builtinId="9" hidden="1"/>
    <cellStyle name="Gevolgde hyperlink" xfId="3119" builtinId="9" hidden="1"/>
    <cellStyle name="Gevolgde hyperlink" xfId="3121" builtinId="9" hidden="1"/>
    <cellStyle name="Gevolgde hyperlink" xfId="3123" builtinId="9" hidden="1"/>
    <cellStyle name="Gevolgde hyperlink" xfId="3125" builtinId="9" hidden="1"/>
    <cellStyle name="Gevolgde hyperlink" xfId="3127" builtinId="9" hidden="1"/>
    <cellStyle name="Gevolgde hyperlink" xfId="3129" builtinId="9" hidden="1"/>
    <cellStyle name="Gevolgde hyperlink" xfId="3131" builtinId="9" hidden="1"/>
    <cellStyle name="Gevolgde hyperlink" xfId="3133" builtinId="9" hidden="1"/>
    <cellStyle name="Gevolgde hyperlink" xfId="3135" builtinId="9" hidden="1"/>
    <cellStyle name="Gevolgde hyperlink" xfId="3137" builtinId="9" hidden="1"/>
    <cellStyle name="Gevolgde hyperlink" xfId="3139" builtinId="9" hidden="1"/>
    <cellStyle name="Gevolgde hyperlink" xfId="3141" builtinId="9" hidden="1"/>
    <cellStyle name="Gevolgde hyperlink" xfId="3143" builtinId="9" hidden="1"/>
    <cellStyle name="Gevolgde hyperlink" xfId="3145" builtinId="9" hidden="1"/>
    <cellStyle name="Gevolgde hyperlink" xfId="3147" builtinId="9" hidden="1"/>
    <cellStyle name="Gevolgde hyperlink" xfId="3149" builtinId="9" hidden="1"/>
    <cellStyle name="Gevolgde hyperlink" xfId="3151" builtinId="9" hidden="1"/>
    <cellStyle name="Gevolgde hyperlink" xfId="3153" builtinId="9" hidden="1"/>
    <cellStyle name="Gevolgde hyperlink" xfId="3155" builtinId="9" hidden="1"/>
    <cellStyle name="Gevolgde hyperlink" xfId="3157" builtinId="9" hidden="1"/>
    <cellStyle name="Gevolgde hyperlink" xfId="3159" builtinId="9" hidden="1"/>
    <cellStyle name="Gevolgde hyperlink" xfId="3161" builtinId="9" hidden="1"/>
    <cellStyle name="Gevolgde hyperlink" xfId="3163" builtinId="9" hidden="1"/>
    <cellStyle name="Gevolgde hyperlink" xfId="3165" builtinId="9" hidden="1"/>
    <cellStyle name="Gevolgde hyperlink" xfId="3167" builtinId="9" hidden="1"/>
    <cellStyle name="Gevolgde hyperlink" xfId="3169" builtinId="9" hidden="1"/>
    <cellStyle name="Gevolgde hyperlink" xfId="3171" builtinId="9" hidden="1"/>
    <cellStyle name="Gevolgde hyperlink" xfId="3173" builtinId="9" hidden="1"/>
    <cellStyle name="Gevolgde hyperlink" xfId="3175" builtinId="9" hidden="1"/>
    <cellStyle name="Gevolgde hyperlink" xfId="3177" builtinId="9" hidden="1"/>
    <cellStyle name="Gevolgde hyperlink" xfId="3179" builtinId="9" hidden="1"/>
    <cellStyle name="Gevolgde hyperlink" xfId="3181" builtinId="9" hidden="1"/>
    <cellStyle name="Gevolgde hyperlink" xfId="3183" builtinId="9" hidden="1"/>
    <cellStyle name="Gevolgde hyperlink" xfId="3185" builtinId="9" hidden="1"/>
    <cellStyle name="Gevolgde hyperlink" xfId="3187" builtinId="9" hidden="1"/>
    <cellStyle name="Gevolgde hyperlink" xfId="3189" builtinId="9" hidden="1"/>
    <cellStyle name="Gevolgde hyperlink" xfId="3191" builtinId="9" hidden="1"/>
    <cellStyle name="Gevolgde hyperlink" xfId="3193" builtinId="9" hidden="1"/>
    <cellStyle name="Gevolgde hyperlink" xfId="3195" builtinId="9" hidden="1"/>
    <cellStyle name="Gevolgde hyperlink" xfId="3197" builtinId="9" hidden="1"/>
    <cellStyle name="Gevolgde hyperlink" xfId="3199" builtinId="9" hidden="1"/>
    <cellStyle name="Gevolgde hyperlink" xfId="3201" builtinId="9" hidden="1"/>
    <cellStyle name="Gevolgde hyperlink" xfId="3203" builtinId="9" hidden="1"/>
    <cellStyle name="Gevolgde hyperlink" xfId="3205" builtinId="9" hidden="1"/>
    <cellStyle name="Gevolgde hyperlink" xfId="3207" builtinId="9" hidden="1"/>
    <cellStyle name="Gevolgde hyperlink" xfId="3209" builtinId="9" hidden="1"/>
    <cellStyle name="Gevolgde hyperlink" xfId="3211" builtinId="9" hidden="1"/>
    <cellStyle name="Gevolgde hyperlink" xfId="3213" builtinId="9" hidden="1"/>
    <cellStyle name="Gevolgde hyperlink" xfId="3215" builtinId="9" hidden="1"/>
    <cellStyle name="Gevolgde hyperlink" xfId="3217" builtinId="9" hidden="1"/>
    <cellStyle name="Gevolgde hyperlink" xfId="3219" builtinId="9" hidden="1"/>
    <cellStyle name="Gevolgde hyperlink" xfId="3221" builtinId="9" hidden="1"/>
    <cellStyle name="Gevolgde hyperlink" xfId="3223" builtinId="9" hidden="1"/>
    <cellStyle name="Gevolgde hyperlink" xfId="3225" builtinId="9" hidden="1"/>
    <cellStyle name="Gevolgde hyperlink" xfId="3227" builtinId="9" hidden="1"/>
    <cellStyle name="Gevolgde hyperlink" xfId="3229" builtinId="9" hidden="1"/>
    <cellStyle name="Gevolgde hyperlink" xfId="3231" builtinId="9" hidden="1"/>
    <cellStyle name="Gevolgde hyperlink" xfId="3233" builtinId="9" hidden="1"/>
    <cellStyle name="Gevolgde hyperlink" xfId="3235" builtinId="9" hidden="1"/>
    <cellStyle name="Gevolgde hyperlink" xfId="3237" builtinId="9" hidden="1"/>
    <cellStyle name="Gevolgde hyperlink" xfId="3239" builtinId="9" hidden="1"/>
    <cellStyle name="Gevolgde hyperlink" xfId="3241" builtinId="9" hidden="1"/>
    <cellStyle name="Gevolgde hyperlink" xfId="3243" builtinId="9" hidden="1"/>
    <cellStyle name="Gevolgde hyperlink" xfId="3245" builtinId="9" hidden="1"/>
    <cellStyle name="Gevolgde hyperlink" xfId="3247" builtinId="9" hidden="1"/>
    <cellStyle name="Gevolgde hyperlink" xfId="3249" builtinId="9" hidden="1"/>
    <cellStyle name="Gevolgde hyperlink" xfId="3251" builtinId="9" hidden="1"/>
    <cellStyle name="Gevolgde hyperlink" xfId="3253" builtinId="9" hidden="1"/>
    <cellStyle name="Gevolgde hyperlink" xfId="3255" builtinId="9" hidden="1"/>
    <cellStyle name="Gevolgde hyperlink" xfId="3257" builtinId="9" hidden="1"/>
    <cellStyle name="Gevolgde hyperlink" xfId="3259" builtinId="9" hidden="1"/>
    <cellStyle name="Gevolgde hyperlink" xfId="3261" builtinId="9" hidden="1"/>
    <cellStyle name="Gevolgde hyperlink" xfId="3263" builtinId="9" hidden="1"/>
    <cellStyle name="Gevolgde hyperlink" xfId="3265" builtinId="9" hidden="1"/>
    <cellStyle name="Gevolgde hyperlink" xfId="3267" builtinId="9" hidden="1"/>
    <cellStyle name="Gevolgde hyperlink" xfId="3269" builtinId="9" hidden="1"/>
    <cellStyle name="Gevolgde hyperlink" xfId="3271" builtinId="9" hidden="1"/>
    <cellStyle name="Gevolgde hyperlink" xfId="3273" builtinId="9" hidden="1"/>
    <cellStyle name="Gevolgde hyperlink" xfId="3275" builtinId="9" hidden="1"/>
    <cellStyle name="Gevolgde hyperlink" xfId="3277" builtinId="9" hidden="1"/>
    <cellStyle name="Gevolgde hyperlink" xfId="3279" builtinId="9" hidden="1"/>
    <cellStyle name="Gevolgde hyperlink" xfId="3281" builtinId="9" hidden="1"/>
    <cellStyle name="Gevolgde hyperlink" xfId="3283" builtinId="9" hidden="1"/>
    <cellStyle name="Gevolgde hyperlink" xfId="3285" builtinId="9" hidden="1"/>
    <cellStyle name="Gevolgde hyperlink" xfId="3287" builtinId="9" hidden="1"/>
    <cellStyle name="Gevolgde hyperlink" xfId="3289" builtinId="9" hidden="1"/>
    <cellStyle name="Gevolgde hyperlink" xfId="3291" builtinId="9" hidden="1"/>
    <cellStyle name="Gevolgde hyperlink" xfId="3293" builtinId="9" hidden="1"/>
    <cellStyle name="Gevolgde hyperlink" xfId="3295" builtinId="9" hidden="1"/>
    <cellStyle name="Gevolgde hyperlink" xfId="3297" builtinId="9" hidden="1"/>
    <cellStyle name="Gevolgde hyperlink" xfId="3299" builtinId="9" hidden="1"/>
    <cellStyle name="Gevolgde hyperlink" xfId="3301" builtinId="9" hidden="1"/>
    <cellStyle name="Gevolgde hyperlink" xfId="3303" builtinId="9" hidden="1"/>
    <cellStyle name="Gevolgde hyperlink" xfId="3305" builtinId="9" hidden="1"/>
    <cellStyle name="Gevolgde hyperlink" xfId="3307" builtinId="9" hidden="1"/>
    <cellStyle name="Gevolgde hyperlink" xfId="3309" builtinId="9" hidden="1"/>
    <cellStyle name="Gevolgde hyperlink" xfId="3311" builtinId="9" hidden="1"/>
    <cellStyle name="Gevolgde hyperlink" xfId="3313" builtinId="9" hidden="1"/>
    <cellStyle name="Gevolgde hyperlink" xfId="3315" builtinId="9" hidden="1"/>
    <cellStyle name="Gevolgde hyperlink" xfId="3317" builtinId="9" hidden="1"/>
    <cellStyle name="Gevolgde hyperlink" xfId="3319" builtinId="9" hidden="1"/>
    <cellStyle name="Gevolgde hyperlink" xfId="3321" builtinId="9" hidden="1"/>
    <cellStyle name="Gevolgde hyperlink" xfId="3323" builtinId="9" hidden="1"/>
    <cellStyle name="Gevolgde hyperlink" xfId="3325" builtinId="9" hidden="1"/>
    <cellStyle name="Goed" xfId="9" xr:uid="{00000000-0005-0000-0000-000068060000}"/>
    <cellStyle name="Goed 2" xfId="2558" xr:uid="{00000000-0005-0000-0000-000069060000}"/>
    <cellStyle name="Good" xfId="2559" xr:uid="{00000000-0005-0000-0000-00006A060000}"/>
    <cellStyle name="Heading 1" xfId="2560" xr:uid="{00000000-0005-0000-0000-00006B060000}"/>
    <cellStyle name="Heading 2" xfId="2561" xr:uid="{00000000-0005-0000-0000-00006C060000}"/>
    <cellStyle name="Heading 3" xfId="2562" xr:uid="{00000000-0005-0000-0000-00006D060000}"/>
    <cellStyle name="Heading 4" xfId="2563" xr:uid="{00000000-0005-0000-0000-00006E060000}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2" builtinId="8" hidden="1"/>
    <cellStyle name="Hyperlink" xfId="2514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 2" xfId="2564" xr:uid="{00000000-0005-0000-0000-0000A70C0000}"/>
    <cellStyle name="Input" xfId="2565" xr:uid="{00000000-0005-0000-0000-0000A80C0000}"/>
    <cellStyle name="Invoer 2" xfId="2566" xr:uid="{00000000-0005-0000-0000-0000A90C0000}"/>
    <cellStyle name="Komma" xfId="10" builtinId="3"/>
    <cellStyle name="Komma 2" xfId="2567" xr:uid="{00000000-0005-0000-0000-0000AC0C0000}"/>
    <cellStyle name="Komma0" xfId="2568" xr:uid="{00000000-0005-0000-0000-0000AD0C0000}"/>
    <cellStyle name="kop" xfId="11" xr:uid="{00000000-0005-0000-0000-0000AE0C0000}"/>
    <cellStyle name="Kop 1 2" xfId="2569" xr:uid="{00000000-0005-0000-0000-0000AF0C0000}"/>
    <cellStyle name="Kop 2 2" xfId="2570" xr:uid="{00000000-0005-0000-0000-0000B00C0000}"/>
    <cellStyle name="Kop 3 2" xfId="2571" xr:uid="{00000000-0005-0000-0000-0000B10C0000}"/>
    <cellStyle name="Kop 4 2" xfId="2572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3" xr:uid="{00000000-0005-0000-0000-0000B50C0000}"/>
    <cellStyle name="m2" xfId="14" xr:uid="{00000000-0005-0000-0000-0000B60C0000}"/>
    <cellStyle name="Neutraal" xfId="15" xr:uid="{00000000-0005-0000-0000-0000B70C0000}"/>
    <cellStyle name="Neutraal 2" xfId="2574" xr:uid="{00000000-0005-0000-0000-0000B80C0000}"/>
    <cellStyle name="Neutral" xfId="2575" xr:uid="{00000000-0005-0000-0000-0000B90C0000}"/>
    <cellStyle name="Normaal 2" xfId="2511" xr:uid="{00000000-0005-0000-0000-0000BB0C0000}"/>
    <cellStyle name="Normaal 3" xfId="2516" xr:uid="{00000000-0005-0000-0000-0000BC0C0000}"/>
    <cellStyle name="Normaal 4" xfId="2576" xr:uid="{00000000-0005-0000-0000-0000BD0C0000}"/>
    <cellStyle name="Normal_ KLM-CTR(STA)-Recap.xls" xfId="16" xr:uid="{00000000-0005-0000-0000-0000BE0C0000}"/>
    <cellStyle name="Normal_AFRPPRIJS.xls" xfId="17" xr:uid="{00000000-0005-0000-0000-0000C00C0000}"/>
    <cellStyle name="Normal_ATIR-Calc-Uurtarief 2001" xfId="18" xr:uid="{00000000-0005-0000-0000-0000C10C0000}"/>
    <cellStyle name="Normal_CALCULATIEBLAD.XLS" xfId="19" xr:uid="{00000000-0005-0000-0000-0000C20C0000}"/>
    <cellStyle name="Normal_GH-Calc_perceel_1_en_2.xls" xfId="20" xr:uid="{00000000-0005-0000-0000-0000C30C0000}"/>
    <cellStyle name="Normal_GH-Calc_perceel_1_en_2.xls 2" xfId="3327" xr:uid="{506EE6C4-0FEC-3745-8C8B-2EE313FB7477}"/>
    <cellStyle name="Normal_MACHINEKST.xls" xfId="21" xr:uid="{00000000-0005-0000-0000-0000C50C0000}"/>
    <cellStyle name="Normal_schoonmaaktot.xls" xfId="22" xr:uid="{00000000-0005-0000-0000-0000C70C0000}"/>
    <cellStyle name="Normal_Uurtarieven 2000 LEVERANCIER" xfId="23" xr:uid="{00000000-0005-0000-0000-0000C80C0000}"/>
    <cellStyle name="Normal_Workbook1_AFRPPRIJS.xls" xfId="24" xr:uid="{00000000-0005-0000-0000-0000C90C0000}"/>
    <cellStyle name="Note" xfId="2577" xr:uid="{00000000-0005-0000-0000-0000CA0C0000}"/>
    <cellStyle name="Note 2" xfId="2578" xr:uid="{00000000-0005-0000-0000-0000CB0C0000}"/>
    <cellStyle name="Note_1.3-Basis ruimtestaat" xfId="2579" xr:uid="{00000000-0005-0000-0000-0000CC0C0000}"/>
    <cellStyle name="Notitie 2" xfId="2580" xr:uid="{00000000-0005-0000-0000-0000CD0C0000}"/>
    <cellStyle name="Ongedefinieerd" xfId="25" xr:uid="{00000000-0005-0000-0000-0000CE0C0000}"/>
    <cellStyle name="Ongeldig 2" xfId="2581" xr:uid="{00000000-0005-0000-0000-0000CF0C0000}"/>
    <cellStyle name="Output" xfId="2582" xr:uid="{00000000-0005-0000-0000-0000D00C0000}"/>
    <cellStyle name="Procent" xfId="26" builtinId="5"/>
    <cellStyle name="Procent 2" xfId="2517" xr:uid="{00000000-0005-0000-0000-0000D20C0000}"/>
    <cellStyle name="Procent 2 2" xfId="2583" xr:uid="{00000000-0005-0000-0000-0000D30C0000}"/>
    <cellStyle name="Procent 2 3" xfId="2584" xr:uid="{00000000-0005-0000-0000-0000D40C0000}"/>
    <cellStyle name="Procent 2 4" xfId="3330" xr:uid="{36EDFA12-488F-884E-946A-6E8E14137617}"/>
    <cellStyle name="Procent 3" xfId="2585" xr:uid="{00000000-0005-0000-0000-0000D50C0000}"/>
    <cellStyle name="Procent 3 2" xfId="2586" xr:uid="{00000000-0005-0000-0000-0000D60C0000}"/>
    <cellStyle name="Procent 4" xfId="2587" xr:uid="{00000000-0005-0000-0000-0000D70C0000}"/>
    <cellStyle name="Procent 4 2" xfId="2588" xr:uid="{00000000-0005-0000-0000-0000D80C0000}"/>
    <cellStyle name="Procent 5" xfId="2589" xr:uid="{00000000-0005-0000-0000-0000D90C0000}"/>
    <cellStyle name="Ruimtestaat_Koppen" xfId="27" xr:uid="{00000000-0005-0000-0000-0000DA0C0000}"/>
    <cellStyle name="Standaard" xfId="0" builtinId="0"/>
    <cellStyle name="Standaard 10" xfId="2590" xr:uid="{00000000-0005-0000-0000-0000DB0C0000}"/>
    <cellStyle name="Standaard 11" xfId="2591" xr:uid="{00000000-0005-0000-0000-0000DC0C0000}"/>
    <cellStyle name="Standaard 11 2" xfId="2592" xr:uid="{00000000-0005-0000-0000-0000DD0C0000}"/>
    <cellStyle name="Standaard 12" xfId="2593" xr:uid="{00000000-0005-0000-0000-0000DE0C0000}"/>
    <cellStyle name="Standaard 13" xfId="2594" xr:uid="{00000000-0005-0000-0000-0000DF0C0000}"/>
    <cellStyle name="Standaard 14" xfId="3326" xr:uid="{657A85D1-B4A8-5E43-BBDF-81C8D89D9809}"/>
    <cellStyle name="Standaard 15" xfId="3329" xr:uid="{FB2D81FC-2D8A-B644-89CF-9584FF7B0086}"/>
    <cellStyle name="Standaard 16" xfId="3328" xr:uid="{1931E60C-0645-ED49-8B48-1FF66EF630D2}"/>
    <cellStyle name="Standaard 17" xfId="3332" xr:uid="{0A909932-2E0E-4FFD-A701-CDB4175931B5}"/>
    <cellStyle name="Standaard 2" xfId="2595" xr:uid="{00000000-0005-0000-0000-0000E00C0000}"/>
    <cellStyle name="Standaard 2 2" xfId="2596" xr:uid="{00000000-0005-0000-0000-0000E10C0000}"/>
    <cellStyle name="Standaard 2_1.3a-Voorbewerking" xfId="2597" xr:uid="{00000000-0005-0000-0000-0000E20C0000}"/>
    <cellStyle name="Standaard 3" xfId="2598" xr:uid="{00000000-0005-0000-0000-0000E30C0000}"/>
    <cellStyle name="Standaard 3 2" xfId="2599" xr:uid="{00000000-0005-0000-0000-0000E40C0000}"/>
    <cellStyle name="Standaard 4" xfId="2600" xr:uid="{00000000-0005-0000-0000-0000E50C0000}"/>
    <cellStyle name="Standaard 4 2" xfId="2601" xr:uid="{00000000-0005-0000-0000-0000E60C0000}"/>
    <cellStyle name="Standaard 5" xfId="2602" xr:uid="{00000000-0005-0000-0000-0000E70C0000}"/>
    <cellStyle name="Standaard 5 2" xfId="2603" xr:uid="{00000000-0005-0000-0000-0000E80C0000}"/>
    <cellStyle name="Standaard 6" xfId="2604" xr:uid="{00000000-0005-0000-0000-0000E90C0000}"/>
    <cellStyle name="Standaard 6 2" xfId="2605" xr:uid="{00000000-0005-0000-0000-0000EA0C0000}"/>
    <cellStyle name="Standaard 7" xfId="2606" xr:uid="{00000000-0005-0000-0000-0000EB0C0000}"/>
    <cellStyle name="Standaard 7 2" xfId="2607" xr:uid="{00000000-0005-0000-0000-0000EC0C0000}"/>
    <cellStyle name="Standaard 8" xfId="2608" xr:uid="{00000000-0005-0000-0000-0000ED0C0000}"/>
    <cellStyle name="Standaard 9" xfId="2609" xr:uid="{00000000-0005-0000-0000-0000EE0C0000}"/>
    <cellStyle name="Standaard 9 2" xfId="2610" xr:uid="{00000000-0005-0000-0000-0000EF0C0000}"/>
    <cellStyle name="Standaard_Blad1" xfId="28" xr:uid="{00000000-0005-0000-0000-0000F00C0000}"/>
    <cellStyle name="Titel" xfId="29" xr:uid="{00000000-0005-0000-0000-0000F10C0000}"/>
    <cellStyle name="Titel 2" xfId="2611" xr:uid="{00000000-0005-0000-0000-0000F20C0000}"/>
    <cellStyle name="Title" xfId="2612" xr:uid="{00000000-0005-0000-0000-0000F30C0000}"/>
    <cellStyle name="Totaal" xfId="30" xr:uid="{00000000-0005-0000-0000-0000F40C0000}"/>
    <cellStyle name="Totaal 2" xfId="2613" xr:uid="{00000000-0005-0000-0000-0000F50C0000}"/>
    <cellStyle name="Total" xfId="2614" xr:uid="{00000000-0005-0000-0000-0000F60C0000}"/>
    <cellStyle name="Uitvoer 2" xfId="2615" xr:uid="{00000000-0005-0000-0000-0000F70C0000}"/>
    <cellStyle name="Valuta" xfId="31" builtinId="4"/>
    <cellStyle name="Valuta 2" xfId="2616" xr:uid="{00000000-0005-0000-0000-0000F90C0000}"/>
    <cellStyle name="Valuta 2 2" xfId="2617" xr:uid="{00000000-0005-0000-0000-0000FA0C0000}"/>
    <cellStyle name="Valuta 2 3" xfId="2618" xr:uid="{00000000-0005-0000-0000-0000FB0C0000}"/>
    <cellStyle name="Valuta 3" xfId="2619" xr:uid="{00000000-0005-0000-0000-0000FC0C0000}"/>
    <cellStyle name="Valuta 3 2" xfId="3331" xr:uid="{5453A939-70CC-5E4C-9850-594A154A3F3E}"/>
    <cellStyle name="Valuta0" xfId="2620" xr:uid="{00000000-0005-0000-0000-0000FD0C0000}"/>
    <cellStyle name="Verklarende tekst 2" xfId="2621" xr:uid="{00000000-0005-0000-0000-0000FE0C0000}"/>
    <cellStyle name="Waarschuwingstekst" xfId="32" xr:uid="{00000000-0005-0000-0000-0000FF0C0000}"/>
    <cellStyle name="Waarschuwingstekst 2" xfId="2622" xr:uid="{00000000-0005-0000-0000-0000000D0000}"/>
    <cellStyle name="Warning Text" xfId="2623" xr:uid="{00000000-0005-0000-0000-0000010D0000}"/>
  </cellStyles>
  <dxfs count="181"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rgb="FFFBE7CE"/>
          <bgColor rgb="FF00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4BA47"/>
      <color rgb="FF54637B"/>
      <color rgb="FFFCFDF9"/>
      <color rgb="FF445165"/>
      <color rgb="FF455266"/>
      <color rgb="FF424242"/>
      <color rgb="FF407879"/>
      <color rgb="FF78A742"/>
      <color rgb="FFA9A879"/>
      <color rgb="FFD7A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76200</xdr:colOff>
      <xdr:row>24</xdr:row>
      <xdr:rowOff>0</xdr:rowOff>
    </xdr:from>
    <xdr:to>
      <xdr:col>13</xdr:col>
      <xdr:colOff>0</xdr:colOff>
      <xdr:row>25</xdr:row>
      <xdr:rowOff>76200</xdr:rowOff>
    </xdr:to>
    <xdr:sp macro="" textlink="">
      <xdr:nvSpPr>
        <xdr:cNvPr id="5" name="Pijl link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16205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3632290" cy="3073400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515882" cy="933076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93800" y="1270000"/>
          <a:ext cx="2515882" cy="9330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Avenir Book" panose="02000503020000020003" pitchFamily="2" charset="0"/>
              <a:cs typeface="Verdana"/>
            </a:rPr>
            <a:t>Handleiding </a:t>
          </a:r>
        </a:p>
        <a:p>
          <a:r>
            <a:rPr lang="nl-NL" sz="2400">
              <a:latin typeface="Avenir Book" panose="02000503020000020003" pitchFamily="2" charset="0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759918</xdr:colOff>
      <xdr:row>54</xdr:row>
      <xdr:rowOff>93689</xdr:rowOff>
    </xdr:from>
    <xdr:to>
      <xdr:col>10</xdr:col>
      <xdr:colOff>305424</xdr:colOff>
      <xdr:row>58</xdr:row>
      <xdr:rowOff>62459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410D66B-4398-0D42-BD93-1BD793C7340D}"/>
            </a:ext>
          </a:extLst>
        </xdr:cNvPr>
        <xdr:cNvSpPr/>
      </xdr:nvSpPr>
      <xdr:spPr bwMode="auto">
        <a:xfrm>
          <a:off x="7411803" y="10805410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759918</xdr:colOff>
      <xdr:row>77</xdr:row>
      <xdr:rowOff>93689</xdr:rowOff>
    </xdr:from>
    <xdr:to>
      <xdr:col>10</xdr:col>
      <xdr:colOff>305424</xdr:colOff>
      <xdr:row>81</xdr:row>
      <xdr:rowOff>62459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5A469482-48CE-A349-B865-226CA7C390FB}"/>
            </a:ext>
          </a:extLst>
        </xdr:cNvPr>
        <xdr:cNvSpPr/>
      </xdr:nvSpPr>
      <xdr:spPr bwMode="auto">
        <a:xfrm>
          <a:off x="7411803" y="11148935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155511</xdr:colOff>
      <xdr:row>51</xdr:row>
      <xdr:rowOff>114300</xdr:rowOff>
    </xdr:from>
    <xdr:to>
      <xdr:col>13</xdr:col>
      <xdr:colOff>25919</xdr:colOff>
      <xdr:row>56</xdr:row>
      <xdr:rowOff>165100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7E86FD2-5500-1240-9247-08516A7E0537}"/>
            </a:ext>
          </a:extLst>
        </xdr:cNvPr>
        <xdr:cNvSpPr/>
      </xdr:nvSpPr>
      <xdr:spPr bwMode="auto">
        <a:xfrm>
          <a:off x="2941735" y="21237769"/>
          <a:ext cx="17002449" cy="685800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K:/C:/C/Users/r.sakko/AppData/Local/Microsoft/Windows/INetCache/Content.Outlook/U4RJF6YL/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piet/Documents/%20%20ICCA/Dashboard/01.%20SPURD/02.%202018/01.%20SPURD%20gym/01.%20HSO/02.%20Contractmodule/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Victoria%20Calculatiemodel%20P2%20V1%2001%20ju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3 (3)"/>
      <sheetName val="Blad3 (2)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rugblik">
  <a:themeElements>
    <a:clrScheme name="Terugblik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Terugblik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rugblik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topLeftCell="A98" workbookViewId="0"/>
  </sheetViews>
  <sheetFormatPr baseColWidth="10" defaultColWidth="10.796875" defaultRowHeight="15"/>
  <cols>
    <col min="1" max="1" width="10.796875" style="305"/>
    <col min="2" max="2" width="14" style="305" customWidth="1"/>
    <col min="3" max="5" width="10.796875" style="305"/>
    <col min="6" max="6" width="18.796875" style="518" customWidth="1"/>
    <col min="7" max="7" width="23.19921875" style="305" customWidth="1"/>
    <col min="8" max="9" width="10.796875" style="305"/>
    <col min="10" max="10" width="23.19921875" style="305" customWidth="1"/>
    <col min="11" max="11" width="15.19921875" style="305" customWidth="1"/>
    <col min="12" max="13" width="10.796875" style="305"/>
    <col min="14" max="14" width="13.796875" style="305" customWidth="1"/>
    <col min="15" max="15" width="32.796875" style="305" customWidth="1"/>
    <col min="16" max="16384" width="10.796875" style="305"/>
  </cols>
  <sheetData>
    <row r="3" spans="6:15">
      <c r="F3" s="517" t="s">
        <v>146</v>
      </c>
      <c r="J3" s="517" t="s">
        <v>147</v>
      </c>
      <c r="N3" s="517" t="s">
        <v>148</v>
      </c>
    </row>
    <row r="4" spans="6:15" ht="13" customHeight="1">
      <c r="J4" s="518"/>
      <c r="N4" s="519"/>
    </row>
    <row r="5" spans="6:15" ht="16" customHeight="1">
      <c r="F5" s="793" t="s">
        <v>166</v>
      </c>
      <c r="G5" s="794"/>
      <c r="J5" s="793" t="s">
        <v>167</v>
      </c>
      <c r="K5" s="794"/>
      <c r="N5" s="793" t="s">
        <v>168</v>
      </c>
      <c r="O5" s="794"/>
    </row>
    <row r="6" spans="6:15" ht="16" customHeight="1">
      <c r="F6" s="795"/>
      <c r="G6" s="796"/>
      <c r="J6" s="795"/>
      <c r="K6" s="796"/>
      <c r="N6" s="795"/>
      <c r="O6" s="796"/>
    </row>
    <row r="7" spans="6:15" ht="16" customHeight="1">
      <c r="F7" s="795"/>
      <c r="G7" s="796"/>
      <c r="J7" s="795"/>
      <c r="K7" s="796"/>
      <c r="N7" s="795"/>
      <c r="O7" s="796"/>
    </row>
    <row r="8" spans="6:15" ht="16" customHeight="1">
      <c r="F8" s="795"/>
      <c r="G8" s="796"/>
      <c r="J8" s="795"/>
      <c r="K8" s="796"/>
      <c r="N8" s="795"/>
      <c r="O8" s="796"/>
    </row>
    <row r="9" spans="6:15" ht="16" customHeight="1">
      <c r="F9" s="795"/>
      <c r="G9" s="796"/>
      <c r="J9" s="795"/>
      <c r="K9" s="796"/>
      <c r="N9" s="795"/>
      <c r="O9" s="796"/>
    </row>
    <row r="10" spans="6:15" ht="16" customHeight="1">
      <c r="F10" s="795"/>
      <c r="G10" s="796"/>
      <c r="J10" s="795"/>
      <c r="K10" s="796"/>
      <c r="N10" s="795"/>
      <c r="O10" s="796"/>
    </row>
    <row r="11" spans="6:15" ht="16" customHeight="1">
      <c r="F11" s="795"/>
      <c r="G11" s="796"/>
      <c r="J11" s="795"/>
      <c r="K11" s="796"/>
      <c r="N11" s="795"/>
      <c r="O11" s="796"/>
    </row>
    <row r="12" spans="6:15" ht="16" customHeight="1">
      <c r="F12" s="795"/>
      <c r="G12" s="796"/>
      <c r="J12" s="795"/>
      <c r="K12" s="796"/>
      <c r="N12" s="795"/>
      <c r="O12" s="796"/>
    </row>
    <row r="13" spans="6:15" ht="16" customHeight="1">
      <c r="F13" s="795"/>
      <c r="G13" s="796"/>
      <c r="J13" s="795"/>
      <c r="K13" s="796"/>
      <c r="N13" s="795"/>
      <c r="O13" s="796"/>
    </row>
    <row r="14" spans="6:15" ht="16" customHeight="1">
      <c r="F14" s="795"/>
      <c r="G14" s="796"/>
      <c r="J14" s="795"/>
      <c r="K14" s="796"/>
      <c r="N14" s="795"/>
      <c r="O14" s="796"/>
    </row>
    <row r="15" spans="6:15" ht="16" customHeight="1">
      <c r="F15" s="797"/>
      <c r="G15" s="798"/>
      <c r="J15" s="797"/>
      <c r="K15" s="798"/>
      <c r="N15" s="797"/>
      <c r="O15" s="798"/>
    </row>
    <row r="19" spans="2:15">
      <c r="B19" s="305" t="s">
        <v>169</v>
      </c>
      <c r="F19" s="517" t="s">
        <v>279</v>
      </c>
      <c r="J19" s="517" t="s">
        <v>149</v>
      </c>
      <c r="N19" s="517" t="s">
        <v>150</v>
      </c>
    </row>
    <row r="20" spans="2:15">
      <c r="B20" s="305" t="s">
        <v>170</v>
      </c>
      <c r="F20" s="519"/>
      <c r="N20" s="518"/>
    </row>
    <row r="21" spans="2:15" ht="16" customHeight="1">
      <c r="F21" s="793" t="s">
        <v>382</v>
      </c>
      <c r="G21" s="794"/>
      <c r="J21" s="793" t="s">
        <v>383</v>
      </c>
      <c r="K21" s="794"/>
      <c r="N21" s="793" t="s">
        <v>336</v>
      </c>
      <c r="O21" s="794"/>
    </row>
    <row r="22" spans="2:15" ht="16" customHeight="1">
      <c r="B22" s="305" t="s">
        <v>171</v>
      </c>
      <c r="F22" s="795"/>
      <c r="G22" s="796"/>
      <c r="J22" s="795"/>
      <c r="K22" s="796"/>
      <c r="N22" s="795"/>
      <c r="O22" s="796"/>
    </row>
    <row r="23" spans="2:15" ht="16" customHeight="1">
      <c r="B23" s="305" t="s">
        <v>172</v>
      </c>
      <c r="F23" s="795"/>
      <c r="G23" s="796"/>
      <c r="J23" s="795"/>
      <c r="K23" s="796"/>
      <c r="N23" s="795"/>
      <c r="O23" s="796"/>
    </row>
    <row r="24" spans="2:15" ht="16" customHeight="1">
      <c r="B24" s="305" t="s">
        <v>173</v>
      </c>
      <c r="F24" s="795"/>
      <c r="G24" s="796"/>
      <c r="J24" s="795"/>
      <c r="K24" s="796"/>
      <c r="N24" s="795"/>
      <c r="O24" s="796"/>
    </row>
    <row r="25" spans="2:15" ht="16" customHeight="1">
      <c r="F25" s="795"/>
      <c r="G25" s="796"/>
      <c r="J25" s="795"/>
      <c r="K25" s="796"/>
      <c r="N25" s="795"/>
      <c r="O25" s="796"/>
    </row>
    <row r="26" spans="2:15" ht="16" customHeight="1" thickBot="1">
      <c r="B26" s="523"/>
      <c r="C26" s="505" t="s">
        <v>153</v>
      </c>
      <c r="F26" s="795"/>
      <c r="G26" s="796"/>
      <c r="J26" s="795"/>
      <c r="K26" s="796"/>
      <c r="N26" s="795"/>
      <c r="O26" s="796"/>
    </row>
    <row r="27" spans="2:15" ht="16" customHeight="1" thickBot="1">
      <c r="B27" s="631"/>
      <c r="C27" s="505" t="s">
        <v>384</v>
      </c>
      <c r="F27" s="795"/>
      <c r="G27" s="796"/>
      <c r="J27" s="795"/>
      <c r="K27" s="796"/>
      <c r="N27" s="795"/>
      <c r="O27" s="796"/>
    </row>
    <row r="28" spans="2:15" ht="16" customHeight="1" thickBot="1">
      <c r="B28" s="533"/>
      <c r="C28" s="505" t="s">
        <v>272</v>
      </c>
      <c r="F28" s="795"/>
      <c r="G28" s="796"/>
      <c r="J28" s="795"/>
      <c r="K28" s="796"/>
      <c r="N28" s="795"/>
      <c r="O28" s="796"/>
    </row>
    <row r="29" spans="2:15" ht="16" customHeight="1">
      <c r="B29" s="689"/>
      <c r="C29" s="505" t="s">
        <v>479</v>
      </c>
      <c r="F29" s="795"/>
      <c r="G29" s="796"/>
      <c r="J29" s="795"/>
      <c r="K29" s="796"/>
      <c r="N29" s="795"/>
      <c r="O29" s="796"/>
    </row>
    <row r="30" spans="2:15" ht="16" customHeight="1">
      <c r="F30" s="795"/>
      <c r="G30" s="796"/>
      <c r="J30" s="795"/>
      <c r="K30" s="796"/>
      <c r="N30" s="795"/>
      <c r="O30" s="796"/>
    </row>
    <row r="31" spans="2:15" ht="16" customHeight="1">
      <c r="F31" s="797"/>
      <c r="G31" s="798"/>
      <c r="J31" s="797"/>
      <c r="K31" s="798"/>
      <c r="N31" s="797"/>
      <c r="O31" s="798"/>
    </row>
    <row r="34" spans="2:16">
      <c r="F34" s="517" t="s">
        <v>151</v>
      </c>
      <c r="J34" s="517" t="s">
        <v>381</v>
      </c>
      <c r="N34" s="517" t="s">
        <v>152</v>
      </c>
    </row>
    <row r="35" spans="2:16">
      <c r="F35" s="305"/>
      <c r="M35" s="565"/>
      <c r="N35" s="519"/>
      <c r="P35" s="565"/>
    </row>
    <row r="36" spans="2:16" ht="13" customHeight="1">
      <c r="F36" s="808" t="s">
        <v>337</v>
      </c>
      <c r="G36" s="809"/>
      <c r="J36" s="808" t="s">
        <v>335</v>
      </c>
      <c r="K36" s="809"/>
      <c r="M36" s="565"/>
      <c r="N36" s="793" t="s">
        <v>262</v>
      </c>
      <c r="O36" s="794"/>
      <c r="P36" s="565"/>
    </row>
    <row r="37" spans="2:16" ht="15" customHeight="1">
      <c r="F37" s="810"/>
      <c r="G37" s="811"/>
      <c r="J37" s="810"/>
      <c r="K37" s="811"/>
      <c r="M37" s="565"/>
      <c r="N37" s="795"/>
      <c r="O37" s="796"/>
      <c r="P37" s="565"/>
    </row>
    <row r="38" spans="2:16" ht="16" customHeight="1" thickBot="1">
      <c r="F38" s="810"/>
      <c r="G38" s="811"/>
      <c r="J38" s="810"/>
      <c r="K38" s="811"/>
      <c r="M38" s="565"/>
      <c r="N38" s="795"/>
      <c r="O38" s="796"/>
      <c r="P38" s="565"/>
    </row>
    <row r="39" spans="2:16" ht="15" customHeight="1">
      <c r="B39" s="799" t="s">
        <v>347</v>
      </c>
      <c r="C39" s="800"/>
      <c r="D39" s="801"/>
      <c r="F39" s="810"/>
      <c r="G39" s="811"/>
      <c r="J39" s="810"/>
      <c r="K39" s="811"/>
      <c r="M39" s="565"/>
      <c r="N39" s="795"/>
      <c r="O39" s="796"/>
      <c r="P39" s="565"/>
    </row>
    <row r="40" spans="2:16" ht="15" customHeight="1">
      <c r="B40" s="802"/>
      <c r="C40" s="803"/>
      <c r="D40" s="804"/>
      <c r="F40" s="810"/>
      <c r="G40" s="811"/>
      <c r="J40" s="810"/>
      <c r="K40" s="811"/>
      <c r="M40" s="565"/>
      <c r="N40" s="795"/>
      <c r="O40" s="796"/>
      <c r="P40" s="565"/>
    </row>
    <row r="41" spans="2:16" ht="15" customHeight="1">
      <c r="B41" s="802"/>
      <c r="C41" s="803"/>
      <c r="D41" s="804"/>
      <c r="F41" s="810"/>
      <c r="G41" s="811"/>
      <c r="J41" s="810"/>
      <c r="K41" s="811"/>
      <c r="M41" s="565"/>
      <c r="N41" s="795"/>
      <c r="O41" s="796"/>
      <c r="P41" s="565"/>
    </row>
    <row r="42" spans="2:16" ht="15" customHeight="1">
      <c r="B42" s="802"/>
      <c r="C42" s="803"/>
      <c r="D42" s="804"/>
      <c r="F42" s="810"/>
      <c r="G42" s="811"/>
      <c r="J42" s="810"/>
      <c r="K42" s="811"/>
      <c r="M42" s="565"/>
      <c r="N42" s="795"/>
      <c r="O42" s="796"/>
      <c r="P42" s="565"/>
    </row>
    <row r="43" spans="2:16" ht="15" customHeight="1">
      <c r="B43" s="802"/>
      <c r="C43" s="803"/>
      <c r="D43" s="804"/>
      <c r="F43" s="810"/>
      <c r="G43" s="811"/>
      <c r="J43" s="810"/>
      <c r="K43" s="811"/>
      <c r="N43" s="795"/>
      <c r="O43" s="796"/>
    </row>
    <row r="44" spans="2:16" ht="15" customHeight="1">
      <c r="B44" s="802"/>
      <c r="C44" s="803"/>
      <c r="D44" s="804"/>
      <c r="F44" s="810"/>
      <c r="G44" s="811"/>
      <c r="J44" s="810"/>
      <c r="K44" s="811"/>
      <c r="N44" s="795"/>
      <c r="O44" s="796"/>
    </row>
    <row r="45" spans="2:16" ht="15" customHeight="1">
      <c r="B45" s="802"/>
      <c r="C45" s="803"/>
      <c r="D45" s="804"/>
      <c r="F45" s="810"/>
      <c r="G45" s="811"/>
      <c r="J45" s="810"/>
      <c r="K45" s="811"/>
      <c r="N45" s="795"/>
      <c r="O45" s="796"/>
    </row>
    <row r="46" spans="2:16" ht="15" customHeight="1">
      <c r="B46" s="802"/>
      <c r="C46" s="803"/>
      <c r="D46" s="804"/>
      <c r="F46" s="812"/>
      <c r="G46" s="813"/>
      <c r="J46" s="812"/>
      <c r="K46" s="813"/>
      <c r="N46" s="797"/>
      <c r="O46" s="798"/>
    </row>
    <row r="47" spans="2:16">
      <c r="B47" s="802"/>
      <c r="C47" s="803"/>
      <c r="D47" s="804"/>
    </row>
    <row r="48" spans="2:16">
      <c r="B48" s="802"/>
      <c r="C48" s="803"/>
      <c r="D48" s="804"/>
    </row>
    <row r="49" spans="2:9">
      <c r="B49" s="802"/>
      <c r="C49" s="803"/>
      <c r="D49" s="804"/>
      <c r="F49" s="305"/>
    </row>
    <row r="50" spans="2:9" ht="17">
      <c r="B50" s="802"/>
      <c r="C50" s="803"/>
      <c r="D50" s="804"/>
      <c r="F50" s="517" t="s">
        <v>174</v>
      </c>
      <c r="I50" s="520" t="s">
        <v>43</v>
      </c>
    </row>
    <row r="51" spans="2:9" ht="18" thickBot="1">
      <c r="B51" s="805"/>
      <c r="C51" s="806"/>
      <c r="D51" s="807"/>
      <c r="F51" s="305"/>
      <c r="I51" s="521" t="s">
        <v>231</v>
      </c>
    </row>
    <row r="52" spans="2:9" ht="17" customHeight="1">
      <c r="F52" s="793" t="s">
        <v>175</v>
      </c>
      <c r="G52" s="794"/>
      <c r="I52" s="521"/>
    </row>
    <row r="53" spans="2:9" ht="17">
      <c r="F53" s="795"/>
      <c r="G53" s="796"/>
      <c r="I53" s="521" t="s">
        <v>176</v>
      </c>
    </row>
    <row r="54" spans="2:9" ht="17">
      <c r="F54" s="795"/>
      <c r="G54" s="796"/>
      <c r="I54" s="521"/>
    </row>
    <row r="55" spans="2:9" ht="17">
      <c r="F55" s="795"/>
      <c r="G55" s="796"/>
      <c r="I55" s="521"/>
    </row>
    <row r="56" spans="2:9">
      <c r="F56" s="795"/>
      <c r="G56" s="796"/>
    </row>
    <row r="57" spans="2:9" ht="15" customHeight="1">
      <c r="F57" s="795"/>
      <c r="G57" s="796"/>
    </row>
    <row r="58" spans="2:9" ht="17">
      <c r="F58" s="795"/>
      <c r="G58" s="796"/>
      <c r="I58" s="521"/>
    </row>
    <row r="59" spans="2:9" ht="15" customHeight="1">
      <c r="F59" s="795"/>
      <c r="G59" s="796"/>
    </row>
    <row r="60" spans="2:9" ht="15" customHeight="1">
      <c r="F60" s="795"/>
      <c r="G60" s="796"/>
      <c r="I60" s="519"/>
    </row>
    <row r="61" spans="2:9" ht="15" customHeight="1">
      <c r="F61" s="795"/>
      <c r="G61" s="796"/>
    </row>
    <row r="62" spans="2:9" ht="15" customHeight="1">
      <c r="F62" s="797"/>
      <c r="G62" s="798"/>
    </row>
    <row r="63" spans="2:9" ht="13" customHeight="1">
      <c r="F63" s="519"/>
    </row>
    <row r="64" spans="2:9">
      <c r="F64" s="519"/>
    </row>
    <row r="65" spans="6:6">
      <c r="F65" s="519"/>
    </row>
    <row r="66" spans="6:6">
      <c r="F66" s="519"/>
    </row>
    <row r="67" spans="6:6">
      <c r="F67" s="519"/>
    </row>
    <row r="68" spans="6:6">
      <c r="F68" s="519"/>
    </row>
    <row r="77" spans="6:6">
      <c r="F77" s="519"/>
    </row>
    <row r="78" spans="6:6">
      <c r="F78" s="519"/>
    </row>
    <row r="79" spans="6:6">
      <c r="F79" s="519"/>
    </row>
    <row r="80" spans="6:6">
      <c r="F80" s="519"/>
    </row>
    <row r="81" spans="6:6">
      <c r="F81" s="519"/>
    </row>
    <row r="82" spans="6:6">
      <c r="F82" s="519"/>
    </row>
    <row r="83" spans="6:6">
      <c r="F83" s="519"/>
    </row>
    <row r="84" spans="6:6">
      <c r="F84" s="519"/>
    </row>
    <row r="85" spans="6:6">
      <c r="F85" s="519"/>
    </row>
    <row r="86" spans="6:6">
      <c r="F86" s="519"/>
    </row>
    <row r="87" spans="6:6">
      <c r="F87" s="519"/>
    </row>
    <row r="88" spans="6:6">
      <c r="F88" s="519"/>
    </row>
    <row r="89" spans="6:6">
      <c r="F89" s="519"/>
    </row>
    <row r="90" spans="6:6">
      <c r="F90" s="519"/>
    </row>
    <row r="91" spans="6:6">
      <c r="F91" s="519"/>
    </row>
    <row r="92" spans="6:6">
      <c r="F92" s="519"/>
    </row>
    <row r="93" spans="6:6">
      <c r="F93" s="519"/>
    </row>
    <row r="94" spans="6:6">
      <c r="F94" s="519"/>
    </row>
    <row r="95" spans="6:6">
      <c r="F95" s="519"/>
    </row>
    <row r="96" spans="6:6">
      <c r="F96" s="519"/>
    </row>
    <row r="97" spans="6:6" ht="13" customHeight="1">
      <c r="F97" s="519"/>
    </row>
    <row r="98" spans="6:6">
      <c r="F98" s="519"/>
    </row>
    <row r="99" spans="6:6">
      <c r="F99" s="519"/>
    </row>
    <row r="100" spans="6:6">
      <c r="F100" s="519"/>
    </row>
    <row r="101" spans="6:6">
      <c r="F101" s="519"/>
    </row>
    <row r="102" spans="6:6">
      <c r="F102" s="519"/>
    </row>
    <row r="103" spans="6:6">
      <c r="F103" s="519"/>
    </row>
    <row r="104" spans="6:6">
      <c r="F104" s="519"/>
    </row>
    <row r="105" spans="6:6">
      <c r="F105" s="519"/>
    </row>
    <row r="106" spans="6:6">
      <c r="F106" s="519"/>
    </row>
    <row r="107" spans="6:6">
      <c r="F107" s="519"/>
    </row>
    <row r="108" spans="6:6">
      <c r="F108" s="519"/>
    </row>
    <row r="109" spans="6:6">
      <c r="F109" s="519"/>
    </row>
    <row r="110" spans="6:6">
      <c r="F110" s="519"/>
    </row>
    <row r="111" spans="6:6">
      <c r="F111" s="519"/>
    </row>
    <row r="112" spans="6:6">
      <c r="F112" s="519"/>
    </row>
    <row r="113" spans="6:6">
      <c r="F113" s="519"/>
    </row>
    <row r="114" spans="6:6">
      <c r="F114" s="519"/>
    </row>
    <row r="115" spans="6:6">
      <c r="F115" s="519"/>
    </row>
    <row r="116" spans="6:6">
      <c r="F116" s="519"/>
    </row>
    <row r="117" spans="6:6">
      <c r="F117" s="519"/>
    </row>
    <row r="118" spans="6:6">
      <c r="F118" s="519"/>
    </row>
    <row r="119" spans="6:6">
      <c r="F119" s="519"/>
    </row>
    <row r="120" spans="6:6">
      <c r="F120" s="519"/>
    </row>
    <row r="121" spans="6:6">
      <c r="F121" s="519"/>
    </row>
    <row r="122" spans="6:6">
      <c r="F122" s="519"/>
    </row>
    <row r="123" spans="6:6">
      <c r="F123" s="519"/>
    </row>
    <row r="152" spans="6:6">
      <c r="F152" s="519"/>
    </row>
    <row r="153" spans="6:6">
      <c r="F153" s="519"/>
    </row>
    <row r="154" spans="6:6">
      <c r="F154" s="519"/>
    </row>
    <row r="155" spans="6:6">
      <c r="F155" s="519"/>
    </row>
    <row r="156" spans="6:6">
      <c r="F156" s="519"/>
    </row>
    <row r="157" spans="6:6">
      <c r="F157" s="519"/>
    </row>
    <row r="158" spans="6:6">
      <c r="F158" s="519"/>
    </row>
    <row r="159" spans="6:6">
      <c r="F159" s="519"/>
    </row>
  </sheetData>
  <mergeCells count="11">
    <mergeCell ref="F52:G62"/>
    <mergeCell ref="B39:D51"/>
    <mergeCell ref="F5:G15"/>
    <mergeCell ref="J5:K15"/>
    <mergeCell ref="N5:O15"/>
    <mergeCell ref="F21:G31"/>
    <mergeCell ref="J21:K31"/>
    <mergeCell ref="N21:O31"/>
    <mergeCell ref="F36:G46"/>
    <mergeCell ref="J36:K46"/>
    <mergeCell ref="N36:O46"/>
  </mergeCells>
  <pageMargins left="0.75" right="0.75" top="1" bottom="1" header="0.5" footer="0.5"/>
  <pageSetup paperSize="9" scale="94" orientation="portrait" horizontalDpi="4294967292" verticalDpi="4294967292"/>
  <rowBreaks count="2" manualBreakCount="2">
    <brk id="45" min="5" max="7" man="1"/>
    <brk id="93" min="5" max="7" man="1"/>
  </rowBreaks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5:J94"/>
  <sheetViews>
    <sheetView showGridLines="0" showRowColHeaders="0" topLeftCell="A23" zoomScaleNormal="100" workbookViewId="0">
      <selection activeCell="S9" sqref="S9"/>
    </sheetView>
  </sheetViews>
  <sheetFormatPr baseColWidth="10" defaultColWidth="0" defaultRowHeight="13"/>
  <cols>
    <col min="1" max="2" width="10.796875" style="1" customWidth="1"/>
    <col min="3" max="3" width="26.19921875" style="1" bestFit="1" customWidth="1"/>
    <col min="4" max="4" width="19.59765625" style="1" customWidth="1"/>
    <col min="5" max="5" width="33.19921875" style="1" customWidth="1"/>
    <col min="6" max="8" width="19.59765625" style="1" customWidth="1"/>
    <col min="9" max="9" width="3.796875" style="1" customWidth="1"/>
    <col min="10" max="10" width="10.796875" style="1" customWidth="1"/>
    <col min="11" max="16384" width="10.796875" style="1" hidden="1"/>
  </cols>
  <sheetData>
    <row r="5" spans="3:9">
      <c r="D5" s="691"/>
      <c r="E5" s="8" t="s">
        <v>153</v>
      </c>
    </row>
    <row r="8" spans="3:9" ht="14" thickBot="1"/>
    <row r="9" spans="3:9" ht="21" thickTop="1">
      <c r="C9" s="591"/>
      <c r="D9" s="592"/>
      <c r="E9" s="593"/>
      <c r="F9" s="592"/>
      <c r="G9" s="592"/>
      <c r="H9" s="592"/>
      <c r="I9" s="594"/>
    </row>
    <row r="10" spans="3:9" ht="20">
      <c r="C10" s="595"/>
      <c r="E10" s="21" t="s">
        <v>133</v>
      </c>
      <c r="I10" s="596"/>
    </row>
    <row r="11" spans="3:9" ht="20">
      <c r="C11" s="595"/>
      <c r="E11" s="21"/>
      <c r="I11" s="596"/>
    </row>
    <row r="12" spans="3:9" ht="20">
      <c r="C12" s="595"/>
      <c r="E12" s="21" t="s">
        <v>134</v>
      </c>
      <c r="I12" s="596"/>
    </row>
    <row r="13" spans="3:9" ht="20">
      <c r="C13" s="595"/>
      <c r="E13" s="21" t="s">
        <v>137</v>
      </c>
      <c r="I13" s="596"/>
    </row>
    <row r="14" spans="3:9" ht="20">
      <c r="C14" s="595"/>
      <c r="E14" s="21" t="s">
        <v>41</v>
      </c>
      <c r="I14" s="596"/>
    </row>
    <row r="15" spans="3:9">
      <c r="C15" s="595"/>
      <c r="I15" s="596"/>
    </row>
    <row r="16" spans="3:9" ht="20">
      <c r="C16" s="595"/>
      <c r="E16" s="585" t="s">
        <v>1021</v>
      </c>
      <c r="I16" s="596"/>
    </row>
    <row r="17" spans="3:9">
      <c r="C17" s="595"/>
      <c r="I17" s="596"/>
    </row>
    <row r="18" spans="3:9">
      <c r="C18" s="595"/>
      <c r="I18" s="596"/>
    </row>
    <row r="19" spans="3:9" ht="18">
      <c r="C19" s="595"/>
      <c r="D19" s="2"/>
      <c r="E19" s="692" t="s">
        <v>486</v>
      </c>
      <c r="F19" s="2"/>
      <c r="G19" s="2"/>
      <c r="I19" s="596"/>
    </row>
    <row r="20" spans="3:9">
      <c r="C20" s="595"/>
      <c r="I20" s="596"/>
    </row>
    <row r="21" spans="3:9">
      <c r="C21" s="595"/>
      <c r="I21" s="596"/>
    </row>
    <row r="22" spans="3:9" ht="16">
      <c r="C22" s="595"/>
      <c r="D22" s="22" t="s">
        <v>6</v>
      </c>
      <c r="E22" s="586">
        <v>46388</v>
      </c>
      <c r="F22" s="587"/>
      <c r="G22" s="587"/>
      <c r="I22" s="596"/>
    </row>
    <row r="23" spans="3:9" ht="16">
      <c r="C23" s="595"/>
      <c r="D23" s="22"/>
      <c r="E23" s="588"/>
      <c r="F23" s="587"/>
      <c r="G23" s="587"/>
      <c r="I23" s="596"/>
    </row>
    <row r="24" spans="3:9" ht="16">
      <c r="C24" s="595"/>
      <c r="D24" s="22" t="s">
        <v>114</v>
      </c>
      <c r="E24" s="589" t="s">
        <v>1044</v>
      </c>
      <c r="F24" s="587"/>
      <c r="G24" s="587"/>
      <c r="I24" s="596"/>
    </row>
    <row r="25" spans="3:9" ht="16">
      <c r="C25" s="595"/>
      <c r="D25" s="22"/>
      <c r="E25" s="588"/>
      <c r="F25" s="587"/>
      <c r="G25" s="587"/>
      <c r="I25" s="596"/>
    </row>
    <row r="26" spans="3:9" ht="17">
      <c r="C26" s="595"/>
      <c r="D26" s="23" t="s">
        <v>145</v>
      </c>
      <c r="E26" s="590" t="str">
        <f ca="1">REPLACE(LEFT(CELL("bestandsnaam",A1),SEARCH("]",CELL("bestandsnaam",A1))-6),1,SEARCH("[",CELL("bestandsnaam",A1)),"")</f>
        <v>Calculatiemodule Opspoor Perceel 3 V1.1 | 01-jan-27 Wijziging bijgehouden</v>
      </c>
      <c r="F26" s="587"/>
      <c r="G26" s="587"/>
      <c r="I26" s="596"/>
    </row>
    <row r="27" spans="3:9">
      <c r="C27" s="595"/>
      <c r="I27" s="596"/>
    </row>
    <row r="28" spans="3:9">
      <c r="C28" s="595"/>
      <c r="I28" s="596"/>
    </row>
    <row r="29" spans="3:9" ht="14" thickBot="1">
      <c r="C29" s="597"/>
      <c r="D29" s="598"/>
      <c r="E29" s="598"/>
      <c r="F29" s="598"/>
      <c r="G29" s="598"/>
      <c r="H29" s="598"/>
      <c r="I29" s="599"/>
    </row>
    <row r="30" spans="3:9" ht="15" thickTop="1" thickBot="1"/>
    <row r="31" spans="3:9" ht="14" thickTop="1">
      <c r="C31" s="591"/>
      <c r="D31" s="592"/>
      <c r="E31" s="592"/>
      <c r="F31" s="592"/>
      <c r="G31" s="592"/>
      <c r="H31" s="592"/>
      <c r="I31" s="594"/>
    </row>
    <row r="32" spans="3:9">
      <c r="C32" s="705" t="s">
        <v>348</v>
      </c>
      <c r="D32" s="600"/>
      <c r="E32" s="600" t="s">
        <v>1043</v>
      </c>
      <c r="F32" s="601"/>
      <c r="I32" s="596"/>
    </row>
    <row r="33" spans="2:9" ht="13" customHeight="1">
      <c r="C33" s="595"/>
      <c r="H33" s="814" t="s">
        <v>243</v>
      </c>
      <c r="I33" s="596"/>
    </row>
    <row r="34" spans="2:9">
      <c r="C34" s="602"/>
      <c r="D34" s="584"/>
      <c r="E34" s="584"/>
      <c r="F34" s="584"/>
      <c r="G34" s="584"/>
      <c r="H34" s="815"/>
      <c r="I34" s="596"/>
    </row>
    <row r="35" spans="2:9">
      <c r="C35" s="603"/>
      <c r="D35" s="604"/>
      <c r="H35" s="816"/>
      <c r="I35" s="596"/>
    </row>
    <row r="36" spans="2:9">
      <c r="C36" s="595"/>
      <c r="I36" s="596"/>
    </row>
    <row r="37" spans="2:9">
      <c r="B37" s="596"/>
      <c r="I37" s="596"/>
    </row>
    <row r="38" spans="2:9">
      <c r="B38" s="596"/>
      <c r="I38" s="596"/>
    </row>
    <row r="39" spans="2:9">
      <c r="B39" s="596"/>
      <c r="I39" s="596"/>
    </row>
    <row r="40" spans="2:9">
      <c r="B40" s="596"/>
      <c r="I40" s="596"/>
    </row>
    <row r="41" spans="2:9">
      <c r="B41" s="596"/>
      <c r="I41" s="596"/>
    </row>
    <row r="42" spans="2:9">
      <c r="B42" s="596"/>
      <c r="I42" s="596"/>
    </row>
    <row r="43" spans="2:9">
      <c r="B43" s="596"/>
      <c r="I43" s="596"/>
    </row>
    <row r="44" spans="2:9">
      <c r="B44" s="596"/>
      <c r="I44" s="596"/>
    </row>
    <row r="45" spans="2:9">
      <c r="B45" s="596"/>
      <c r="I45" s="596"/>
    </row>
    <row r="46" spans="2:9">
      <c r="B46" s="596"/>
      <c r="I46" s="596"/>
    </row>
    <row r="47" spans="2:9">
      <c r="B47" s="596"/>
      <c r="I47" s="596"/>
    </row>
    <row r="48" spans="2:9">
      <c r="B48" s="596"/>
      <c r="I48" s="596"/>
    </row>
    <row r="49" spans="2:9">
      <c r="B49" s="596"/>
      <c r="I49" s="596"/>
    </row>
    <row r="50" spans="2:9">
      <c r="B50" s="596"/>
      <c r="I50" s="596"/>
    </row>
    <row r="51" spans="2:9">
      <c r="B51" s="596"/>
      <c r="I51" s="596"/>
    </row>
    <row r="52" spans="2:9">
      <c r="B52" s="596"/>
      <c r="I52" s="596"/>
    </row>
    <row r="53" spans="2:9">
      <c r="B53" s="596"/>
      <c r="I53" s="596"/>
    </row>
    <row r="54" spans="2:9">
      <c r="B54" s="596"/>
      <c r="I54" s="596"/>
    </row>
    <row r="55" spans="2:9">
      <c r="B55" s="596"/>
      <c r="I55" s="596"/>
    </row>
    <row r="56" spans="2:9">
      <c r="B56" s="596"/>
      <c r="I56" s="596"/>
    </row>
    <row r="57" spans="2:9">
      <c r="B57" s="596"/>
      <c r="I57" s="596"/>
    </row>
    <row r="58" spans="2:9">
      <c r="B58" s="596"/>
      <c r="I58" s="596"/>
    </row>
    <row r="59" spans="2:9">
      <c r="B59" s="596"/>
      <c r="I59" s="596"/>
    </row>
    <row r="60" spans="2:9">
      <c r="B60" s="596"/>
      <c r="I60" s="596"/>
    </row>
    <row r="61" spans="2:9">
      <c r="B61" s="596"/>
      <c r="I61" s="596"/>
    </row>
    <row r="62" spans="2:9">
      <c r="B62" s="596"/>
      <c r="I62" s="596"/>
    </row>
    <row r="63" spans="2:9">
      <c r="B63" s="596"/>
      <c r="I63" s="596"/>
    </row>
    <row r="64" spans="2:9">
      <c r="B64" s="596"/>
      <c r="I64" s="596"/>
    </row>
    <row r="65" spans="2:9">
      <c r="B65" s="596"/>
      <c r="I65" s="596"/>
    </row>
    <row r="66" spans="2:9">
      <c r="B66" s="596"/>
      <c r="I66" s="596"/>
    </row>
    <row r="67" spans="2:9">
      <c r="B67" s="596"/>
      <c r="I67" s="596"/>
    </row>
    <row r="68" spans="2:9">
      <c r="B68" s="596"/>
      <c r="I68" s="596"/>
    </row>
    <row r="69" spans="2:9">
      <c r="B69" s="596"/>
      <c r="I69" s="596"/>
    </row>
    <row r="70" spans="2:9">
      <c r="B70" s="596"/>
      <c r="I70" s="596"/>
    </row>
    <row r="71" spans="2:9">
      <c r="B71" s="596"/>
      <c r="I71" s="596"/>
    </row>
    <row r="72" spans="2:9">
      <c r="B72" s="596"/>
      <c r="I72" s="596"/>
    </row>
    <row r="73" spans="2:9">
      <c r="B73" s="596"/>
      <c r="I73" s="596"/>
    </row>
    <row r="74" spans="2:9">
      <c r="B74" s="596"/>
      <c r="I74" s="596"/>
    </row>
    <row r="75" spans="2:9">
      <c r="B75" s="596"/>
      <c r="I75" s="596"/>
    </row>
    <row r="76" spans="2:9">
      <c r="B76" s="596"/>
      <c r="I76" s="596"/>
    </row>
    <row r="77" spans="2:9">
      <c r="B77" s="596"/>
      <c r="I77" s="596"/>
    </row>
    <row r="78" spans="2:9">
      <c r="B78" s="596"/>
      <c r="I78" s="596"/>
    </row>
    <row r="79" spans="2:9">
      <c r="B79" s="596"/>
      <c r="I79" s="596"/>
    </row>
    <row r="80" spans="2:9">
      <c r="B80" s="596"/>
      <c r="I80" s="596"/>
    </row>
    <row r="81" spans="2:9">
      <c r="B81" s="596"/>
      <c r="I81" s="596"/>
    </row>
    <row r="82" spans="2:9">
      <c r="C82" s="595"/>
      <c r="I82" s="596"/>
    </row>
    <row r="83" spans="2:9">
      <c r="C83" s="595"/>
      <c r="I83" s="596"/>
    </row>
    <row r="84" spans="2:9">
      <c r="C84" s="595"/>
      <c r="I84" s="596"/>
    </row>
    <row r="85" spans="2:9">
      <c r="C85" s="595"/>
      <c r="I85" s="596"/>
    </row>
    <row r="86" spans="2:9">
      <c r="C86" s="595"/>
      <c r="I86" s="596"/>
    </row>
    <row r="87" spans="2:9">
      <c r="C87" s="595"/>
      <c r="I87" s="596"/>
    </row>
    <row r="88" spans="2:9">
      <c r="C88" s="595"/>
      <c r="I88" s="596"/>
    </row>
    <row r="89" spans="2:9">
      <c r="C89" s="595"/>
      <c r="I89" s="596"/>
    </row>
    <row r="90" spans="2:9">
      <c r="C90" s="595"/>
      <c r="I90" s="596"/>
    </row>
    <row r="91" spans="2:9">
      <c r="C91" s="595"/>
      <c r="I91" s="596"/>
    </row>
    <row r="92" spans="2:9">
      <c r="C92" s="595"/>
      <c r="I92" s="596"/>
    </row>
    <row r="93" spans="2:9" ht="14" thickBot="1">
      <c r="C93" s="597"/>
      <c r="D93" s="598"/>
      <c r="E93" s="598"/>
      <c r="F93" s="598"/>
      <c r="G93" s="598"/>
      <c r="H93" s="598"/>
      <c r="I93" s="599"/>
    </row>
    <row r="94" spans="2:9" ht="14" thickTop="1"/>
  </sheetData>
  <mergeCells count="1">
    <mergeCell ref="H33:H35"/>
  </mergeCells>
  <conditionalFormatting sqref="D5">
    <cfRule type="cellIs" dxfId="179" priority="19" operator="greaterThan">
      <formula>0</formula>
    </cfRule>
  </conditionalFormatting>
  <pageMargins left="0.75000000000000011" right="0.75000000000000011" top="1" bottom="1" header="0.5" footer="0.5"/>
  <pageSetup paperSize="9" scale="86" orientation="portrait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>
    <pageSetUpPr fitToPage="1"/>
  </sheetPr>
  <dimension ref="A1:IV65618"/>
  <sheetViews>
    <sheetView showGridLines="0" showRowColHeaders="0" showZeros="0" showOutlineSymbols="0" zoomScaleNormal="100" zoomScaleSheetLayoutView="75" zoomScalePageLayoutView="120" workbookViewId="0">
      <pane ySplit="12" topLeftCell="A110" activePane="bottomLeft" state="frozenSplit"/>
      <selection activeCell="S9" sqref="S9"/>
      <selection pane="bottomLeft" activeCell="G49" sqref="G49:I52"/>
    </sheetView>
  </sheetViews>
  <sheetFormatPr baseColWidth="10" defaultColWidth="10.796875" defaultRowHeight="15" zeroHeight="1"/>
  <cols>
    <col min="1" max="1" width="14.19921875" style="6" customWidth="1"/>
    <col min="2" max="2" width="15.19921875" style="30" customWidth="1"/>
    <col min="3" max="3" width="16.796875" style="30" customWidth="1"/>
    <col min="4" max="4" width="46" style="49" customWidth="1"/>
    <col min="5" max="5" width="18" style="30" customWidth="1"/>
    <col min="6" max="8" width="18.796875" style="30" customWidth="1"/>
    <col min="9" max="9" width="19.19921875" style="30" customWidth="1"/>
    <col min="10" max="10" width="23" style="30" customWidth="1"/>
    <col min="11" max="11" width="5.59765625" style="33" customWidth="1"/>
    <col min="12" max="12" width="11.796875" style="3" hidden="1" customWidth="1"/>
    <col min="13" max="13" width="14.19921875" style="3" hidden="1" customWidth="1"/>
    <col min="14" max="14" width="18.3984375" style="3" hidden="1" customWidth="1"/>
    <col min="15" max="15" width="11.796875" style="3" hidden="1" customWidth="1"/>
    <col min="16" max="18" width="10.796875" style="3" hidden="1" customWidth="1"/>
    <col min="19" max="19" width="20.19921875" style="3" hidden="1" customWidth="1"/>
    <col min="20" max="21" width="10.796875" style="3" hidden="1" customWidth="1"/>
    <col min="22" max="23" width="23.19921875" style="3" hidden="1" customWidth="1"/>
    <col min="24" max="24" width="10.796875" style="3" hidden="1" customWidth="1"/>
    <col min="25" max="256" width="10.796875" style="3" customWidth="1"/>
    <col min="257" max="16384" width="10.796875" style="3"/>
  </cols>
  <sheetData>
    <row r="1" spans="1:22" ht="9" customHeight="1" thickBot="1">
      <c r="H1" s="99"/>
      <c r="I1" s="99"/>
      <c r="J1" s="99"/>
      <c r="K1" s="100"/>
    </row>
    <row r="2" spans="1:22" ht="8" customHeight="1">
      <c r="D2" s="101"/>
      <c r="E2" s="102"/>
      <c r="F2" s="102"/>
      <c r="G2" s="102"/>
      <c r="H2" s="99"/>
      <c r="I2" s="99"/>
      <c r="J2" s="99"/>
      <c r="K2" s="100"/>
    </row>
    <row r="3" spans="1:22" hidden="1">
      <c r="H3" s="99"/>
      <c r="I3" s="99"/>
      <c r="J3" s="99"/>
      <c r="K3" s="100"/>
    </row>
    <row r="4" spans="1:22" ht="6" customHeight="1">
      <c r="D4" s="31"/>
      <c r="E4" s="32"/>
    </row>
    <row r="5" spans="1:22" s="24" customFormat="1" ht="17">
      <c r="A5" s="504" t="s">
        <v>161</v>
      </c>
      <c r="B5" s="170"/>
      <c r="C5" s="34"/>
      <c r="D5" s="89" t="s">
        <v>263</v>
      </c>
      <c r="E5" s="90" t="s">
        <v>164</v>
      </c>
      <c r="F5" s="35"/>
      <c r="G5" s="35"/>
      <c r="H5" s="36"/>
      <c r="I5" s="35"/>
      <c r="J5" s="35"/>
      <c r="K5" s="37"/>
    </row>
    <row r="6" spans="1:22" s="24" customFormat="1" ht="16" customHeight="1" thickBot="1">
      <c r="A6" s="523"/>
      <c r="B6" s="505" t="s">
        <v>153</v>
      </c>
      <c r="C6" s="34"/>
      <c r="D6" s="89" t="s">
        <v>264</v>
      </c>
      <c r="E6" s="38" t="s">
        <v>487</v>
      </c>
      <c r="F6" s="35"/>
      <c r="G6" s="35"/>
      <c r="H6" s="39"/>
      <c r="I6" s="39"/>
      <c r="J6" s="39"/>
      <c r="K6" s="37"/>
    </row>
    <row r="7" spans="1:22" s="24" customFormat="1" ht="16" customHeight="1" thickBot="1">
      <c r="A7" s="631"/>
      <c r="B7" s="505" t="s">
        <v>384</v>
      </c>
      <c r="C7" s="34"/>
      <c r="D7" s="89" t="s">
        <v>265</v>
      </c>
      <c r="E7" s="38" t="s">
        <v>488</v>
      </c>
      <c r="F7" s="35"/>
      <c r="G7" s="35"/>
      <c r="H7" s="39"/>
      <c r="I7" s="39"/>
      <c r="J7" s="39"/>
      <c r="K7" s="37"/>
    </row>
    <row r="8" spans="1:22" s="24" customFormat="1" ht="16" customHeight="1" thickBot="1">
      <c r="A8" s="533"/>
      <c r="B8" s="505" t="s">
        <v>272</v>
      </c>
      <c r="C8" s="34"/>
      <c r="D8" s="89" t="s">
        <v>266</v>
      </c>
      <c r="E8" s="40" t="str">
        <f>Voorblad!$E$24</f>
        <v>1501-102-2026</v>
      </c>
      <c r="F8" s="35"/>
      <c r="G8" s="35"/>
      <c r="H8" s="39"/>
      <c r="I8" s="39"/>
      <c r="J8" s="39"/>
      <c r="K8" s="37"/>
    </row>
    <row r="9" spans="1:22" s="24" customFormat="1" ht="17">
      <c r="A9" s="689"/>
      <c r="B9" s="505" t="s">
        <v>479</v>
      </c>
      <c r="C9" s="334"/>
      <c r="D9" s="89" t="s">
        <v>267</v>
      </c>
      <c r="E9" s="41" t="str">
        <f ca="1">Voorblad!$E$26</f>
        <v>Calculatiemodule Opspoor Perceel 3 V1.1 | 01-jan-27 Wijziging bijgehouden</v>
      </c>
      <c r="F9" s="35"/>
      <c r="G9" s="35"/>
      <c r="H9" s="35"/>
      <c r="K9" s="37"/>
    </row>
    <row r="10" spans="1:22" s="24" customFormat="1" ht="17">
      <c r="C10" s="334"/>
      <c r="D10" s="89" t="s">
        <v>268</v>
      </c>
      <c r="E10" s="91" t="str">
        <f>Voorblad!$E$19</f>
        <v>Naam organisatie</v>
      </c>
      <c r="F10" s="35"/>
      <c r="G10" s="34"/>
      <c r="H10" s="34"/>
      <c r="K10" s="37"/>
    </row>
    <row r="11" spans="1:22" s="24" customFormat="1" ht="17">
      <c r="C11" s="336"/>
      <c r="D11" s="89" t="s">
        <v>269</v>
      </c>
      <c r="E11" s="45">
        <f>Voorblad!E22</f>
        <v>46388</v>
      </c>
      <c r="F11" s="35"/>
      <c r="G11" s="34"/>
      <c r="H11" s="34"/>
      <c r="K11" s="37"/>
    </row>
    <row r="12" spans="1:22" s="24" customFormat="1" ht="17">
      <c r="C12" s="334"/>
      <c r="D12" s="46"/>
      <c r="E12" s="34"/>
      <c r="F12" s="34"/>
      <c r="G12" s="34"/>
      <c r="H12" s="34"/>
      <c r="I12" s="34"/>
      <c r="J12" s="34"/>
      <c r="K12" s="37"/>
    </row>
    <row r="13" spans="1:22" s="24" customFormat="1" ht="18" thickBot="1">
      <c r="A13" s="6"/>
      <c r="B13" s="34"/>
      <c r="C13" s="34"/>
      <c r="D13" s="116" t="s">
        <v>106</v>
      </c>
      <c r="E13" s="34"/>
      <c r="F13" s="34"/>
      <c r="G13" s="47"/>
      <c r="H13" s="47"/>
      <c r="I13" s="47"/>
      <c r="J13" s="48"/>
      <c r="K13" s="37"/>
    </row>
    <row r="14" spans="1:22" ht="17" thickTop="1">
      <c r="A14" s="817" t="s">
        <v>385</v>
      </c>
      <c r="B14" s="818"/>
      <c r="R14" s="24"/>
      <c r="S14" s="24"/>
      <c r="T14" s="24"/>
      <c r="U14" s="24"/>
      <c r="V14" s="24"/>
    </row>
    <row r="15" spans="1:22" s="20" customFormat="1" ht="62" customHeight="1">
      <c r="A15" s="819"/>
      <c r="B15" s="820"/>
      <c r="C15" s="50"/>
      <c r="D15" s="92" t="s">
        <v>297</v>
      </c>
      <c r="E15" s="93" t="s">
        <v>298</v>
      </c>
      <c r="F15" s="94" t="s">
        <v>299</v>
      </c>
      <c r="G15" s="94" t="s">
        <v>303</v>
      </c>
      <c r="H15" s="94" t="s">
        <v>300</v>
      </c>
      <c r="I15" s="94" t="s">
        <v>301</v>
      </c>
      <c r="J15" s="94" t="s">
        <v>302</v>
      </c>
      <c r="K15" s="51"/>
      <c r="R15" s="24"/>
      <c r="S15" s="24"/>
      <c r="T15" s="24"/>
      <c r="U15" s="24"/>
      <c r="V15" s="24"/>
    </row>
    <row r="16" spans="1:22" s="20" customFormat="1" ht="16">
      <c r="A16" s="819"/>
      <c r="B16" s="820"/>
      <c r="C16" s="50"/>
      <c r="D16" s="98"/>
      <c r="E16" s="96"/>
      <c r="F16" s="97"/>
      <c r="G16" s="97"/>
      <c r="H16" s="97"/>
      <c r="I16" s="97"/>
      <c r="J16" s="97"/>
      <c r="K16" s="51"/>
      <c r="R16" s="24"/>
      <c r="S16" s="24"/>
      <c r="T16" s="24"/>
      <c r="U16" s="24"/>
      <c r="V16" s="24"/>
    </row>
    <row r="17" spans="1:256" s="20" customFormat="1" ht="17" thickBot="1">
      <c r="A17" s="821"/>
      <c r="B17" s="822"/>
      <c r="C17" s="50"/>
      <c r="D17" s="95"/>
      <c r="E17" s="96"/>
      <c r="F17" s="97"/>
      <c r="G17" s="97"/>
      <c r="H17" s="97"/>
      <c r="I17" s="97"/>
      <c r="J17" s="97"/>
      <c r="K17" s="51"/>
      <c r="R17" s="24"/>
      <c r="S17" s="24"/>
      <c r="T17" s="24"/>
      <c r="U17" s="24"/>
      <c r="V17" s="24"/>
    </row>
    <row r="18" spans="1:256" ht="21" customHeight="1" thickTop="1">
      <c r="C18" s="50"/>
      <c r="D18" s="106" t="s">
        <v>162</v>
      </c>
      <c r="E18" s="52"/>
      <c r="F18" s="52"/>
      <c r="G18" s="53"/>
      <c r="H18" s="53"/>
      <c r="I18" s="53"/>
      <c r="J18" s="53"/>
      <c r="R18" s="24"/>
      <c r="S18" s="24"/>
      <c r="T18" s="24"/>
      <c r="U18" s="24"/>
      <c r="V18" s="24"/>
    </row>
    <row r="19" spans="1:256" ht="16">
      <c r="A19" s="26"/>
      <c r="C19" s="50"/>
      <c r="D19" s="107"/>
      <c r="J19" s="54"/>
      <c r="R19" s="24"/>
      <c r="S19" s="24"/>
      <c r="T19" s="24"/>
      <c r="U19" s="24"/>
      <c r="V19" s="24"/>
    </row>
    <row r="20" spans="1:256" ht="16">
      <c r="C20" s="50"/>
      <c r="D20" s="690" t="s">
        <v>251</v>
      </c>
      <c r="E20" s="482"/>
      <c r="F20" s="55">
        <f>H20/G20</f>
        <v>0</v>
      </c>
      <c r="G20" s="56">
        <v>200</v>
      </c>
      <c r="H20" s="57">
        <f>$H$25*E20</f>
        <v>0</v>
      </c>
      <c r="I20" s="58">
        <f>HLOOKUP(D20,'1.4-Opbouw uurtarieven'!$M$16:$R$65,44,FALSE)</f>
        <v>0</v>
      </c>
      <c r="J20" s="59">
        <f>I20*H20</f>
        <v>0</v>
      </c>
      <c r="R20" s="24"/>
      <c r="S20" s="24"/>
      <c r="T20" s="24"/>
      <c r="U20" s="24"/>
      <c r="V20" s="24"/>
      <c r="W20" s="3" t="e">
        <f>R20/I20-1</f>
        <v>#DIV/0!</v>
      </c>
    </row>
    <row r="21" spans="1:256" ht="16">
      <c r="A21" s="26"/>
      <c r="C21" s="50"/>
      <c r="D21" s="107"/>
      <c r="E21" s="60"/>
      <c r="F21" s="61"/>
      <c r="H21" s="62"/>
      <c r="J21" s="54"/>
      <c r="R21" s="24"/>
      <c r="S21" s="24"/>
      <c r="T21" s="24"/>
      <c r="U21" s="24"/>
      <c r="V21" s="24"/>
    </row>
    <row r="22" spans="1:256" ht="16">
      <c r="B22" s="42" t="s">
        <v>161</v>
      </c>
      <c r="C22" s="50"/>
      <c r="D22" s="690" t="s">
        <v>251</v>
      </c>
      <c r="E22" s="482"/>
      <c r="F22" s="55">
        <f>H22/G22</f>
        <v>0</v>
      </c>
      <c r="G22" s="56">
        <v>200</v>
      </c>
      <c r="H22" s="57">
        <f>$H$25*E22</f>
        <v>0</v>
      </c>
      <c r="I22" s="58">
        <f>HLOOKUP(D22,'1.4-Opbouw uurtarieven'!$M$16:$R$65,44,FALSE)</f>
        <v>0</v>
      </c>
      <c r="J22" s="59">
        <f>I22*H22</f>
        <v>0</v>
      </c>
      <c r="R22" s="24"/>
      <c r="S22" s="24"/>
      <c r="T22" s="24"/>
      <c r="U22" s="24"/>
      <c r="V22" s="24"/>
    </row>
    <row r="23" spans="1:256" ht="16">
      <c r="C23" s="50"/>
      <c r="D23" s="108"/>
      <c r="E23" s="63"/>
      <c r="F23" s="64"/>
      <c r="G23" s="31"/>
      <c r="H23" s="65"/>
      <c r="I23" s="31"/>
      <c r="J23" s="31"/>
      <c r="K23" s="66"/>
      <c r="L23" s="25"/>
      <c r="M23" s="25"/>
      <c r="N23" s="25"/>
      <c r="O23" s="25"/>
      <c r="P23" s="25"/>
      <c r="Q23" s="25"/>
      <c r="R23" s="24"/>
      <c r="S23" s="24"/>
      <c r="T23" s="24"/>
      <c r="U23" s="24"/>
      <c r="V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 ht="16">
      <c r="C24" s="50"/>
      <c r="D24" s="690" t="s">
        <v>251</v>
      </c>
      <c r="E24" s="482"/>
      <c r="F24" s="55">
        <f>H24/G24</f>
        <v>0</v>
      </c>
      <c r="G24" s="56">
        <v>200</v>
      </c>
      <c r="H24" s="57">
        <f>$H$25*E24</f>
        <v>0</v>
      </c>
      <c r="I24" s="58">
        <f>HLOOKUP(D24,'1.4-Opbouw uurtarieven'!$M$16:$R$65,44,FALSE)</f>
        <v>0</v>
      </c>
      <c r="J24" s="59">
        <f>I24*H24</f>
        <v>0</v>
      </c>
      <c r="R24" s="24"/>
      <c r="S24" s="24"/>
      <c r="T24" s="24"/>
      <c r="U24" s="24"/>
      <c r="V24" s="24"/>
    </row>
    <row r="25" spans="1:256" ht="20" customHeight="1">
      <c r="C25" s="50"/>
      <c r="D25" s="109" t="str">
        <f>IF(E25&gt;100%,"Mag niet hoger zijn dan 100%","")</f>
        <v/>
      </c>
      <c r="E25" s="68">
        <f>SUM(E20:E24)</f>
        <v>0</v>
      </c>
      <c r="F25" s="103">
        <f>SUM(F20:F24)</f>
        <v>0</v>
      </c>
      <c r="G25" s="70"/>
      <c r="H25" s="104">
        <f>SUM('1.3-Basis ruimtestaat'!Q:R)</f>
        <v>0</v>
      </c>
      <c r="I25" s="70" t="s">
        <v>259</v>
      </c>
      <c r="J25" s="105">
        <f>SUM(J20:J24)</f>
        <v>0</v>
      </c>
      <c r="L25" s="27">
        <f>IF(H25=0,0,J25/H25)</f>
        <v>0</v>
      </c>
      <c r="N25" s="28">
        <f>IF(E25&gt;100,"Is hoger dan 100%",0)</f>
        <v>0</v>
      </c>
      <c r="R25" s="24"/>
      <c r="S25" s="24"/>
      <c r="T25" s="24"/>
      <c r="U25" s="24"/>
      <c r="V25" s="24"/>
    </row>
    <row r="26" spans="1:256" ht="16">
      <c r="C26" s="50"/>
      <c r="D26" s="110"/>
      <c r="E26" s="73"/>
      <c r="F26" s="69"/>
      <c r="G26" s="53"/>
      <c r="H26" s="71"/>
      <c r="I26" s="74"/>
      <c r="J26" s="72"/>
      <c r="L26" s="5"/>
      <c r="R26" s="24"/>
      <c r="S26" s="24"/>
      <c r="T26" s="24"/>
      <c r="U26" s="24"/>
      <c r="V26" s="24"/>
    </row>
    <row r="27" spans="1:256" ht="16">
      <c r="C27" s="50"/>
      <c r="D27" s="110"/>
      <c r="E27" s="73"/>
      <c r="F27" s="69"/>
      <c r="G27" s="53"/>
      <c r="H27" s="71"/>
      <c r="I27" s="74"/>
      <c r="J27" s="75"/>
      <c r="L27" s="5"/>
      <c r="R27" s="24"/>
      <c r="S27" s="24"/>
      <c r="T27" s="24"/>
      <c r="U27" s="24"/>
      <c r="V27" s="24"/>
    </row>
    <row r="28" spans="1:256" ht="16">
      <c r="C28" s="50"/>
      <c r="D28" s="110" t="s">
        <v>163</v>
      </c>
      <c r="F28" s="61"/>
      <c r="G28" s="53"/>
      <c r="H28" s="65"/>
      <c r="I28" s="53"/>
      <c r="J28" s="53"/>
      <c r="L28" s="4"/>
      <c r="R28" s="24"/>
      <c r="S28" s="24"/>
      <c r="T28" s="24"/>
      <c r="U28" s="24"/>
      <c r="V28" s="24"/>
    </row>
    <row r="29" spans="1:256" ht="16">
      <c r="C29" s="50"/>
      <c r="D29" s="107"/>
      <c r="F29" s="61"/>
      <c r="H29" s="62"/>
      <c r="J29" s="54"/>
      <c r="L29" s="5"/>
      <c r="R29" s="24"/>
      <c r="S29" s="24"/>
      <c r="T29" s="24"/>
      <c r="U29" s="24"/>
      <c r="V29" s="24"/>
    </row>
    <row r="30" spans="1:256" ht="16">
      <c r="C30" s="50"/>
      <c r="D30" s="690" t="s">
        <v>250</v>
      </c>
      <c r="E30" s="482"/>
      <c r="F30" s="55">
        <f>H30/G30</f>
        <v>0</v>
      </c>
      <c r="G30" s="56">
        <v>200</v>
      </c>
      <c r="H30" s="57">
        <f>$H$25*E30</f>
        <v>0</v>
      </c>
      <c r="I30" s="58">
        <f>HLOOKUP(D30,'1.4-Opbouw uurtarieven'!$S$16:$V$65,44,FALSE)</f>
        <v>0</v>
      </c>
      <c r="J30" s="59">
        <f>I30*H30</f>
        <v>0</v>
      </c>
      <c r="R30" s="24"/>
      <c r="S30" s="24"/>
      <c r="T30" s="24"/>
      <c r="U30" s="24"/>
      <c r="V30" s="24"/>
      <c r="W30" s="3" t="e">
        <f>R30/I30-1</f>
        <v>#DIV/0!</v>
      </c>
    </row>
    <row r="31" spans="1:256" ht="16">
      <c r="C31" s="50"/>
      <c r="D31" s="111"/>
      <c r="E31" s="60"/>
      <c r="F31" s="55"/>
      <c r="G31" s="56"/>
      <c r="H31" s="57"/>
      <c r="I31" s="58"/>
      <c r="J31" s="76"/>
      <c r="R31" s="24"/>
      <c r="S31" s="24"/>
      <c r="T31" s="24"/>
      <c r="U31" s="24"/>
      <c r="V31" s="24"/>
    </row>
    <row r="32" spans="1:256" ht="16">
      <c r="B32" s="42" t="s">
        <v>161</v>
      </c>
      <c r="C32" s="50"/>
      <c r="D32" s="690" t="s">
        <v>250</v>
      </c>
      <c r="E32" s="482">
        <v>0</v>
      </c>
      <c r="F32" s="55">
        <f>H32/G32</f>
        <v>0</v>
      </c>
      <c r="G32" s="56">
        <v>200</v>
      </c>
      <c r="H32" s="57">
        <f>$H$25*E32</f>
        <v>0</v>
      </c>
      <c r="I32" s="58">
        <f>HLOOKUP(D32,'1.4-Opbouw uurtarieven'!$S$16:$V$65,44,FALSE)</f>
        <v>0</v>
      </c>
      <c r="J32" s="59">
        <f>I32*H32</f>
        <v>0</v>
      </c>
      <c r="R32" s="24"/>
      <c r="S32" s="24"/>
      <c r="T32" s="24"/>
      <c r="U32" s="24"/>
      <c r="V32" s="24"/>
    </row>
    <row r="33" spans="1:256" ht="16">
      <c r="C33" s="50"/>
      <c r="D33" s="111"/>
      <c r="E33" s="60"/>
      <c r="F33" s="55"/>
      <c r="G33" s="56"/>
      <c r="H33" s="57"/>
      <c r="I33" s="58"/>
      <c r="J33" s="76"/>
      <c r="R33" s="24"/>
      <c r="S33" s="24"/>
      <c r="T33" s="24"/>
      <c r="U33" s="24"/>
      <c r="V33" s="24"/>
    </row>
    <row r="34" spans="1:256" ht="16">
      <c r="C34" s="50"/>
      <c r="D34" s="690" t="s">
        <v>250</v>
      </c>
      <c r="E34" s="482"/>
      <c r="F34" s="67">
        <f>H34/G34</f>
        <v>0</v>
      </c>
      <c r="G34" s="56">
        <v>200</v>
      </c>
      <c r="H34" s="77">
        <f>$H$25*E34</f>
        <v>0</v>
      </c>
      <c r="I34" s="58">
        <f>HLOOKUP(D34,'1.4-Opbouw uurtarieven'!$S$16:$V$65,44,FALSE)</f>
        <v>0</v>
      </c>
      <c r="J34" s="59">
        <f>I34*H34</f>
        <v>0</v>
      </c>
      <c r="R34" s="24"/>
      <c r="S34" s="24"/>
      <c r="T34" s="24"/>
      <c r="U34" s="24"/>
      <c r="V34" s="24"/>
    </row>
    <row r="35" spans="1:256" ht="16">
      <c r="C35" s="50"/>
      <c r="D35" s="111"/>
      <c r="E35" s="68">
        <f>SUM(E30:E34)</f>
        <v>0</v>
      </c>
      <c r="F35" s="69">
        <f>SUM(F30:F34)</f>
        <v>0</v>
      </c>
      <c r="G35" s="53"/>
      <c r="H35" s="71">
        <f>SUM(H30:H34)</f>
        <v>0</v>
      </c>
      <c r="I35" s="70" t="s">
        <v>260</v>
      </c>
      <c r="J35" s="72">
        <f>SUM(J28:J34)</f>
        <v>0</v>
      </c>
      <c r="K35" s="31"/>
      <c r="L35" s="27">
        <f>IF(H35=0,0,J35/H35)</f>
        <v>0</v>
      </c>
      <c r="N35" s="27">
        <f>J35+J25</f>
        <v>0</v>
      </c>
      <c r="O35" s="25"/>
      <c r="P35" s="25"/>
      <c r="Q35" s="25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 ht="16">
      <c r="C36" s="50"/>
      <c r="D36" s="110"/>
      <c r="E36" s="73"/>
      <c r="F36" s="78"/>
      <c r="G36" s="53"/>
      <c r="H36" s="78"/>
      <c r="I36" s="52"/>
      <c r="J36" s="79"/>
      <c r="L36" s="5"/>
      <c r="R36" s="24"/>
      <c r="S36" s="24"/>
      <c r="T36" s="24"/>
      <c r="U36" s="24"/>
      <c r="V36" s="24"/>
    </row>
    <row r="37" spans="1:256" ht="16">
      <c r="C37" s="50"/>
      <c r="D37" s="110"/>
      <c r="E37" s="73"/>
      <c r="F37" s="78"/>
      <c r="G37" s="53"/>
      <c r="H37" s="78"/>
      <c r="I37" s="78"/>
      <c r="J37" s="72"/>
      <c r="L37" s="27">
        <f>IF(H25=0,0,N35/H25)</f>
        <v>0</v>
      </c>
      <c r="R37" s="24"/>
      <c r="S37" s="24"/>
      <c r="T37" s="24"/>
      <c r="U37" s="24"/>
      <c r="V37" s="24"/>
    </row>
    <row r="38" spans="1:256" ht="16">
      <c r="C38" s="50"/>
      <c r="D38" s="110"/>
      <c r="E38" s="73"/>
      <c r="F38" s="78"/>
      <c r="G38" s="53"/>
      <c r="H38" s="78"/>
      <c r="I38" s="78"/>
      <c r="J38" s="72"/>
      <c r="L38" s="5"/>
      <c r="R38" s="24"/>
      <c r="S38" s="24"/>
      <c r="T38" s="24"/>
      <c r="U38" s="24"/>
      <c r="V38" s="24"/>
    </row>
    <row r="39" spans="1:256" ht="16">
      <c r="C39" s="50"/>
      <c r="D39" s="110"/>
      <c r="E39" s="73"/>
      <c r="F39" s="78"/>
      <c r="G39" s="53"/>
      <c r="H39" s="78"/>
      <c r="I39" s="70" t="s">
        <v>294</v>
      </c>
      <c r="J39" s="72">
        <f>J35+J25</f>
        <v>0</v>
      </c>
      <c r="L39" s="5"/>
      <c r="R39" s="24"/>
      <c r="S39" s="24"/>
      <c r="T39" s="24"/>
      <c r="U39" s="24"/>
      <c r="V39" s="24"/>
    </row>
    <row r="40" spans="1:256" ht="16">
      <c r="C40" s="50"/>
      <c r="D40" s="108"/>
      <c r="E40" s="63"/>
      <c r="F40" s="64"/>
      <c r="G40" s="31"/>
      <c r="H40" s="65"/>
      <c r="I40" s="31"/>
      <c r="J40" s="31"/>
      <c r="K40" s="66"/>
      <c r="L40" s="25"/>
      <c r="M40" s="25"/>
      <c r="N40" s="25"/>
      <c r="O40" s="25"/>
      <c r="P40" s="25"/>
      <c r="Q40" s="25"/>
      <c r="R40" s="24"/>
      <c r="S40" s="24"/>
      <c r="T40" s="24"/>
      <c r="U40" s="24"/>
      <c r="V40" s="2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</row>
    <row r="41" spans="1:256" ht="16">
      <c r="C41" s="50"/>
      <c r="D41" s="110"/>
      <c r="E41" s="80"/>
      <c r="F41" s="78"/>
      <c r="G41" s="53"/>
      <c r="H41" s="53"/>
      <c r="I41" s="78"/>
      <c r="J41" s="74"/>
      <c r="L41" s="5"/>
      <c r="R41" s="24"/>
      <c r="S41" s="24"/>
      <c r="T41" s="24"/>
      <c r="U41" s="24"/>
      <c r="V41" s="24"/>
    </row>
    <row r="42" spans="1:256" ht="17">
      <c r="C42" s="50"/>
      <c r="D42" s="117" t="s">
        <v>1040</v>
      </c>
      <c r="E42" s="80"/>
      <c r="F42" s="78"/>
      <c r="G42" s="53"/>
      <c r="H42" s="78"/>
      <c r="I42" s="52"/>
      <c r="J42" s="72"/>
      <c r="L42" s="5"/>
      <c r="R42" s="24"/>
      <c r="S42" s="24"/>
      <c r="T42" s="24"/>
      <c r="U42" s="24"/>
      <c r="V42" s="24"/>
    </row>
    <row r="43" spans="1:256" ht="16">
      <c r="C43" s="50"/>
      <c r="D43" s="110"/>
      <c r="E43" s="80"/>
      <c r="F43" s="78"/>
      <c r="G43" s="53"/>
      <c r="H43" s="78"/>
      <c r="I43" s="52"/>
      <c r="J43" s="79"/>
      <c r="R43" s="24"/>
      <c r="S43" s="24"/>
      <c r="T43" s="24"/>
      <c r="U43" s="24"/>
      <c r="V43" s="24"/>
    </row>
    <row r="44" spans="1:256" ht="16">
      <c r="C44" s="50"/>
      <c r="D44" s="110"/>
      <c r="E44" s="80"/>
      <c r="F44" s="78"/>
      <c r="G44" s="53"/>
      <c r="I44" s="121"/>
      <c r="J44" s="72"/>
      <c r="L44" s="29"/>
      <c r="R44" s="24"/>
      <c r="S44" s="24"/>
      <c r="T44" s="24"/>
      <c r="U44" s="24"/>
      <c r="V44" s="24"/>
    </row>
    <row r="45" spans="1:256" ht="16">
      <c r="A45" s="788"/>
      <c r="C45" s="50"/>
      <c r="D45" s="110"/>
      <c r="E45" s="80"/>
      <c r="F45" s="78"/>
      <c r="G45" s="53"/>
      <c r="H45" s="78"/>
      <c r="I45" s="52"/>
      <c r="J45" s="79"/>
      <c r="R45" s="24"/>
      <c r="S45" s="24"/>
      <c r="T45" s="24"/>
      <c r="U45" s="24"/>
      <c r="V45" s="24"/>
    </row>
    <row r="46" spans="1:256" s="24" customFormat="1" ht="17">
      <c r="A46" s="788"/>
      <c r="B46" s="30"/>
      <c r="C46" s="50"/>
      <c r="D46" s="116" t="s">
        <v>124</v>
      </c>
      <c r="E46" s="47"/>
      <c r="F46" s="47"/>
      <c r="G46" s="47"/>
      <c r="H46" s="47"/>
      <c r="I46" s="47"/>
      <c r="J46" s="48"/>
      <c r="K46" s="37"/>
    </row>
    <row r="47" spans="1:256">
      <c r="A47" s="788"/>
      <c r="C47" s="50"/>
      <c r="D47" s="110"/>
      <c r="E47" s="52"/>
      <c r="F47" s="81"/>
      <c r="G47" s="82"/>
      <c r="H47" s="81"/>
      <c r="I47" s="52"/>
      <c r="J47" s="52"/>
    </row>
    <row r="48" spans="1:256" ht="17">
      <c r="A48" s="788"/>
      <c r="B48" s="34"/>
      <c r="C48" s="50"/>
      <c r="D48" s="110"/>
      <c r="E48" s="52"/>
      <c r="G48" s="82" t="s">
        <v>375</v>
      </c>
      <c r="H48" s="81" t="s">
        <v>376</v>
      </c>
      <c r="I48" s="81" t="s">
        <v>377</v>
      </c>
      <c r="J48" s="52"/>
      <c r="L48" s="5"/>
    </row>
    <row r="49" spans="1:19">
      <c r="A49" s="789"/>
      <c r="C49" s="50"/>
      <c r="D49" s="605"/>
      <c r="E49" s="52"/>
      <c r="G49" s="836"/>
      <c r="H49" s="836"/>
      <c r="I49" s="836"/>
      <c r="J49" s="76">
        <f>I49*H49*G49</f>
        <v>0</v>
      </c>
      <c r="L49" s="5"/>
    </row>
    <row r="50" spans="1:19">
      <c r="A50" s="789"/>
      <c r="C50" s="50"/>
      <c r="D50" s="606"/>
      <c r="E50" s="52"/>
      <c r="G50" s="836"/>
      <c r="H50" s="836"/>
      <c r="I50" s="836"/>
      <c r="J50" s="76">
        <f>I50*H50*G50</f>
        <v>0</v>
      </c>
      <c r="L50" s="29"/>
    </row>
    <row r="51" spans="1:19">
      <c r="A51" s="789"/>
      <c r="C51" s="50"/>
      <c r="D51" s="606"/>
      <c r="E51" s="52"/>
      <c r="G51" s="836"/>
      <c r="H51" s="836"/>
      <c r="I51" s="836"/>
      <c r="J51" s="76">
        <f>I51*H51*G51</f>
        <v>0</v>
      </c>
      <c r="L51" s="27"/>
      <c r="M51" s="4"/>
      <c r="N51" s="5"/>
      <c r="O51" s="4"/>
    </row>
    <row r="52" spans="1:19">
      <c r="A52" s="789"/>
      <c r="C52" s="50"/>
      <c r="D52" s="607"/>
      <c r="E52" s="52"/>
      <c r="G52" s="836"/>
      <c r="H52" s="836"/>
      <c r="I52" s="836"/>
      <c r="J52" s="76">
        <f>I52*H52*G52</f>
        <v>0</v>
      </c>
      <c r="L52" s="27">
        <f>IF(H25=0,0,J44/H25)</f>
        <v>0</v>
      </c>
      <c r="M52" s="4"/>
      <c r="N52" s="5"/>
      <c r="O52" s="4"/>
    </row>
    <row r="53" spans="1:19">
      <c r="A53" s="789"/>
      <c r="C53" s="50"/>
      <c r="D53" s="108"/>
      <c r="E53" s="52"/>
      <c r="J53" s="76"/>
      <c r="L53" s="27"/>
      <c r="M53" s="4"/>
      <c r="N53" s="5"/>
      <c r="O53" s="4"/>
    </row>
    <row r="54" spans="1:19">
      <c r="A54" s="789"/>
      <c r="C54" s="50"/>
      <c r="D54" s="108"/>
      <c r="E54" s="52"/>
      <c r="G54" s="83"/>
      <c r="H54" s="83"/>
      <c r="I54" s="83"/>
      <c r="J54" s="83"/>
      <c r="L54" s="27"/>
      <c r="M54" s="4"/>
      <c r="N54" s="5"/>
      <c r="O54" s="4"/>
    </row>
    <row r="55" spans="1:19">
      <c r="A55" s="788"/>
      <c r="C55" s="50"/>
      <c r="D55" s="112"/>
      <c r="E55" s="52"/>
      <c r="F55" s="52"/>
      <c r="G55" s="52"/>
      <c r="H55" s="52"/>
      <c r="I55" s="52"/>
      <c r="J55" s="52"/>
    </row>
    <row r="56" spans="1:19" ht="23" customHeight="1">
      <c r="A56" s="788"/>
      <c r="C56" s="50"/>
      <c r="D56" s="113"/>
      <c r="G56" s="118" t="s">
        <v>4</v>
      </c>
      <c r="H56" s="119"/>
      <c r="I56" s="120"/>
      <c r="J56" s="630">
        <f>SUM(J39:J55)</f>
        <v>0</v>
      </c>
      <c r="M56" s="4"/>
      <c r="O56" s="5"/>
      <c r="S56" s="779"/>
    </row>
    <row r="57" spans="1:19" ht="17" customHeight="1">
      <c r="A57" s="788"/>
      <c r="C57" s="50"/>
      <c r="D57" s="114"/>
      <c r="G57" s="49" t="s">
        <v>5</v>
      </c>
      <c r="I57" s="84">
        <v>0.21</v>
      </c>
      <c r="J57" s="85">
        <f>I57*J56</f>
        <v>0</v>
      </c>
    </row>
    <row r="58" spans="1:19" ht="17" customHeight="1">
      <c r="A58" s="788"/>
      <c r="C58" s="50"/>
      <c r="D58" s="114"/>
      <c r="G58" s="49" t="s">
        <v>94</v>
      </c>
      <c r="J58" s="76">
        <f>J57+J56</f>
        <v>0</v>
      </c>
      <c r="M58" s="4"/>
      <c r="N58" s="5"/>
      <c r="O58" s="5"/>
    </row>
    <row r="59" spans="1:19">
      <c r="A59" s="788"/>
      <c r="C59" s="50"/>
      <c r="D59" s="112"/>
      <c r="E59" s="52"/>
      <c r="F59" s="52"/>
      <c r="G59" s="52"/>
      <c r="H59" s="52"/>
      <c r="I59" s="52"/>
      <c r="J59" s="76"/>
    </row>
    <row r="60" spans="1:19">
      <c r="C60" s="50"/>
      <c r="D60" s="112"/>
      <c r="E60" s="52"/>
      <c r="F60" s="52"/>
      <c r="G60" s="52"/>
      <c r="H60" s="52"/>
      <c r="I60" s="52"/>
      <c r="J60" s="76"/>
    </row>
    <row r="61" spans="1:19">
      <c r="C61" s="50"/>
      <c r="D61" s="112"/>
      <c r="E61" s="52"/>
      <c r="F61" s="52"/>
      <c r="G61" s="52"/>
      <c r="H61" s="52"/>
      <c r="I61" s="52"/>
      <c r="J61" s="76"/>
    </row>
    <row r="62" spans="1:19" ht="16" thickBot="1">
      <c r="C62" s="50"/>
      <c r="D62" s="112"/>
      <c r="E62" s="52"/>
      <c r="F62" s="52"/>
      <c r="G62" s="52"/>
      <c r="H62" s="52"/>
      <c r="I62" s="52"/>
      <c r="J62" s="76"/>
    </row>
    <row r="63" spans="1:19" ht="23" customHeight="1" thickBot="1">
      <c r="A63" s="32"/>
      <c r="C63" s="50"/>
      <c r="D63" s="115" t="s">
        <v>340</v>
      </c>
      <c r="E63" s="115"/>
      <c r="F63" s="88">
        <f>IF(J39=0,0,J39/H25)</f>
        <v>0</v>
      </c>
      <c r="G63" s="629" t="s">
        <v>380</v>
      </c>
      <c r="H63" s="52"/>
      <c r="I63" s="52"/>
      <c r="J63" s="76"/>
    </row>
    <row r="64" spans="1:19">
      <c r="C64" s="50"/>
      <c r="D64" s="112"/>
      <c r="E64" s="52"/>
      <c r="F64" s="52"/>
      <c r="G64" s="52"/>
      <c r="H64" s="52"/>
      <c r="I64" s="52"/>
      <c r="J64" s="76"/>
    </row>
    <row r="65" spans="1:11">
      <c r="C65" s="50"/>
      <c r="D65" s="114"/>
      <c r="J65" s="628"/>
    </row>
    <row r="66" spans="1:11" ht="17">
      <c r="C66" s="50"/>
      <c r="D66" s="116" t="s">
        <v>295</v>
      </c>
    </row>
    <row r="67" spans="1:11">
      <c r="C67" s="50"/>
      <c r="D67" s="114"/>
    </row>
    <row r="68" spans="1:11" s="20" customFormat="1" ht="62" customHeight="1">
      <c r="A68" s="6"/>
      <c r="B68" s="30"/>
      <c r="C68" s="50"/>
      <c r="D68" s="92"/>
      <c r="E68" s="92"/>
      <c r="F68" s="93" t="s">
        <v>305</v>
      </c>
      <c r="G68" s="94" t="s">
        <v>326</v>
      </c>
      <c r="H68" s="94" t="s">
        <v>306</v>
      </c>
      <c r="I68" s="94"/>
      <c r="J68" s="94" t="s">
        <v>302</v>
      </c>
      <c r="K68" s="51"/>
    </row>
    <row r="69" spans="1:11" s="20" customFormat="1">
      <c r="A69" s="6"/>
      <c r="B69" s="30"/>
      <c r="C69" s="50"/>
      <c r="D69" s="98"/>
      <c r="E69" s="96"/>
      <c r="F69" s="97"/>
      <c r="G69" s="97"/>
      <c r="H69" s="97"/>
      <c r="I69" s="97"/>
      <c r="J69" s="97"/>
      <c r="K69" s="51"/>
    </row>
    <row r="70" spans="1:11">
      <c r="B70" s="50"/>
      <c r="C70" s="50"/>
      <c r="D70" s="114"/>
    </row>
    <row r="71" spans="1:11">
      <c r="B71" s="50"/>
      <c r="C71" s="50"/>
      <c r="D71" s="114"/>
      <c r="F71" s="86">
        <f>SUM('1.8-Glasbewassing'!F15:F210)</f>
        <v>3543.1</v>
      </c>
      <c r="J71" s="87">
        <f>SUM('1.8-Glasbewassing'!Y:Y)</f>
        <v>0</v>
      </c>
    </row>
    <row r="72" spans="1:11">
      <c r="C72" s="50"/>
      <c r="D72" s="114"/>
      <c r="G72" s="86">
        <f>SUM('1.8-Glasbewassing'!G15:G211)</f>
        <v>3696.6</v>
      </c>
      <c r="J72" s="87">
        <f>SUM('1.8-Glasbewassing'!Z:Z)</f>
        <v>0</v>
      </c>
    </row>
    <row r="73" spans="1:11">
      <c r="C73" s="50"/>
      <c r="D73" s="114"/>
      <c r="H73" s="86">
        <f>SUM('1.8-Glasbewassing'!H15:H212)</f>
        <v>3193.1</v>
      </c>
      <c r="J73" s="87">
        <f>SUM('1.8-Glasbewassing'!AA:AA)</f>
        <v>0</v>
      </c>
    </row>
    <row r="74" spans="1:11">
      <c r="C74" s="50"/>
      <c r="D74" s="114"/>
    </row>
    <row r="75" spans="1:11">
      <c r="C75" s="50"/>
      <c r="D75" s="114"/>
      <c r="E75" s="3"/>
      <c r="G75" s="32" t="s">
        <v>307</v>
      </c>
      <c r="J75" s="87">
        <f>SUM('1.8-Glasbewassing'!S:S)</f>
        <v>0</v>
      </c>
    </row>
    <row r="76" spans="1:11">
      <c r="C76" s="50"/>
      <c r="D76" s="114"/>
      <c r="H76" s="86"/>
      <c r="J76" s="3"/>
    </row>
    <row r="77" spans="1:11">
      <c r="C77" s="50"/>
      <c r="D77" s="114"/>
    </row>
    <row r="78" spans="1:11">
      <c r="C78" s="50"/>
      <c r="D78" s="114"/>
    </row>
    <row r="79" spans="1:11" ht="23" customHeight="1">
      <c r="C79" s="50"/>
      <c r="D79" s="114"/>
      <c r="G79" s="118" t="s">
        <v>4</v>
      </c>
      <c r="H79" s="119"/>
      <c r="I79" s="120"/>
      <c r="J79" s="630">
        <f>SUM(J71:J78)</f>
        <v>0</v>
      </c>
    </row>
    <row r="80" spans="1:11">
      <c r="C80" s="50"/>
      <c r="D80" s="114"/>
      <c r="G80" s="49" t="s">
        <v>5</v>
      </c>
      <c r="I80" s="84">
        <v>0.21</v>
      </c>
      <c r="J80" s="85">
        <f>I80*J79</f>
        <v>0</v>
      </c>
    </row>
    <row r="81" spans="3:11">
      <c r="C81" s="50"/>
      <c r="D81" s="114"/>
      <c r="G81" s="49" t="s">
        <v>94</v>
      </c>
      <c r="J81" s="76">
        <f>J80+J79</f>
        <v>0</v>
      </c>
    </row>
    <row r="82" spans="3:11">
      <c r="C82" s="50"/>
      <c r="D82" s="114"/>
    </row>
    <row r="83" spans="3:11">
      <c r="C83" s="50"/>
      <c r="D83" s="107"/>
    </row>
    <row r="84" spans="3:11" ht="16" thickBot="1">
      <c r="C84" s="50"/>
      <c r="D84" s="3"/>
    </row>
    <row r="85" spans="3:11">
      <c r="C85" s="50"/>
      <c r="D85" s="183"/>
      <c r="E85" s="102"/>
      <c r="F85" s="102"/>
      <c r="G85" s="102"/>
      <c r="H85" s="102"/>
      <c r="I85" s="102"/>
      <c r="J85" s="102"/>
      <c r="K85" s="184"/>
    </row>
    <row r="86" spans="3:11">
      <c r="C86" s="50"/>
    </row>
    <row r="87" spans="3:11">
      <c r="C87" s="50"/>
    </row>
    <row r="88" spans="3:11">
      <c r="C88" s="50"/>
    </row>
    <row r="89" spans="3:11">
      <c r="C89" s="50"/>
    </row>
    <row r="90" spans="3:11">
      <c r="C90" s="50"/>
    </row>
    <row r="91" spans="3:11">
      <c r="C91" s="50"/>
    </row>
    <row r="92" spans="3:11">
      <c r="C92" s="50"/>
    </row>
    <row r="93" spans="3:11">
      <c r="C93" s="50"/>
    </row>
    <row r="94" spans="3:11">
      <c r="C94" s="50"/>
    </row>
    <row r="95" spans="3:11">
      <c r="C95" s="50"/>
    </row>
    <row r="96" spans="3:11">
      <c r="C96" s="50"/>
    </row>
    <row r="97" spans="3:3">
      <c r="C97" s="50"/>
    </row>
    <row r="98" spans="3:3">
      <c r="C98" s="50"/>
    </row>
    <row r="99" spans="3:3">
      <c r="C99" s="50"/>
    </row>
    <row r="100" spans="3:3">
      <c r="C100" s="50"/>
    </row>
    <row r="101" spans="3:3">
      <c r="C101" s="50"/>
    </row>
    <row r="102" spans="3:3">
      <c r="C102" s="50"/>
    </row>
    <row r="103" spans="3:3">
      <c r="C103" s="50"/>
    </row>
    <row r="104" spans="3:3">
      <c r="C104" s="50"/>
    </row>
    <row r="105" spans="3:3">
      <c r="C105" s="50"/>
    </row>
    <row r="106" spans="3:3">
      <c r="C106" s="50"/>
    </row>
    <row r="107" spans="3:3">
      <c r="C107" s="50"/>
    </row>
    <row r="108" spans="3:3">
      <c r="C108" s="50"/>
    </row>
    <row r="109" spans="3:3">
      <c r="C109" s="50"/>
    </row>
    <row r="110" spans="3:3">
      <c r="C110" s="50"/>
    </row>
    <row r="111" spans="3:3">
      <c r="C111" s="50"/>
    </row>
    <row r="112" spans="3:3">
      <c r="C112" s="50"/>
    </row>
    <row r="113" spans="3:3">
      <c r="C113" s="50"/>
    </row>
    <row r="114" spans="3:3">
      <c r="C114" s="50"/>
    </row>
    <row r="115" spans="3:3">
      <c r="C115" s="50"/>
    </row>
    <row r="116" spans="3:3">
      <c r="C116" s="50"/>
    </row>
    <row r="117" spans="3:3">
      <c r="C117" s="50"/>
    </row>
    <row r="118" spans="3:3">
      <c r="C118" s="50"/>
    </row>
    <row r="119" spans="3:3">
      <c r="C119" s="50"/>
    </row>
    <row r="120" spans="3:3">
      <c r="C120" s="50"/>
    </row>
    <row r="121" spans="3:3">
      <c r="C121" s="50"/>
    </row>
    <row r="122" spans="3:3">
      <c r="C122" s="50"/>
    </row>
    <row r="123" spans="3:3">
      <c r="C123" s="50"/>
    </row>
    <row r="124" spans="3:3">
      <c r="C124" s="50"/>
    </row>
    <row r="125" spans="3:3">
      <c r="C125" s="50"/>
    </row>
    <row r="126" spans="3:3">
      <c r="C126" s="50"/>
    </row>
    <row r="127" spans="3:3">
      <c r="C127" s="50"/>
    </row>
    <row r="128" spans="3:3">
      <c r="C128" s="50"/>
    </row>
    <row r="129" spans="3:3">
      <c r="C129" s="50"/>
    </row>
    <row r="130" spans="3:3">
      <c r="C130" s="50"/>
    </row>
    <row r="131" spans="3:3">
      <c r="C131" s="50"/>
    </row>
    <row r="132" spans="3:3">
      <c r="C132" s="50"/>
    </row>
    <row r="133" spans="3:3">
      <c r="C133" s="50"/>
    </row>
    <row r="134" spans="3:3">
      <c r="C134" s="50"/>
    </row>
    <row r="135" spans="3:3">
      <c r="C135" s="50"/>
    </row>
    <row r="136" spans="3:3">
      <c r="C136" s="50"/>
    </row>
    <row r="137" spans="3:3">
      <c r="C137" s="50"/>
    </row>
    <row r="138" spans="3:3">
      <c r="C138" s="50"/>
    </row>
    <row r="139" spans="3:3">
      <c r="C139" s="50"/>
    </row>
    <row r="140" spans="3:3">
      <c r="C140" s="50"/>
    </row>
    <row r="141" spans="3:3">
      <c r="C141" s="50"/>
    </row>
    <row r="142" spans="3:3">
      <c r="C142" s="50"/>
    </row>
    <row r="143" spans="3:3">
      <c r="C143" s="50"/>
    </row>
    <row r="144" spans="3:3">
      <c r="C144" s="50"/>
    </row>
    <row r="145" spans="3:3">
      <c r="C145" s="50"/>
    </row>
    <row r="146" spans="3:3">
      <c r="C146" s="50"/>
    </row>
    <row r="147" spans="3:3">
      <c r="C147" s="50"/>
    </row>
    <row r="148" spans="3:3">
      <c r="C148" s="50"/>
    </row>
    <row r="149" spans="3:3">
      <c r="C149" s="50"/>
    </row>
    <row r="150" spans="3:3">
      <c r="C150" s="50"/>
    </row>
    <row r="151" spans="3:3">
      <c r="C151" s="50"/>
    </row>
    <row r="152" spans="3:3">
      <c r="C152" s="50"/>
    </row>
    <row r="153" spans="3:3">
      <c r="C153" s="50"/>
    </row>
    <row r="154" spans="3:3">
      <c r="C154" s="50"/>
    </row>
    <row r="155" spans="3:3">
      <c r="C155" s="50"/>
    </row>
    <row r="156" spans="3:3">
      <c r="C156" s="50"/>
    </row>
    <row r="157" spans="3:3">
      <c r="C157" s="50"/>
    </row>
    <row r="158" spans="3:3">
      <c r="C158" s="50"/>
    </row>
    <row r="159" spans="3:3">
      <c r="C159" s="50"/>
    </row>
    <row r="160" spans="3:3">
      <c r="C160" s="50"/>
    </row>
    <row r="161" spans="3:3">
      <c r="C161" s="50"/>
    </row>
    <row r="162" spans="3:3">
      <c r="C162" s="50"/>
    </row>
    <row r="163" spans="3:3">
      <c r="C163" s="50"/>
    </row>
    <row r="164" spans="3:3">
      <c r="C164" s="50"/>
    </row>
    <row r="165" spans="3:3">
      <c r="C165" s="50"/>
    </row>
    <row r="166" spans="3:3">
      <c r="C166" s="50"/>
    </row>
    <row r="167" spans="3:3">
      <c r="C167" s="50"/>
    </row>
    <row r="168" spans="3:3">
      <c r="C168" s="50"/>
    </row>
    <row r="169" spans="3:3">
      <c r="C169" s="50"/>
    </row>
    <row r="170" spans="3:3">
      <c r="C170" s="50"/>
    </row>
    <row r="171" spans="3:3">
      <c r="C171" s="50"/>
    </row>
    <row r="172" spans="3:3">
      <c r="C172" s="50"/>
    </row>
    <row r="173" spans="3:3">
      <c r="C173" s="50"/>
    </row>
    <row r="174" spans="3:3">
      <c r="C174" s="50"/>
    </row>
    <row r="175" spans="3:3">
      <c r="C175" s="50"/>
    </row>
    <row r="176" spans="3:3">
      <c r="C176" s="50"/>
    </row>
    <row r="177" spans="3:3">
      <c r="C177" s="50"/>
    </row>
    <row r="178" spans="3:3">
      <c r="C178" s="50"/>
    </row>
    <row r="179" spans="3:3">
      <c r="C179" s="50"/>
    </row>
    <row r="180" spans="3:3">
      <c r="C180" s="50"/>
    </row>
    <row r="181" spans="3:3">
      <c r="C181" s="50"/>
    </row>
    <row r="182" spans="3:3">
      <c r="C182" s="50"/>
    </row>
    <row r="183" spans="3:3">
      <c r="C183" s="50"/>
    </row>
    <row r="184" spans="3:3">
      <c r="C184" s="50"/>
    </row>
    <row r="185" spans="3:3">
      <c r="C185" s="50"/>
    </row>
    <row r="186" spans="3:3">
      <c r="C186" s="50"/>
    </row>
    <row r="187" spans="3:3">
      <c r="C187" s="50"/>
    </row>
    <row r="188" spans="3:3">
      <c r="C188" s="50"/>
    </row>
    <row r="189" spans="3:3">
      <c r="C189" s="50"/>
    </row>
    <row r="190" spans="3:3">
      <c r="C190" s="50"/>
    </row>
    <row r="191" spans="3:3">
      <c r="C191" s="50"/>
    </row>
    <row r="192" spans="3:3">
      <c r="C192" s="50"/>
    </row>
    <row r="193" spans="3:3">
      <c r="C193" s="50"/>
    </row>
    <row r="194" spans="3:3">
      <c r="C194" s="50"/>
    </row>
    <row r="195" spans="3:3">
      <c r="C195" s="50"/>
    </row>
    <row r="196" spans="3:3">
      <c r="C196" s="50"/>
    </row>
    <row r="197" spans="3:3">
      <c r="C197" s="50"/>
    </row>
    <row r="198" spans="3:3">
      <c r="C198" s="50"/>
    </row>
    <row r="199" spans="3:3">
      <c r="C199" s="50"/>
    </row>
    <row r="200" spans="3:3">
      <c r="C200" s="50"/>
    </row>
    <row r="201" spans="3:3">
      <c r="C201" s="50"/>
    </row>
    <row r="202" spans="3:3">
      <c r="C202" s="50"/>
    </row>
    <row r="203" spans="3:3">
      <c r="C203" s="50"/>
    </row>
    <row r="204" spans="3:3">
      <c r="C204" s="50"/>
    </row>
    <row r="205" spans="3:3">
      <c r="C205" s="50"/>
    </row>
    <row r="206" spans="3:3">
      <c r="C206" s="50"/>
    </row>
    <row r="207" spans="3:3">
      <c r="C207" s="50"/>
    </row>
    <row r="208" spans="3:3">
      <c r="C208" s="50"/>
    </row>
    <row r="209" spans="3:3">
      <c r="C209" s="50"/>
    </row>
    <row r="210" spans="3:3">
      <c r="C210" s="50"/>
    </row>
    <row r="211" spans="3:3">
      <c r="C211" s="50"/>
    </row>
    <row r="212" spans="3:3">
      <c r="C212" s="50"/>
    </row>
    <row r="213" spans="3:3">
      <c r="C213" s="50"/>
    </row>
    <row r="214" spans="3:3">
      <c r="C214" s="50"/>
    </row>
    <row r="215" spans="3:3">
      <c r="C215" s="50"/>
    </row>
    <row r="216" spans="3:3">
      <c r="C216" s="50"/>
    </row>
    <row r="217" spans="3:3">
      <c r="C217" s="50"/>
    </row>
    <row r="218" spans="3:3">
      <c r="C218" s="50"/>
    </row>
    <row r="219" spans="3:3">
      <c r="C219" s="50"/>
    </row>
    <row r="220" spans="3:3">
      <c r="C220" s="50"/>
    </row>
    <row r="221" spans="3:3">
      <c r="C221" s="50"/>
    </row>
    <row r="222" spans="3:3">
      <c r="C222" s="50"/>
    </row>
    <row r="223" spans="3:3"/>
    <row r="224" spans="3:3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</sheetData>
  <mergeCells count="1">
    <mergeCell ref="A14:B17"/>
  </mergeCells>
  <phoneticPr fontId="9"/>
  <conditionalFormatting sqref="B22">
    <cfRule type="cellIs" dxfId="178" priority="124" operator="greaterThan">
      <formula>0</formula>
    </cfRule>
  </conditionalFormatting>
  <conditionalFormatting sqref="B32">
    <cfRule type="cellIs" dxfId="177" priority="112" operator="greaterThan">
      <formula>0</formula>
    </cfRule>
  </conditionalFormatting>
  <conditionalFormatting sqref="D56">
    <cfRule type="cellIs" dxfId="176" priority="74" operator="greaterThan">
      <formula>0</formula>
    </cfRule>
  </conditionalFormatting>
  <conditionalFormatting sqref="E20">
    <cfRule type="cellIs" dxfId="175" priority="3" operator="greaterThan">
      <formula>0</formula>
    </cfRule>
  </conditionalFormatting>
  <conditionalFormatting sqref="E22">
    <cfRule type="cellIs" dxfId="174" priority="4" operator="greaterThan">
      <formula>0</formula>
    </cfRule>
  </conditionalFormatting>
  <conditionalFormatting sqref="E24">
    <cfRule type="cellIs" dxfId="173" priority="51" operator="greaterThan">
      <formula>0</formula>
    </cfRule>
  </conditionalFormatting>
  <conditionalFormatting sqref="E25:E27 E36:E39">
    <cfRule type="cellIs" dxfId="172" priority="259" stopIfTrue="1" operator="greaterThan">
      <formula>1</formula>
    </cfRule>
  </conditionalFormatting>
  <conditionalFormatting sqref="E30">
    <cfRule type="cellIs" dxfId="171" priority="2" operator="greaterThan">
      <formula>0</formula>
    </cfRule>
  </conditionalFormatting>
  <conditionalFormatting sqref="E32">
    <cfRule type="cellIs" dxfId="170" priority="48" operator="greaterThan">
      <formula>0</formula>
    </cfRule>
  </conditionalFormatting>
  <conditionalFormatting sqref="E34">
    <cfRule type="cellIs" dxfId="169" priority="39" operator="greaterThan">
      <formula>0</formula>
    </cfRule>
  </conditionalFormatting>
  <conditionalFormatting sqref="J20">
    <cfRule type="cellIs" dxfId="167" priority="176" operator="greaterThan">
      <formula>0</formula>
    </cfRule>
  </conditionalFormatting>
  <conditionalFormatting sqref="J22">
    <cfRule type="cellIs" dxfId="166" priority="44" operator="greaterThan">
      <formula>0</formula>
    </cfRule>
  </conditionalFormatting>
  <conditionalFormatting sqref="J24:J27">
    <cfRule type="cellIs" dxfId="165" priority="43" operator="greaterThan">
      <formula>0</formula>
    </cfRule>
  </conditionalFormatting>
  <conditionalFormatting sqref="J30">
    <cfRule type="cellIs" dxfId="164" priority="168" operator="greaterThan">
      <formula>0</formula>
    </cfRule>
  </conditionalFormatting>
  <conditionalFormatting sqref="J32">
    <cfRule type="cellIs" dxfId="163" priority="47" operator="greaterThan">
      <formula>0</formula>
    </cfRule>
  </conditionalFormatting>
  <conditionalFormatting sqref="J34:J35">
    <cfRule type="cellIs" dxfId="162" priority="164" operator="greaterThan">
      <formula>0</formula>
    </cfRule>
  </conditionalFormatting>
  <conditionalFormatting sqref="J37:J39">
    <cfRule type="cellIs" dxfId="161" priority="63" operator="greaterThan">
      <formula>0</formula>
    </cfRule>
  </conditionalFormatting>
  <conditionalFormatting sqref="J42">
    <cfRule type="cellIs" dxfId="160" priority="179" operator="greaterThan">
      <formula>0</formula>
    </cfRule>
  </conditionalFormatting>
  <conditionalFormatting sqref="J44">
    <cfRule type="cellIs" dxfId="159" priority="181" operator="greaterThan">
      <formula>0</formula>
    </cfRule>
  </conditionalFormatting>
  <conditionalFormatting sqref="J56">
    <cfRule type="cellIs" dxfId="158" priority="180" operator="greaterThan">
      <formula>0</formula>
    </cfRule>
  </conditionalFormatting>
  <conditionalFormatting sqref="J79">
    <cfRule type="cellIs" dxfId="157" priority="45" operator="greaterThan">
      <formula>0</formula>
    </cfRule>
  </conditionalFormatting>
  <conditionalFormatting sqref="G49:I52">
    <cfRule type="cellIs" dxfId="3" priority="1" operator="greaterThan">
      <formula>0</formula>
    </cfRule>
  </conditionalFormatting>
  <dataValidations xWindow="213" yWindow="580" count="4">
    <dataValidation allowBlank="1" showInputMessage="1" showErrorMessage="1" promptTitle="Toelichting" prompt="Vul in deze gekleurde cellen de gevraagde informatie in (percentages inzet medewerkers). Let op: Het totale percentage mag niet hoger zijn dan 100%_x000d_" sqref="A5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32 B22" xr:uid="{00000000-0002-0000-0200-000001000000}"/>
    <dataValidation type="list" allowBlank="1" showInputMessage="1" showErrorMessage="1" sqref="D22 D24 D20" xr:uid="{3F7F4EDC-1284-FC43-9FE1-F1EF5578FC7B}">
      <formula1>tariefSMO</formula1>
    </dataValidation>
    <dataValidation type="list" allowBlank="1" showInputMessage="1" showErrorMessage="1" sqref="D34 D32 D30" xr:uid="{49307662-B4F3-AF47-9BC2-8FD31A467F51}">
      <formula1>tariefTZ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7" orientation="portrait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Y747"/>
  <sheetViews>
    <sheetView showGridLines="0" showRowColHeaders="0" showZeros="0" showOutlineSymbols="0" topLeftCell="A26" zoomScale="124" zoomScaleNormal="124" zoomScaleSheetLayoutView="94" workbookViewId="0">
      <selection activeCell="D62" sqref="D62"/>
    </sheetView>
  </sheetViews>
  <sheetFormatPr baseColWidth="10" defaultColWidth="0" defaultRowHeight="15" zeroHeight="1"/>
  <cols>
    <col min="1" max="1" width="8.19921875" style="679" customWidth="1"/>
    <col min="2" max="2" width="39.19921875" style="43" bestFit="1" customWidth="1"/>
    <col min="3" max="3" width="30.3984375" style="43" customWidth="1"/>
    <col min="4" max="4" width="23.59765625" style="43" customWidth="1"/>
    <col min="5" max="5" width="22.19921875" style="43" customWidth="1"/>
    <col min="6" max="6" width="22.796875" style="43" customWidth="1"/>
    <col min="7" max="7" width="23.19921875" style="43" customWidth="1"/>
    <col min="8" max="9" width="23.59765625" style="43" customWidth="1"/>
    <col min="10" max="10" width="23.3984375" style="43" customWidth="1"/>
    <col min="11" max="11" width="20" style="43" customWidth="1"/>
    <col min="12" max="12" width="19.19921875" style="43" customWidth="1"/>
    <col min="13" max="13" width="31.19921875" style="43" customWidth="1"/>
    <col min="14" max="14" width="6.796875" style="43" customWidth="1"/>
    <col min="15" max="15" width="10.3984375" style="43" hidden="1" customWidth="1"/>
    <col min="16" max="16" width="8.59765625" style="122" hidden="1" customWidth="1"/>
    <col min="17" max="17" width="19" style="43" hidden="1" customWidth="1"/>
    <col min="18" max="18" width="8.796875" style="43" hidden="1" customWidth="1"/>
    <col min="19" max="19" width="11" style="43" hidden="1" customWidth="1"/>
    <col min="20" max="20" width="19" style="43" hidden="1" customWidth="1"/>
    <col min="21" max="21" width="9" style="43" hidden="1" customWidth="1"/>
    <col min="22" max="25" width="22.3984375" style="43" hidden="1" customWidth="1"/>
    <col min="26" max="16384" width="0" style="43" hidden="1"/>
  </cols>
  <sheetData>
    <row r="1" spans="1:20" ht="9" customHeight="1" thickBot="1">
      <c r="B1" s="49"/>
      <c r="C1" s="49"/>
      <c r="D1" s="49"/>
      <c r="E1" s="49"/>
      <c r="F1" s="49"/>
      <c r="G1" s="49"/>
      <c r="H1" s="49"/>
      <c r="I1" s="30"/>
      <c r="J1" s="99"/>
      <c r="K1" s="99"/>
      <c r="L1" s="99"/>
      <c r="M1" s="100"/>
      <c r="N1" s="100"/>
    </row>
    <row r="2" spans="1:20" ht="9" customHeight="1">
      <c r="B2" s="101"/>
      <c r="C2" s="101"/>
      <c r="D2" s="101"/>
      <c r="E2" s="101"/>
      <c r="F2" s="101"/>
      <c r="G2" s="101"/>
      <c r="H2" s="101"/>
      <c r="I2" s="102"/>
      <c r="J2" s="99"/>
      <c r="K2" s="99"/>
      <c r="L2" s="99"/>
      <c r="M2" s="100"/>
      <c r="N2" s="100"/>
    </row>
    <row r="3" spans="1:20" ht="17">
      <c r="B3" s="167" t="s">
        <v>27</v>
      </c>
      <c r="C3" s="168" t="s">
        <v>28</v>
      </c>
      <c r="D3" s="34"/>
    </row>
    <row r="4" spans="1:20" ht="17">
      <c r="B4" s="123" t="s">
        <v>85</v>
      </c>
      <c r="C4" s="38" t="str">
        <f>Voorblad!$E$16</f>
        <v>Stichting Opspoor</v>
      </c>
      <c r="D4" s="34"/>
    </row>
    <row r="5" spans="1:20" ht="17">
      <c r="B5" s="123" t="s">
        <v>33</v>
      </c>
      <c r="C5" s="38" t="str">
        <f>'1.0-Contractblad'!$E$7</f>
        <v>Purmerend e.o.</v>
      </c>
      <c r="D5" s="34"/>
    </row>
    <row r="6" spans="1:20" ht="16" customHeight="1">
      <c r="B6" s="123" t="s">
        <v>114</v>
      </c>
      <c r="C6" s="40" t="str">
        <f>Voorblad!$E$24</f>
        <v>1501-102-2026</v>
      </c>
      <c r="D6" s="34"/>
      <c r="F6" s="784" t="s">
        <v>161</v>
      </c>
      <c r="G6" s="39"/>
      <c r="H6" s="39"/>
      <c r="I6" s="39"/>
      <c r="J6" s="39"/>
      <c r="K6" s="124"/>
    </row>
    <row r="7" spans="1:20" ht="16" customHeight="1">
      <c r="B7" s="123" t="s">
        <v>145</v>
      </c>
      <c r="C7" s="41" t="str">
        <f ca="1">Voorblad!$E$26</f>
        <v>Calculatiemodule Opspoor Perceel 3 V1.1 | 01-jan-27 Wijziging bijgehouden</v>
      </c>
      <c r="D7" s="34"/>
      <c r="F7" s="125"/>
      <c r="G7" s="39"/>
      <c r="H7" s="39"/>
      <c r="I7" s="39"/>
      <c r="J7" s="39"/>
    </row>
    <row r="8" spans="1:20" ht="16" customHeight="1">
      <c r="B8" s="167" t="s">
        <v>83</v>
      </c>
      <c r="C8" s="169" t="str">
        <f>Voorblad!$E$19</f>
        <v>Naam organisatie</v>
      </c>
      <c r="D8" s="126"/>
      <c r="G8" s="39"/>
      <c r="H8" s="39"/>
      <c r="I8" s="39"/>
      <c r="J8" s="39"/>
    </row>
    <row r="9" spans="1:20" ht="17">
      <c r="B9" s="123" t="s">
        <v>6</v>
      </c>
      <c r="C9" s="45">
        <f>Voorblad!$E$22</f>
        <v>46388</v>
      </c>
    </row>
    <row r="10" spans="1:20" ht="17">
      <c r="B10" s="123"/>
      <c r="C10" s="45"/>
    </row>
    <row r="11" spans="1:20" s="170" customFormat="1" ht="48" customHeight="1">
      <c r="A11" s="680"/>
      <c r="B11" s="171" t="s">
        <v>108</v>
      </c>
      <c r="C11" s="92" t="s">
        <v>309</v>
      </c>
      <c r="D11" s="172" t="s">
        <v>310</v>
      </c>
      <c r="E11" s="173" t="s">
        <v>311</v>
      </c>
      <c r="F11" s="173" t="s">
        <v>312</v>
      </c>
      <c r="G11" s="174" t="s">
        <v>313</v>
      </c>
      <c r="H11" s="92" t="s">
        <v>314</v>
      </c>
      <c r="I11" s="92" t="s">
        <v>247</v>
      </c>
      <c r="J11" s="92" t="s">
        <v>315</v>
      </c>
      <c r="K11" s="92" t="s">
        <v>248</v>
      </c>
      <c r="L11" s="92" t="s">
        <v>249</v>
      </c>
      <c r="M11" s="92" t="s">
        <v>316</v>
      </c>
      <c r="N11" s="175"/>
      <c r="Q11" s="92"/>
    </row>
    <row r="12" spans="1:20" s="170" customFormat="1">
      <c r="A12" s="681"/>
      <c r="B12" s="182"/>
      <c r="C12" s="95"/>
      <c r="D12" s="178"/>
      <c r="E12" s="179"/>
      <c r="F12" s="179"/>
      <c r="G12" s="180"/>
      <c r="H12" s="95"/>
      <c r="I12" s="95"/>
      <c r="J12" s="95"/>
      <c r="K12" s="95"/>
      <c r="L12" s="95"/>
      <c r="M12" s="95"/>
      <c r="N12" s="181"/>
      <c r="Q12" s="95"/>
    </row>
    <row r="13" spans="1:20" ht="20" customHeight="1">
      <c r="A13" s="730">
        <f t="shared" ref="A13:A28" si="0">G13</f>
        <v>3</v>
      </c>
      <c r="B13" s="716" t="s">
        <v>738</v>
      </c>
      <c r="C13" s="717" t="s">
        <v>749</v>
      </c>
      <c r="D13" s="716" t="s">
        <v>665</v>
      </c>
      <c r="E13" s="127">
        <f ca="1">SUMIF('1.3-Basis ruimtestaat'!E:K,'1.1a-Jaarprijzen'!B13,'1.3-Basis ruimtestaat'!K:K)</f>
        <v>2141.9499999999998</v>
      </c>
      <c r="F13" s="127">
        <f ca="1">SUMIF('1.3-Basis ruimtestaat'!E:L,'1.1a-Jaarprijzen'!B13,'1.3-Basis ruimtestaat'!L:L)</f>
        <v>42</v>
      </c>
      <c r="G13" s="128">
        <v>3</v>
      </c>
      <c r="H13" s="129">
        <f>SUMIF('1.3-Basis ruimtestaat'!E:E,'1.1a-Jaarprijzen'!B13,'1.3-Basis ruimtestaat'!Q:Q)</f>
        <v>0</v>
      </c>
      <c r="I13" s="129">
        <f>SUMIF('1.3-Basis ruimtestaat'!E:E,'1.1a-Jaarprijzen'!B13,'1.3-Basis ruimtestaat'!R:R)</f>
        <v>0</v>
      </c>
      <c r="K13" s="131">
        <f>(H13+I13)*'1.0-Contractblad'!$E$35</f>
        <v>0</v>
      </c>
      <c r="L13" s="132">
        <f>SUMIF('1.8-Glasbewassing'!D:D,'1.1a-Jaarprijzen'!B13,'1.8-Glasbewassing'!I:I)</f>
        <v>1252.3</v>
      </c>
      <c r="M13" s="133">
        <f>IF(H13=0,0,SUMIF('1.3-Basis ruimtestaat'!E:E,'1.1a-Jaarprijzen'!B13,'1.3-Basis ruimtestaat'!Z:Z)/SUM(H13+I13))</f>
        <v>0</v>
      </c>
      <c r="N13" s="134"/>
      <c r="Q13" s="135"/>
      <c r="R13" s="136"/>
      <c r="S13" s="136"/>
    </row>
    <row r="14" spans="1:20" s="137" customFormat="1" ht="20" customHeight="1">
      <c r="A14" s="730">
        <f t="shared" si="0"/>
        <v>3</v>
      </c>
      <c r="B14" s="716" t="s">
        <v>736</v>
      </c>
      <c r="C14" s="717" t="s">
        <v>737</v>
      </c>
      <c r="D14" s="716" t="s">
        <v>665</v>
      </c>
      <c r="E14" s="127">
        <f ca="1">SUMIF('1.3-Basis ruimtestaat'!E:K,'1.1a-Jaarprijzen'!B14,'1.3-Basis ruimtestaat'!K:K)</f>
        <v>1645.9500000000003</v>
      </c>
      <c r="F14" s="127">
        <f ca="1">SUMIF('1.3-Basis ruimtestaat'!E:L,'1.1a-Jaarprijzen'!B14,'1.3-Basis ruimtestaat'!L:L)</f>
        <v>204.17999999999998</v>
      </c>
      <c r="G14" s="128">
        <v>3</v>
      </c>
      <c r="H14" s="129">
        <f>SUMIF('1.3-Basis ruimtestaat'!E:E,'1.1a-Jaarprijzen'!B14,'1.3-Basis ruimtestaat'!Q:Q)</f>
        <v>0</v>
      </c>
      <c r="I14" s="129">
        <f>SUMIF('1.3-Basis ruimtestaat'!E:E,'1.1a-Jaarprijzen'!B14,'1.3-Basis ruimtestaat'!R:R)</f>
        <v>0</v>
      </c>
      <c r="J14" s="43"/>
      <c r="K14" s="131">
        <f>(H14+I14)*'1.0-Contractblad'!$E$35</f>
        <v>0</v>
      </c>
      <c r="L14" s="132">
        <f>SUMIF('1.8-Glasbewassing'!D:D,'1.1a-Jaarprijzen'!B14,'1.8-Glasbewassing'!I:I)</f>
        <v>724.5</v>
      </c>
      <c r="M14" s="133">
        <f>IF(H14=0,0,SUMIF('1.3-Basis ruimtestaat'!E:E,'1.1a-Jaarprijzen'!B14,'1.3-Basis ruimtestaat'!Z:Z)/SUM(H14+I14))</f>
        <v>0</v>
      </c>
      <c r="N14" s="134"/>
      <c r="O14" s="43"/>
      <c r="P14" s="122"/>
      <c r="Q14" s="135"/>
      <c r="R14" s="136"/>
      <c r="S14" s="136"/>
      <c r="T14" s="43"/>
    </row>
    <row r="15" spans="1:20" ht="20" customHeight="1">
      <c r="A15" s="730">
        <f t="shared" ref="A15:A18" si="1">G15</f>
        <v>3</v>
      </c>
      <c r="B15" s="716" t="s">
        <v>750</v>
      </c>
      <c r="C15" s="717" t="s">
        <v>937</v>
      </c>
      <c r="D15" s="716" t="s">
        <v>659</v>
      </c>
      <c r="E15" s="127">
        <f ca="1">SUMIF('1.3-Basis ruimtestaat'!E:K,'1.1a-Jaarprijzen'!B15,'1.3-Basis ruimtestaat'!K:K)</f>
        <v>931.5200000000001</v>
      </c>
      <c r="F15" s="127">
        <f ca="1">SUMIF('1.3-Basis ruimtestaat'!E:L,'1.1a-Jaarprijzen'!B15,'1.3-Basis ruimtestaat'!L:L)</f>
        <v>62.699999999999996</v>
      </c>
      <c r="G15" s="128">
        <v>3</v>
      </c>
      <c r="H15" s="129">
        <f>SUMIF('1.3-Basis ruimtestaat'!E:E,'1.1a-Jaarprijzen'!B15,'1.3-Basis ruimtestaat'!Q:Q)</f>
        <v>0</v>
      </c>
      <c r="I15" s="129">
        <f>SUMIF('1.3-Basis ruimtestaat'!E:E,'1.1a-Jaarprijzen'!B15,'1.3-Basis ruimtestaat'!R:R)</f>
        <v>0</v>
      </c>
      <c r="K15" s="131">
        <f>(H15+I15)*'1.0-Contractblad'!$E$35</f>
        <v>0</v>
      </c>
      <c r="L15" s="132">
        <f>SUMIF('1.8-Glasbewassing'!D:D,'1.1a-Jaarprijzen'!B15,'1.8-Glasbewassing'!I:I)</f>
        <v>514</v>
      </c>
      <c r="M15" s="133">
        <f>IF(H15=0,0,SUMIF('1.3-Basis ruimtestaat'!E:E,'1.1a-Jaarprijzen'!B15,'1.3-Basis ruimtestaat'!Z:Z)/SUM(H15+I15))</f>
        <v>0</v>
      </c>
      <c r="N15" s="134"/>
      <c r="Q15" s="135"/>
      <c r="R15" s="136"/>
      <c r="S15" s="136"/>
    </row>
    <row r="16" spans="1:20" s="137" customFormat="1" ht="20" customHeight="1">
      <c r="A16" s="730">
        <f t="shared" si="1"/>
        <v>3</v>
      </c>
      <c r="B16" s="716" t="s">
        <v>781</v>
      </c>
      <c r="C16" s="717" t="s">
        <v>938</v>
      </c>
      <c r="D16" s="716" t="s">
        <v>660</v>
      </c>
      <c r="E16" s="127">
        <f ca="1">SUMIF('1.3-Basis ruimtestaat'!E:K,'1.1a-Jaarprijzen'!B16,'1.3-Basis ruimtestaat'!K:K)</f>
        <v>687.12000000000023</v>
      </c>
      <c r="F16" s="127">
        <f ca="1">SUMIF('1.3-Basis ruimtestaat'!E:L,'1.1a-Jaarprijzen'!B16,'1.3-Basis ruimtestaat'!L:L)</f>
        <v>232.14999999999998</v>
      </c>
      <c r="G16" s="128">
        <v>3</v>
      </c>
      <c r="H16" s="129">
        <f>SUMIF('1.3-Basis ruimtestaat'!E:E,'1.1a-Jaarprijzen'!B16,'1.3-Basis ruimtestaat'!Q:Q)</f>
        <v>0</v>
      </c>
      <c r="I16" s="129">
        <f>SUMIF('1.3-Basis ruimtestaat'!E:E,'1.1a-Jaarprijzen'!B16,'1.3-Basis ruimtestaat'!R:R)</f>
        <v>0</v>
      </c>
      <c r="J16" s="43"/>
      <c r="K16" s="131">
        <f>(H16+I16)*'1.0-Contractblad'!$E$35</f>
        <v>0</v>
      </c>
      <c r="L16" s="132">
        <f>SUMIF('1.8-Glasbewassing'!D:D,'1.1a-Jaarprijzen'!B16,'1.8-Glasbewassing'!I:I)</f>
        <v>720</v>
      </c>
      <c r="M16" s="133">
        <f>IF(H16=0,0,SUMIF('1.3-Basis ruimtestaat'!E:E,'1.1a-Jaarprijzen'!B16,'1.3-Basis ruimtestaat'!Z:Z)/SUM(H16+I16))</f>
        <v>0</v>
      </c>
      <c r="N16" s="134"/>
      <c r="O16" s="43"/>
      <c r="P16" s="122"/>
      <c r="Q16" s="135"/>
      <c r="R16" s="136"/>
      <c r="S16" s="136"/>
      <c r="T16" s="43"/>
    </row>
    <row r="17" spans="1:21" ht="20" customHeight="1">
      <c r="A17" s="730">
        <f t="shared" si="1"/>
        <v>3</v>
      </c>
      <c r="B17" s="716" t="s">
        <v>782</v>
      </c>
      <c r="C17" s="717" t="s">
        <v>939</v>
      </c>
      <c r="D17" s="716" t="s">
        <v>661</v>
      </c>
      <c r="E17" s="127">
        <f ca="1">SUMIF('1.3-Basis ruimtestaat'!E:K,'1.1a-Jaarprijzen'!B17,'1.3-Basis ruimtestaat'!K:K)</f>
        <v>1614.1699999999998</v>
      </c>
      <c r="F17" s="127">
        <f ca="1">SUMIF('1.3-Basis ruimtestaat'!E:L,'1.1a-Jaarprijzen'!B17,'1.3-Basis ruimtestaat'!L:L)</f>
        <v>0</v>
      </c>
      <c r="G17" s="128">
        <v>3</v>
      </c>
      <c r="H17" s="129">
        <f>SUMIF('1.3-Basis ruimtestaat'!E:E,'1.1a-Jaarprijzen'!B17,'1.3-Basis ruimtestaat'!Q:Q)</f>
        <v>0</v>
      </c>
      <c r="I17" s="129">
        <f>SUMIF('1.3-Basis ruimtestaat'!E:E,'1.1a-Jaarprijzen'!B17,'1.3-Basis ruimtestaat'!R:R)</f>
        <v>0</v>
      </c>
      <c r="K17" s="131">
        <f>(H17+I17)*'1.0-Contractblad'!$E$35</f>
        <v>0</v>
      </c>
      <c r="L17" s="132">
        <f>SUMIF('1.8-Glasbewassing'!D:D,'1.1a-Jaarprijzen'!B17,'1.8-Glasbewassing'!I:I)</f>
        <v>949</v>
      </c>
      <c r="M17" s="133">
        <f>IF(H17=0,0,SUMIF('1.3-Basis ruimtestaat'!E:E,'1.1a-Jaarprijzen'!B17,'1.3-Basis ruimtestaat'!Z:Z)/SUM(H17+I17))</f>
        <v>0</v>
      </c>
      <c r="N17" s="134"/>
      <c r="Q17" s="135"/>
      <c r="R17" s="136"/>
      <c r="S17" s="136"/>
    </row>
    <row r="18" spans="1:21" s="137" customFormat="1" ht="20" customHeight="1">
      <c r="A18" s="730">
        <f t="shared" si="1"/>
        <v>3</v>
      </c>
      <c r="B18" s="716" t="s">
        <v>791</v>
      </c>
      <c r="C18" s="717" t="s">
        <v>940</v>
      </c>
      <c r="D18" s="716" t="s">
        <v>665</v>
      </c>
      <c r="E18" s="127">
        <f ca="1">SUMIF('1.3-Basis ruimtestaat'!E:K,'1.1a-Jaarprijzen'!B18,'1.3-Basis ruimtestaat'!K:K)</f>
        <v>1009.4799999999997</v>
      </c>
      <c r="F18" s="127">
        <f ca="1">SUMIF('1.3-Basis ruimtestaat'!E:L,'1.1a-Jaarprijzen'!B18,'1.3-Basis ruimtestaat'!L:L)</f>
        <v>62.08</v>
      </c>
      <c r="G18" s="128">
        <v>3</v>
      </c>
      <c r="H18" s="129">
        <f>SUMIF('1.3-Basis ruimtestaat'!E:E,'1.1a-Jaarprijzen'!B18,'1.3-Basis ruimtestaat'!Q:Q)</f>
        <v>0</v>
      </c>
      <c r="I18" s="129">
        <f>SUMIF('1.3-Basis ruimtestaat'!E:E,'1.1a-Jaarprijzen'!B18,'1.3-Basis ruimtestaat'!R:R)</f>
        <v>0</v>
      </c>
      <c r="J18" s="43"/>
      <c r="K18" s="131">
        <f>(H18+I18)*'1.0-Contractblad'!$E$35</f>
        <v>0</v>
      </c>
      <c r="L18" s="132">
        <f>SUMIF('1.8-Glasbewassing'!D:D,'1.1a-Jaarprijzen'!B18,'1.8-Glasbewassing'!I:I)</f>
        <v>607</v>
      </c>
      <c r="M18" s="133">
        <f>IF(H18=0,0,SUMIF('1.3-Basis ruimtestaat'!E:E,'1.1a-Jaarprijzen'!B18,'1.3-Basis ruimtestaat'!Z:Z)/SUM(H18+I18))</f>
        <v>0</v>
      </c>
      <c r="N18" s="134"/>
      <c r="O18" s="43"/>
      <c r="P18" s="122"/>
      <c r="Q18" s="135"/>
      <c r="R18" s="136"/>
      <c r="S18" s="136"/>
      <c r="T18" s="43"/>
    </row>
    <row r="19" spans="1:21" ht="20" customHeight="1">
      <c r="A19" s="730">
        <f t="shared" si="0"/>
        <v>3</v>
      </c>
      <c r="B19" s="716" t="s">
        <v>806</v>
      </c>
      <c r="C19" s="717" t="s">
        <v>941</v>
      </c>
      <c r="D19" s="716" t="s">
        <v>665</v>
      </c>
      <c r="E19" s="127">
        <f ca="1">SUMIF('1.3-Basis ruimtestaat'!E:K,'1.1a-Jaarprijzen'!B19,'1.3-Basis ruimtestaat'!K:K)</f>
        <v>928.36</v>
      </c>
      <c r="F19" s="127">
        <f ca="1">SUMIF('1.3-Basis ruimtestaat'!E:L,'1.1a-Jaarprijzen'!B19,'1.3-Basis ruimtestaat'!L:L)</f>
        <v>91</v>
      </c>
      <c r="G19" s="128">
        <v>3</v>
      </c>
      <c r="H19" s="129">
        <f>SUMIF('1.3-Basis ruimtestaat'!E:E,'1.1a-Jaarprijzen'!B19,'1.3-Basis ruimtestaat'!Q:Q)</f>
        <v>0</v>
      </c>
      <c r="I19" s="129">
        <f>SUMIF('1.3-Basis ruimtestaat'!E:E,'1.1a-Jaarprijzen'!B19,'1.3-Basis ruimtestaat'!R:R)</f>
        <v>0</v>
      </c>
      <c r="K19" s="131">
        <f>(H19+I19)*'1.0-Contractblad'!$E$35</f>
        <v>0</v>
      </c>
      <c r="L19" s="132">
        <f>SUMIF('1.8-Glasbewassing'!D:D,'1.1a-Jaarprijzen'!B19,'1.8-Glasbewassing'!I:I)</f>
        <v>457</v>
      </c>
      <c r="M19" s="133">
        <f>IF(H19=0,0,SUMIF('1.3-Basis ruimtestaat'!E:E,'1.1a-Jaarprijzen'!B19,'1.3-Basis ruimtestaat'!Z:Z)/SUM(H19+I19))</f>
        <v>0</v>
      </c>
      <c r="N19" s="134"/>
      <c r="Q19" s="135"/>
      <c r="R19" s="136"/>
      <c r="S19" s="136"/>
    </row>
    <row r="20" spans="1:21" s="137" customFormat="1" ht="20" customHeight="1">
      <c r="A20" s="730">
        <f t="shared" si="0"/>
        <v>3</v>
      </c>
      <c r="B20" s="716" t="s">
        <v>808</v>
      </c>
      <c r="C20" s="717" t="s">
        <v>942</v>
      </c>
      <c r="D20" s="716" t="s">
        <v>943</v>
      </c>
      <c r="E20" s="127">
        <f ca="1">SUMIF('1.3-Basis ruimtestaat'!E:K,'1.1a-Jaarprijzen'!B20,'1.3-Basis ruimtestaat'!K:K)</f>
        <v>1402.3</v>
      </c>
      <c r="F20" s="127">
        <f ca="1">SUMIF('1.3-Basis ruimtestaat'!E:L,'1.1a-Jaarprijzen'!B20,'1.3-Basis ruimtestaat'!L:L)</f>
        <v>0</v>
      </c>
      <c r="G20" s="128">
        <v>3</v>
      </c>
      <c r="H20" s="129">
        <f>SUMIF('1.3-Basis ruimtestaat'!E:E,'1.1a-Jaarprijzen'!B20,'1.3-Basis ruimtestaat'!Q:Q)</f>
        <v>0</v>
      </c>
      <c r="I20" s="129">
        <f>SUMIF('1.3-Basis ruimtestaat'!E:E,'1.1a-Jaarprijzen'!B20,'1.3-Basis ruimtestaat'!R:R)</f>
        <v>0</v>
      </c>
      <c r="J20" s="43"/>
      <c r="K20" s="131">
        <f>(H20+I20)*'1.0-Contractblad'!$E$35</f>
        <v>0</v>
      </c>
      <c r="L20" s="132">
        <f>SUMIF('1.8-Glasbewassing'!D:D,'1.1a-Jaarprijzen'!B20,'1.8-Glasbewassing'!I:I)</f>
        <v>975</v>
      </c>
      <c r="M20" s="133">
        <f>IF(H20=0,0,SUMIF('1.3-Basis ruimtestaat'!E:E,'1.1a-Jaarprijzen'!B20,'1.3-Basis ruimtestaat'!Z:Z)/SUM(H20+I20))</f>
        <v>0</v>
      </c>
      <c r="N20" s="134"/>
      <c r="O20" s="43"/>
      <c r="P20" s="122"/>
      <c r="Q20" s="135"/>
      <c r="R20" s="136"/>
      <c r="S20" s="136"/>
      <c r="T20" s="43"/>
    </row>
    <row r="21" spans="1:21" ht="20" customHeight="1">
      <c r="A21" s="730">
        <f t="shared" ref="A21:A27" si="2">G21</f>
        <v>3</v>
      </c>
      <c r="B21" s="716" t="s">
        <v>835</v>
      </c>
      <c r="C21" s="717" t="s">
        <v>944</v>
      </c>
      <c r="D21" s="716" t="s">
        <v>662</v>
      </c>
      <c r="E21" s="127">
        <f ca="1">SUMIF('1.3-Basis ruimtestaat'!E:K,'1.1a-Jaarprijzen'!B21,'1.3-Basis ruimtestaat'!K:K)</f>
        <v>1117.3999999999999</v>
      </c>
      <c r="F21" s="127">
        <f ca="1">SUMIF('1.3-Basis ruimtestaat'!E:L,'1.1a-Jaarprijzen'!B21,'1.3-Basis ruimtestaat'!L:L)</f>
        <v>0</v>
      </c>
      <c r="G21" s="128">
        <v>3</v>
      </c>
      <c r="H21" s="129">
        <f>SUMIF('1.3-Basis ruimtestaat'!E:E,'1.1a-Jaarprijzen'!B21,'1.3-Basis ruimtestaat'!Q:Q)</f>
        <v>0</v>
      </c>
      <c r="I21" s="129">
        <f>SUMIF('1.3-Basis ruimtestaat'!E:E,'1.1a-Jaarprijzen'!B21,'1.3-Basis ruimtestaat'!R:R)</f>
        <v>0</v>
      </c>
      <c r="K21" s="131">
        <f>(H21+I21)*'1.0-Contractblad'!$E$35</f>
        <v>0</v>
      </c>
      <c r="L21" s="132">
        <f>SUMIF('1.8-Glasbewassing'!D:D,'1.1a-Jaarprijzen'!B21,'1.8-Glasbewassing'!I:I)</f>
        <v>712</v>
      </c>
      <c r="M21" s="133">
        <f>IF(H21=0,0,SUMIF('1.3-Basis ruimtestaat'!E:E,'1.1a-Jaarprijzen'!B21,'1.3-Basis ruimtestaat'!Z:Z)/SUM(H21+I21))</f>
        <v>0</v>
      </c>
      <c r="N21" s="134"/>
      <c r="Q21" s="135"/>
      <c r="R21" s="136"/>
      <c r="S21" s="136"/>
    </row>
    <row r="22" spans="1:21" s="137" customFormat="1" ht="20" customHeight="1">
      <c r="A22" s="730">
        <f t="shared" si="2"/>
        <v>3</v>
      </c>
      <c r="B22" s="716" t="s">
        <v>839</v>
      </c>
      <c r="C22" s="717" t="s">
        <v>945</v>
      </c>
      <c r="D22" s="716" t="s">
        <v>665</v>
      </c>
      <c r="E22" s="127">
        <f ca="1">SUMIF('1.3-Basis ruimtestaat'!E:K,'1.1a-Jaarprijzen'!B22,'1.3-Basis ruimtestaat'!K:K)</f>
        <v>710.6099999999999</v>
      </c>
      <c r="F22" s="127">
        <f ca="1">SUMIF('1.3-Basis ruimtestaat'!E:L,'1.1a-Jaarprijzen'!B22,'1.3-Basis ruimtestaat'!L:L)</f>
        <v>0</v>
      </c>
      <c r="G22" s="128">
        <v>3</v>
      </c>
      <c r="H22" s="129">
        <f>SUMIF('1.3-Basis ruimtestaat'!E:E,'1.1a-Jaarprijzen'!B22,'1.3-Basis ruimtestaat'!Q:Q)</f>
        <v>0</v>
      </c>
      <c r="I22" s="129">
        <f>SUMIF('1.3-Basis ruimtestaat'!E:E,'1.1a-Jaarprijzen'!B22,'1.3-Basis ruimtestaat'!R:R)</f>
        <v>0</v>
      </c>
      <c r="J22" s="43"/>
      <c r="K22" s="131">
        <f>(H22+I22)*'1.0-Contractblad'!$E$35</f>
        <v>0</v>
      </c>
      <c r="L22" s="132">
        <f>SUMIF('1.8-Glasbewassing'!D:D,'1.1a-Jaarprijzen'!B22,'1.8-Glasbewassing'!I:I)</f>
        <v>522</v>
      </c>
      <c r="M22" s="133">
        <f>IF(H22=0,0,SUMIF('1.3-Basis ruimtestaat'!E:E,'1.1a-Jaarprijzen'!B22,'1.3-Basis ruimtestaat'!Z:Z)/SUM(H22+I22))</f>
        <v>0</v>
      </c>
      <c r="N22" s="134"/>
      <c r="O22" s="43"/>
      <c r="P22" s="122"/>
      <c r="Q22" s="135"/>
      <c r="R22" s="136"/>
      <c r="S22" s="136"/>
      <c r="T22" s="43"/>
    </row>
    <row r="23" spans="1:21" ht="20" customHeight="1">
      <c r="A23" s="730">
        <f t="shared" si="2"/>
        <v>3</v>
      </c>
      <c r="B23" s="716" t="s">
        <v>856</v>
      </c>
      <c r="C23" s="717" t="s">
        <v>946</v>
      </c>
      <c r="D23" s="716" t="s">
        <v>664</v>
      </c>
      <c r="E23" s="127">
        <f ca="1">SUMIF('1.3-Basis ruimtestaat'!E:K,'1.1a-Jaarprijzen'!B23,'1.3-Basis ruimtestaat'!K:K)</f>
        <v>1843.7569999999992</v>
      </c>
      <c r="F23" s="127">
        <f ca="1">SUMIF('1.3-Basis ruimtestaat'!E:L,'1.1a-Jaarprijzen'!B23,'1.3-Basis ruimtestaat'!L:L)</f>
        <v>0</v>
      </c>
      <c r="G23" s="128">
        <v>3</v>
      </c>
      <c r="H23" s="129">
        <f>SUMIF('1.3-Basis ruimtestaat'!E:E,'1.1a-Jaarprijzen'!B23,'1.3-Basis ruimtestaat'!Q:Q)</f>
        <v>0</v>
      </c>
      <c r="I23" s="129">
        <f>SUMIF('1.3-Basis ruimtestaat'!E:E,'1.1a-Jaarprijzen'!B23,'1.3-Basis ruimtestaat'!R:R)</f>
        <v>0</v>
      </c>
      <c r="K23" s="131">
        <f>(H23+I23)*'1.0-Contractblad'!$E$35</f>
        <v>0</v>
      </c>
      <c r="L23" s="132">
        <f>SUMIF('1.8-Glasbewassing'!D:D,'1.1a-Jaarprijzen'!B23,'1.8-Glasbewassing'!I:I)</f>
        <v>696</v>
      </c>
      <c r="M23" s="133">
        <f>IF(H23=0,0,SUMIF('1.3-Basis ruimtestaat'!E:E,'1.1a-Jaarprijzen'!B23,'1.3-Basis ruimtestaat'!Z:Z)/SUM(H23+I23))</f>
        <v>0</v>
      </c>
      <c r="N23" s="134"/>
      <c r="Q23" s="135"/>
      <c r="R23" s="136"/>
      <c r="S23" s="136"/>
    </row>
    <row r="24" spans="1:21" s="137" customFormat="1" ht="20" customHeight="1">
      <c r="A24" s="730">
        <f t="shared" si="2"/>
        <v>3</v>
      </c>
      <c r="B24" s="716" t="s">
        <v>875</v>
      </c>
      <c r="C24" s="717" t="s">
        <v>947</v>
      </c>
      <c r="D24" s="716" t="s">
        <v>663</v>
      </c>
      <c r="E24" s="127">
        <f ca="1">SUMIF('1.3-Basis ruimtestaat'!E:K,'1.1a-Jaarprijzen'!B24,'1.3-Basis ruimtestaat'!K:K)</f>
        <v>1922.8399999999997</v>
      </c>
      <c r="F24" s="127">
        <f ca="1">SUMIF('1.3-Basis ruimtestaat'!E:L,'1.1a-Jaarprijzen'!B24,'1.3-Basis ruimtestaat'!L:L)</f>
        <v>96.300000000000026</v>
      </c>
      <c r="G24" s="128">
        <v>3</v>
      </c>
      <c r="H24" s="129">
        <f>SUMIF('1.3-Basis ruimtestaat'!E:E,'1.1a-Jaarprijzen'!B24,'1.3-Basis ruimtestaat'!Q:Q)</f>
        <v>0</v>
      </c>
      <c r="I24" s="129">
        <f>SUMIF('1.3-Basis ruimtestaat'!E:E,'1.1a-Jaarprijzen'!B24,'1.3-Basis ruimtestaat'!R:R)</f>
        <v>0</v>
      </c>
      <c r="J24" s="43"/>
      <c r="K24" s="131">
        <f>(H24+I24)*'1.0-Contractblad'!$E$35</f>
        <v>0</v>
      </c>
      <c r="L24" s="132">
        <f>SUMIF('1.8-Glasbewassing'!D:D,'1.1a-Jaarprijzen'!B24,'1.8-Glasbewassing'!I:I)</f>
        <v>1044</v>
      </c>
      <c r="M24" s="133">
        <f>IF(H24=0,0,SUMIF('1.3-Basis ruimtestaat'!E:E,'1.1a-Jaarprijzen'!B24,'1.3-Basis ruimtestaat'!Z:Z)/SUM(H24+I24))</f>
        <v>0</v>
      </c>
      <c r="N24" s="134"/>
      <c r="O24" s="43"/>
      <c r="P24" s="122"/>
      <c r="Q24" s="135"/>
      <c r="R24" s="136"/>
      <c r="S24" s="136"/>
      <c r="T24" s="43"/>
    </row>
    <row r="25" spans="1:21" ht="20" customHeight="1">
      <c r="A25" s="730">
        <f t="shared" si="2"/>
        <v>3</v>
      </c>
      <c r="B25" s="716" t="s">
        <v>948</v>
      </c>
      <c r="C25" s="717" t="s">
        <v>949</v>
      </c>
      <c r="D25" s="716" t="s">
        <v>665</v>
      </c>
      <c r="E25" s="127">
        <f ca="1">SUMIF('1.3-Basis ruimtestaat'!E:K,'1.1a-Jaarprijzen'!B25,'1.3-Basis ruimtestaat'!K:K)</f>
        <v>1270.4000000000001</v>
      </c>
      <c r="F25" s="127">
        <f ca="1">SUMIF('1.3-Basis ruimtestaat'!E:L,'1.1a-Jaarprijzen'!B25,'1.3-Basis ruimtestaat'!L:L)</f>
        <v>0</v>
      </c>
      <c r="G25" s="128">
        <v>3</v>
      </c>
      <c r="H25" s="129">
        <f>SUMIF('1.3-Basis ruimtestaat'!E:E,'1.1a-Jaarprijzen'!B25,'1.3-Basis ruimtestaat'!Q:Q)</f>
        <v>0</v>
      </c>
      <c r="I25" s="129">
        <f>SUMIF('1.3-Basis ruimtestaat'!E:E,'1.1a-Jaarprijzen'!B25,'1.3-Basis ruimtestaat'!R:R)</f>
        <v>0</v>
      </c>
      <c r="K25" s="131">
        <f>(H25+I25)*'1.0-Contractblad'!$E$35</f>
        <v>0</v>
      </c>
      <c r="L25" s="132">
        <f>SUMIF('1.8-Glasbewassing'!D:D,'1.1a-Jaarprijzen'!B25,'1.8-Glasbewassing'!I:I)</f>
        <v>525</v>
      </c>
      <c r="M25" s="133">
        <f>IF(H25=0,0,SUMIF('1.3-Basis ruimtestaat'!E:E,'1.1a-Jaarprijzen'!B25,'1.3-Basis ruimtestaat'!Z:Z)/SUM(H25+I25))</f>
        <v>0</v>
      </c>
      <c r="N25" s="134"/>
      <c r="Q25" s="135"/>
      <c r="R25" s="136"/>
      <c r="S25" s="136"/>
    </row>
    <row r="26" spans="1:21" s="137" customFormat="1" ht="20" customHeight="1">
      <c r="A26" s="730">
        <f t="shared" si="2"/>
        <v>3</v>
      </c>
      <c r="B26" s="716" t="s">
        <v>950</v>
      </c>
      <c r="C26" s="717" t="s">
        <v>951</v>
      </c>
      <c r="D26" s="716" t="s">
        <v>665</v>
      </c>
      <c r="E26" s="127">
        <f ca="1">SUMIF('1.3-Basis ruimtestaat'!E:K,'1.1a-Jaarprijzen'!B26,'1.3-Basis ruimtestaat'!K:K)</f>
        <v>594</v>
      </c>
      <c r="F26" s="127">
        <f ca="1">SUMIF('1.3-Basis ruimtestaat'!E:L,'1.1a-Jaarprijzen'!B26,'1.3-Basis ruimtestaat'!L:L)</f>
        <v>47.7</v>
      </c>
      <c r="G26" s="128">
        <v>3</v>
      </c>
      <c r="H26" s="129">
        <f>SUMIF('1.3-Basis ruimtestaat'!E:E,'1.1a-Jaarprijzen'!B26,'1.3-Basis ruimtestaat'!Q:Q)</f>
        <v>0</v>
      </c>
      <c r="I26" s="129">
        <f>SUMIF('1.3-Basis ruimtestaat'!E:E,'1.1a-Jaarprijzen'!B26,'1.3-Basis ruimtestaat'!R:R)</f>
        <v>0</v>
      </c>
      <c r="J26" s="43"/>
      <c r="K26" s="131">
        <f>(H26+I26)*'1.0-Contractblad'!$E$35</f>
        <v>0</v>
      </c>
      <c r="L26" s="132">
        <f>SUMIF('1.8-Glasbewassing'!D:D,'1.1a-Jaarprijzen'!B26,'1.8-Glasbewassing'!I:I)</f>
        <v>735</v>
      </c>
      <c r="M26" s="133">
        <f>IF(H26=0,0,SUMIF('1.3-Basis ruimtestaat'!E:E,'1.1a-Jaarprijzen'!B26,'1.3-Basis ruimtestaat'!Z:Z)/SUM(H26+I26))</f>
        <v>0</v>
      </c>
      <c r="N26" s="134"/>
      <c r="O26" s="43"/>
      <c r="P26" s="122"/>
      <c r="Q26" s="135"/>
      <c r="R26" s="136"/>
      <c r="S26" s="136"/>
      <c r="T26" s="43"/>
    </row>
    <row r="27" spans="1:21" s="137" customFormat="1" ht="20" customHeight="1">
      <c r="A27" s="730">
        <f t="shared" si="2"/>
        <v>3</v>
      </c>
      <c r="B27" s="716" t="s">
        <v>955</v>
      </c>
      <c r="C27" s="717" t="s">
        <v>958</v>
      </c>
      <c r="D27" s="716" t="s">
        <v>959</v>
      </c>
      <c r="E27" s="127">
        <f ca="1">SUMIF('1.3-Basis ruimtestaat'!E:K,'1.1a-Jaarprijzen'!B27,'1.3-Basis ruimtestaat'!K:K)</f>
        <v>845.7600000000001</v>
      </c>
      <c r="F27" s="127">
        <f ca="1">SUMIF('1.3-Basis ruimtestaat'!E:L,'1.1a-Jaarprijzen'!B27,'1.3-Basis ruimtestaat'!L:L)</f>
        <v>0</v>
      </c>
      <c r="G27" s="128">
        <v>3</v>
      </c>
      <c r="H27" s="129">
        <f>SUMIF('1.3-Basis ruimtestaat'!E:E,'1.1a-Jaarprijzen'!B27,'1.3-Basis ruimtestaat'!Q:Q)</f>
        <v>0</v>
      </c>
      <c r="I27" s="129">
        <f>SUMIF('1.3-Basis ruimtestaat'!E:E,'1.1a-Jaarprijzen'!B27,'1.3-Basis ruimtestaat'!R:R)</f>
        <v>0</v>
      </c>
      <c r="J27" s="43"/>
      <c r="K27" s="131">
        <f>(H27+I27)*'1.0-Contractblad'!$E$35</f>
        <v>0</v>
      </c>
      <c r="L27" s="132">
        <f>SUMIF('1.8-Glasbewassing'!D:D,'1.1a-Jaarprijzen'!B27,'1.8-Glasbewassing'!I:I)</f>
        <v>0</v>
      </c>
      <c r="M27" s="133">
        <f>IF(H27=0,0,SUMIF('1.3-Basis ruimtestaat'!E:E,'1.1a-Jaarprijzen'!B27,'1.3-Basis ruimtestaat'!Z:Z)/SUM(H27+I27))</f>
        <v>0</v>
      </c>
      <c r="N27" s="134"/>
      <c r="O27" s="43"/>
      <c r="P27" s="122"/>
      <c r="Q27" s="135"/>
      <c r="R27" s="136"/>
      <c r="S27" s="136"/>
      <c r="T27" s="43"/>
    </row>
    <row r="28" spans="1:21" ht="20" customHeight="1">
      <c r="A28" s="682">
        <f t="shared" si="0"/>
        <v>0</v>
      </c>
      <c r="E28" s="127"/>
      <c r="F28" s="127"/>
      <c r="G28" s="127"/>
      <c r="H28" s="127"/>
      <c r="I28" s="129"/>
      <c r="J28" s="129"/>
      <c r="K28" s="129"/>
      <c r="L28" s="131"/>
      <c r="M28" s="133">
        <f>IF(H28=0,0,SUMIF('1.3-Basis ruimtestaat'!E:E,'1.1a-Jaarprijzen'!B28,'1.3-Basis ruimtestaat'!Z:Z)/SUM(H28+I28))</f>
        <v>0</v>
      </c>
      <c r="N28" s="139"/>
      <c r="O28" s="140"/>
    </row>
    <row r="29" spans="1:21" hidden="1">
      <c r="A29" s="683"/>
      <c r="E29" s="127"/>
      <c r="F29" s="127"/>
      <c r="G29" s="127"/>
      <c r="H29" s="127"/>
      <c r="I29" s="129"/>
      <c r="J29" s="129"/>
      <c r="K29" s="129"/>
      <c r="L29" s="131"/>
      <c r="M29" s="138"/>
      <c r="N29" s="139"/>
      <c r="O29" s="140"/>
    </row>
    <row r="30" spans="1:21" hidden="1">
      <c r="A30" s="683"/>
      <c r="B30" s="141"/>
      <c r="E30" s="136"/>
      <c r="F30" s="136"/>
      <c r="H30" s="142">
        <f>'1.0-Contractblad'!$L$25</f>
        <v>0</v>
      </c>
      <c r="I30" s="142">
        <f>H30</f>
        <v>0</v>
      </c>
      <c r="J30" s="142"/>
      <c r="K30" s="142"/>
      <c r="L30" s="142">
        <f>'1.0-Contractblad'!$L$35</f>
        <v>0</v>
      </c>
      <c r="M30" s="143"/>
      <c r="N30" s="143"/>
    </row>
    <row r="31" spans="1:21">
      <c r="A31" s="683" t="s">
        <v>257</v>
      </c>
      <c r="B31" s="141"/>
      <c r="D31" s="144"/>
      <c r="E31" s="145"/>
      <c r="F31" s="145"/>
      <c r="G31" s="144"/>
      <c r="H31" s="144"/>
    </row>
    <row r="32" spans="1:21" s="176" customFormat="1" ht="32">
      <c r="A32" s="684" t="s">
        <v>257</v>
      </c>
      <c r="B32" s="171" t="s">
        <v>108</v>
      </c>
      <c r="C32" s="92" t="s">
        <v>309</v>
      </c>
      <c r="D32" s="172" t="s">
        <v>317</v>
      </c>
      <c r="E32" s="92" t="s">
        <v>100</v>
      </c>
      <c r="F32" s="92" t="s">
        <v>318</v>
      </c>
      <c r="G32" s="92" t="s">
        <v>319</v>
      </c>
      <c r="H32" s="92" t="s">
        <v>320</v>
      </c>
      <c r="I32" s="92" t="s">
        <v>321</v>
      </c>
      <c r="J32" s="92" t="s">
        <v>325</v>
      </c>
      <c r="K32" s="92" t="s">
        <v>322</v>
      </c>
      <c r="L32" s="92" t="s">
        <v>323</v>
      </c>
      <c r="M32" s="92" t="s">
        <v>324</v>
      </c>
      <c r="Q32" s="177"/>
      <c r="R32" s="170"/>
      <c r="S32" s="170"/>
      <c r="T32" s="170"/>
      <c r="U32" s="170"/>
    </row>
    <row r="33" spans="1:20" s="170" customFormat="1">
      <c r="A33" s="681"/>
      <c r="B33" s="182"/>
      <c r="C33" s="95"/>
      <c r="D33" s="178"/>
      <c r="E33" s="179"/>
      <c r="F33" s="179"/>
      <c r="G33" s="95"/>
      <c r="H33" s="95"/>
      <c r="I33" s="95"/>
      <c r="J33" s="95"/>
      <c r="K33" s="95"/>
      <c r="L33" s="95"/>
      <c r="M33" s="95"/>
      <c r="N33" s="181"/>
      <c r="Q33" s="95"/>
    </row>
    <row r="34" spans="1:20" ht="20" customHeight="1">
      <c r="A34" s="730">
        <f t="shared" ref="A34:C48" si="3">A13</f>
        <v>3</v>
      </c>
      <c r="B34" s="141" t="str">
        <f t="shared" si="3"/>
        <v>OBS De Ranonkel</v>
      </c>
      <c r="C34" s="43" t="str">
        <f t="shared" si="3"/>
        <v>Boterbloem 3</v>
      </c>
      <c r="D34" s="146">
        <f>SUMIF('1.0-Contractblad'!$A$48:$A$52,'1.1a-Jaarprijzen'!B34,'1.0-Contractblad'!$J$48:$J$52)</f>
        <v>0</v>
      </c>
      <c r="E34" s="147">
        <f>VLOOKUP($B34,'1.6-Machine-investeringskosten'!$E$99:$H$158,4,FALSE)</f>
        <v>0</v>
      </c>
      <c r="F34" s="147">
        <f t="shared" ref="F34:F50" si="4">$H$30*H13+$I$30*I13</f>
        <v>0</v>
      </c>
      <c r="G34" s="147">
        <f t="shared" ref="G34:G50" si="5">$L$30*K13</f>
        <v>0</v>
      </c>
      <c r="H34" s="147">
        <f t="shared" ref="H34:H50" si="6">$H$30*J13</f>
        <v>0</v>
      </c>
      <c r="I34" s="147">
        <f t="shared" ref="I34:I48" si="7">E34+F34+G34+D34+H34</f>
        <v>0</v>
      </c>
      <c r="J34" s="621">
        <f>SUMIF('1. 3A-Mutaties'!E:E,'1.1a-Jaarprijzen'!B34,'1. 3A-Mutaties'!Z:Z)</f>
        <v>0</v>
      </c>
      <c r="K34" s="148"/>
      <c r="L34" s="130">
        <f>SUMIF('1.8-Glasbewassing'!D:D,'1.1a-Jaarprijzen'!B34,'1.8-Glasbewassing'!W:W)</f>
        <v>0</v>
      </c>
      <c r="M34" s="130">
        <f t="shared" ref="M34:M48" si="8">IF(K34="ja",I34,J34+I34)+L34</f>
        <v>0</v>
      </c>
      <c r="N34" s="122"/>
      <c r="Q34" s="149">
        <f t="shared" ref="Q34:Q48" ca="1" si="9">L34/(E13)</f>
        <v>0</v>
      </c>
      <c r="T34" s="160">
        <f t="shared" ref="T34:T48" ca="1" si="10">I34/E13</f>
        <v>0</v>
      </c>
    </row>
    <row r="35" spans="1:20" ht="20" customHeight="1">
      <c r="A35" s="730">
        <f t="shared" si="3"/>
        <v>3</v>
      </c>
      <c r="B35" s="141" t="str">
        <f t="shared" si="3"/>
        <v>OBS De Koempoelan</v>
      </c>
      <c r="C35" s="43" t="str">
        <f t="shared" si="3"/>
        <v>Gangeslaan 59</v>
      </c>
      <c r="D35" s="146">
        <f>SUMIF('1.0-Contractblad'!$A$48:$A$52,'1.1a-Jaarprijzen'!B35,'1.0-Contractblad'!$J$48:$J$52)</f>
        <v>0</v>
      </c>
      <c r="E35" s="147">
        <f>VLOOKUP($B35,'1.6-Machine-investeringskosten'!$E$99:$H$158,4,FALSE)</f>
        <v>0</v>
      </c>
      <c r="F35" s="147">
        <f t="shared" si="4"/>
        <v>0</v>
      </c>
      <c r="G35" s="147">
        <f t="shared" si="5"/>
        <v>0</v>
      </c>
      <c r="H35" s="147">
        <f t="shared" si="6"/>
        <v>0</v>
      </c>
      <c r="I35" s="147">
        <f t="shared" si="7"/>
        <v>0</v>
      </c>
      <c r="J35" s="621">
        <f>SUMIF('1. 3A-Mutaties'!E:E,'1.1a-Jaarprijzen'!B35,'1. 3A-Mutaties'!Z:Z)</f>
        <v>0</v>
      </c>
      <c r="K35" s="148"/>
      <c r="L35" s="130">
        <f>SUMIF('1.8-Glasbewassing'!D:D,'1.1a-Jaarprijzen'!B35,'1.8-Glasbewassing'!W:W)</f>
        <v>0</v>
      </c>
      <c r="M35" s="130">
        <f t="shared" si="8"/>
        <v>0</v>
      </c>
      <c r="N35" s="122"/>
      <c r="Q35" s="149">
        <f t="shared" ca="1" si="9"/>
        <v>0</v>
      </c>
      <c r="T35" s="160">
        <f t="shared" ca="1" si="10"/>
        <v>0</v>
      </c>
    </row>
    <row r="36" spans="1:20" ht="20" customHeight="1">
      <c r="A36" s="730">
        <f t="shared" si="3"/>
        <v>3</v>
      </c>
      <c r="B36" s="141" t="str">
        <f t="shared" si="3"/>
        <v>OBS Wijdewormer</v>
      </c>
      <c r="C36" s="43" t="str">
        <f t="shared" si="3"/>
        <v>Wijdewormerplein 1</v>
      </c>
      <c r="D36" s="146">
        <f>SUMIF('1.0-Contractblad'!$A$48:$A$52,'1.1a-Jaarprijzen'!B36,'1.0-Contractblad'!$J$48:$J$52)</f>
        <v>0</v>
      </c>
      <c r="E36" s="147">
        <f>VLOOKUP($B36,'1.6-Machine-investeringskosten'!$E$99:$H$158,4,FALSE)</f>
        <v>0</v>
      </c>
      <c r="F36" s="147">
        <f t="shared" si="4"/>
        <v>0</v>
      </c>
      <c r="G36" s="147">
        <f t="shared" si="5"/>
        <v>0</v>
      </c>
      <c r="H36" s="147">
        <f t="shared" si="6"/>
        <v>0</v>
      </c>
      <c r="I36" s="147">
        <f t="shared" si="7"/>
        <v>0</v>
      </c>
      <c r="J36" s="621">
        <f>SUMIF('1. 3A-Mutaties'!E:E,'1.1a-Jaarprijzen'!B36,'1. 3A-Mutaties'!Z:Z)</f>
        <v>0</v>
      </c>
      <c r="K36" s="148"/>
      <c r="L36" s="130">
        <f>SUMIF('1.8-Glasbewassing'!D:D,'1.1a-Jaarprijzen'!B36,'1.8-Glasbewassing'!W:W)</f>
        <v>0</v>
      </c>
      <c r="M36" s="130">
        <f t="shared" si="8"/>
        <v>0</v>
      </c>
      <c r="N36" s="122"/>
      <c r="Q36" s="149">
        <f t="shared" ca="1" si="9"/>
        <v>0</v>
      </c>
      <c r="T36" s="160">
        <f t="shared" ca="1" si="10"/>
        <v>0</v>
      </c>
    </row>
    <row r="37" spans="1:20" ht="20" customHeight="1">
      <c r="A37" s="730">
        <f t="shared" si="3"/>
        <v>3</v>
      </c>
      <c r="B37" s="141" t="str">
        <f t="shared" si="3"/>
        <v>OBS De Harpoen</v>
      </c>
      <c r="C37" s="43" t="str">
        <f t="shared" si="3"/>
        <v>Weiver 2</v>
      </c>
      <c r="D37" s="146">
        <f>SUMIF('1.0-Contractblad'!$A$48:$A$52,'1.1a-Jaarprijzen'!B37,'1.0-Contractblad'!$J$48:$J$52)</f>
        <v>0</v>
      </c>
      <c r="E37" s="147">
        <f>VLOOKUP($B37,'1.6-Machine-investeringskosten'!$E$99:$H$158,4,FALSE)</f>
        <v>0</v>
      </c>
      <c r="F37" s="147">
        <f t="shared" si="4"/>
        <v>0</v>
      </c>
      <c r="G37" s="147">
        <f t="shared" si="5"/>
        <v>0</v>
      </c>
      <c r="H37" s="147">
        <f t="shared" si="6"/>
        <v>0</v>
      </c>
      <c r="I37" s="147">
        <f t="shared" si="7"/>
        <v>0</v>
      </c>
      <c r="J37" s="621">
        <f>SUMIF('1. 3A-Mutaties'!E:E,'1.1a-Jaarprijzen'!B37,'1. 3A-Mutaties'!Z:Z)</f>
        <v>0</v>
      </c>
      <c r="K37" s="148"/>
      <c r="L37" s="130">
        <f>SUMIF('1.8-Glasbewassing'!D:D,'1.1a-Jaarprijzen'!B37,'1.8-Glasbewassing'!W:W)</f>
        <v>0</v>
      </c>
      <c r="M37" s="130">
        <f t="shared" si="8"/>
        <v>0</v>
      </c>
      <c r="N37" s="122"/>
      <c r="Q37" s="149">
        <f t="shared" ca="1" si="9"/>
        <v>0</v>
      </c>
      <c r="T37" s="160">
        <f t="shared" ca="1" si="10"/>
        <v>0</v>
      </c>
    </row>
    <row r="38" spans="1:20" ht="20" customHeight="1">
      <c r="A38" s="730">
        <f t="shared" si="3"/>
        <v>3</v>
      </c>
      <c r="B38" s="141" t="str">
        <f t="shared" si="3"/>
        <v>OBS De Kweekvijver</v>
      </c>
      <c r="C38" s="43" t="str">
        <f t="shared" si="3"/>
        <v>Paling 2</v>
      </c>
      <c r="D38" s="146">
        <f>SUMIF('1.0-Contractblad'!$A$48:$A$52,'1.1a-Jaarprijzen'!B38,'1.0-Contractblad'!$J$48:$J$52)</f>
        <v>0</v>
      </c>
      <c r="E38" s="147">
        <f>VLOOKUP($B38,'1.6-Machine-investeringskosten'!$E$99:$H$158,4,FALSE)</f>
        <v>0</v>
      </c>
      <c r="F38" s="147">
        <f t="shared" si="4"/>
        <v>0</v>
      </c>
      <c r="G38" s="147">
        <f t="shared" si="5"/>
        <v>0</v>
      </c>
      <c r="H38" s="147">
        <f t="shared" si="6"/>
        <v>0</v>
      </c>
      <c r="I38" s="147">
        <f t="shared" si="7"/>
        <v>0</v>
      </c>
      <c r="J38" s="621">
        <f>SUMIF('1. 3A-Mutaties'!E:E,'1.1a-Jaarprijzen'!B38,'1. 3A-Mutaties'!Z:Z)</f>
        <v>0</v>
      </c>
      <c r="K38" s="148"/>
      <c r="L38" s="130">
        <f>SUMIF('1.8-Glasbewassing'!D:D,'1.1a-Jaarprijzen'!B38,'1.8-Glasbewassing'!W:W)</f>
        <v>0</v>
      </c>
      <c r="M38" s="130">
        <f t="shared" si="8"/>
        <v>0</v>
      </c>
      <c r="N38" s="122"/>
      <c r="Q38" s="149">
        <f t="shared" ca="1" si="9"/>
        <v>0</v>
      </c>
      <c r="T38" s="160">
        <f t="shared" ca="1" si="10"/>
        <v>0</v>
      </c>
    </row>
    <row r="39" spans="1:20" ht="20" customHeight="1">
      <c r="A39" s="730">
        <f t="shared" si="3"/>
        <v>3</v>
      </c>
      <c r="B39" s="141" t="str">
        <f t="shared" si="3"/>
        <v>OBS De Rietkraag</v>
      </c>
      <c r="C39" s="43" t="str">
        <f t="shared" si="3"/>
        <v>Rietschoot 342</v>
      </c>
      <c r="D39" s="146">
        <f>SUMIF('1.0-Contractblad'!$A$48:$A$52,'1.1a-Jaarprijzen'!B39,'1.0-Contractblad'!$J$48:$J$52)</f>
        <v>0</v>
      </c>
      <c r="E39" s="147">
        <f>VLOOKUP($B39,'1.6-Machine-investeringskosten'!$E$99:$H$158,4,FALSE)</f>
        <v>0</v>
      </c>
      <c r="F39" s="147">
        <f t="shared" si="4"/>
        <v>0</v>
      </c>
      <c r="G39" s="147">
        <f t="shared" si="5"/>
        <v>0</v>
      </c>
      <c r="H39" s="147">
        <f t="shared" si="6"/>
        <v>0</v>
      </c>
      <c r="I39" s="147">
        <f t="shared" si="7"/>
        <v>0</v>
      </c>
      <c r="J39" s="621">
        <f>SUMIF('1. 3A-Mutaties'!E:E,'1.1a-Jaarprijzen'!B39,'1. 3A-Mutaties'!Z:Z)</f>
        <v>0</v>
      </c>
      <c r="K39" s="148"/>
      <c r="L39" s="130">
        <f>SUMIF('1.8-Glasbewassing'!D:D,'1.1a-Jaarprijzen'!B39,'1.8-Glasbewassing'!W:W)</f>
        <v>0</v>
      </c>
      <c r="M39" s="130">
        <f t="shared" si="8"/>
        <v>0</v>
      </c>
      <c r="N39" s="122"/>
      <c r="Q39" s="149">
        <f t="shared" ca="1" si="9"/>
        <v>0</v>
      </c>
      <c r="T39" s="160">
        <f t="shared" ca="1" si="10"/>
        <v>0</v>
      </c>
    </row>
    <row r="40" spans="1:20" ht="20" customHeight="1">
      <c r="A40" s="730">
        <f t="shared" si="3"/>
        <v>3</v>
      </c>
      <c r="B40" s="141" t="str">
        <f t="shared" si="3"/>
        <v>OBS Noorderschool</v>
      </c>
      <c r="C40" s="43" t="str">
        <f t="shared" si="3"/>
        <v>De Haal 44</v>
      </c>
      <c r="D40" s="146">
        <f>SUMIF('1.0-Contractblad'!$A$48:$A$52,'1.1a-Jaarprijzen'!B40,'1.0-Contractblad'!$J$48:$J$52)</f>
        <v>0</v>
      </c>
      <c r="E40" s="147">
        <f>VLOOKUP($B40,'1.6-Machine-investeringskosten'!$E$99:$H$158,4,FALSE)</f>
        <v>0</v>
      </c>
      <c r="F40" s="147">
        <f t="shared" si="4"/>
        <v>0</v>
      </c>
      <c r="G40" s="147">
        <f t="shared" si="5"/>
        <v>0</v>
      </c>
      <c r="H40" s="147">
        <f t="shared" si="6"/>
        <v>0</v>
      </c>
      <c r="I40" s="147">
        <f t="shared" si="7"/>
        <v>0</v>
      </c>
      <c r="J40" s="621">
        <f>SUMIF('1. 3A-Mutaties'!E:E,'1.1a-Jaarprijzen'!B40,'1. 3A-Mutaties'!Z:Z)</f>
        <v>0</v>
      </c>
      <c r="K40" s="148"/>
      <c r="L40" s="130">
        <f>SUMIF('1.8-Glasbewassing'!D:D,'1.1a-Jaarprijzen'!B40,'1.8-Glasbewassing'!W:W)</f>
        <v>0</v>
      </c>
      <c r="M40" s="130">
        <f t="shared" si="8"/>
        <v>0</v>
      </c>
      <c r="N40" s="122"/>
      <c r="Q40" s="149">
        <f t="shared" ca="1" si="9"/>
        <v>0</v>
      </c>
      <c r="T40" s="160">
        <f t="shared" ca="1" si="10"/>
        <v>0</v>
      </c>
    </row>
    <row r="41" spans="1:20" ht="20" customHeight="1">
      <c r="A41" s="730">
        <f t="shared" si="3"/>
        <v>3</v>
      </c>
      <c r="B41" s="141" t="str">
        <f t="shared" si="3"/>
        <v>OBS De Stap</v>
      </c>
      <c r="C41" s="43" t="str">
        <f t="shared" si="3"/>
        <v>Ds. M.L. Kingstraat 2d</v>
      </c>
      <c r="D41" s="146">
        <f>SUMIF('1.0-Contractblad'!$A$48:$A$52,'1.1a-Jaarprijzen'!B41,'1.0-Contractblad'!$J$48:$J$52)</f>
        <v>0</v>
      </c>
      <c r="E41" s="147">
        <f>VLOOKUP($B41,'1.6-Machine-investeringskosten'!$E$99:$H$158,4,FALSE)</f>
        <v>0</v>
      </c>
      <c r="F41" s="147">
        <f t="shared" si="4"/>
        <v>0</v>
      </c>
      <c r="G41" s="147">
        <f t="shared" si="5"/>
        <v>0</v>
      </c>
      <c r="H41" s="147">
        <f t="shared" si="6"/>
        <v>0</v>
      </c>
      <c r="I41" s="147">
        <f t="shared" si="7"/>
        <v>0</v>
      </c>
      <c r="J41" s="621">
        <f>SUMIF('1. 3A-Mutaties'!E:E,'1.1a-Jaarprijzen'!B41,'1. 3A-Mutaties'!Z:Z)</f>
        <v>0</v>
      </c>
      <c r="K41" s="148"/>
      <c r="L41" s="130">
        <f>SUMIF('1.8-Glasbewassing'!D:D,'1.1a-Jaarprijzen'!B41,'1.8-Glasbewassing'!W:W)</f>
        <v>0</v>
      </c>
      <c r="M41" s="130">
        <f t="shared" si="8"/>
        <v>0</v>
      </c>
      <c r="N41" s="122"/>
      <c r="Q41" s="149">
        <f t="shared" ca="1" si="9"/>
        <v>0</v>
      </c>
      <c r="T41" s="160">
        <f t="shared" ca="1" si="10"/>
        <v>0</v>
      </c>
    </row>
    <row r="42" spans="1:20" ht="20" customHeight="1">
      <c r="A42" s="730">
        <f t="shared" si="3"/>
        <v>3</v>
      </c>
      <c r="B42" s="141" t="str">
        <f t="shared" si="3"/>
        <v>OBS Ds. J.L. de Wagemaker</v>
      </c>
      <c r="C42" s="43" t="str">
        <f t="shared" si="3"/>
        <v>Poortwachtersweg 3</v>
      </c>
      <c r="D42" s="146">
        <f>SUMIF('1.0-Contractblad'!$A$48:$A$52,'1.1a-Jaarprijzen'!B42,'1.0-Contractblad'!$J$48:$J$52)</f>
        <v>0</v>
      </c>
      <c r="E42" s="147">
        <f>VLOOKUP($B42,'1.6-Machine-investeringskosten'!$E$99:$H$158,4,FALSE)</f>
        <v>0</v>
      </c>
      <c r="F42" s="147">
        <f t="shared" si="4"/>
        <v>0</v>
      </c>
      <c r="G42" s="147">
        <f t="shared" si="5"/>
        <v>0</v>
      </c>
      <c r="H42" s="147">
        <f t="shared" si="6"/>
        <v>0</v>
      </c>
      <c r="I42" s="147">
        <f t="shared" si="7"/>
        <v>0</v>
      </c>
      <c r="J42" s="621">
        <f>SUMIF('1. 3A-Mutaties'!E:E,'1.1a-Jaarprijzen'!B42,'1. 3A-Mutaties'!Z:Z)</f>
        <v>0</v>
      </c>
      <c r="K42" s="148"/>
      <c r="L42" s="130">
        <f>SUMIF('1.8-Glasbewassing'!D:D,'1.1a-Jaarprijzen'!B42,'1.8-Glasbewassing'!W:W)</f>
        <v>0</v>
      </c>
      <c r="M42" s="130">
        <f t="shared" si="8"/>
        <v>0</v>
      </c>
      <c r="N42" s="122"/>
      <c r="Q42" s="149">
        <f t="shared" ca="1" si="9"/>
        <v>0</v>
      </c>
      <c r="T42" s="160">
        <f t="shared" ca="1" si="10"/>
        <v>0</v>
      </c>
    </row>
    <row r="43" spans="1:20" ht="20" customHeight="1">
      <c r="A43" s="730">
        <f t="shared" si="3"/>
        <v>3</v>
      </c>
      <c r="B43" s="141" t="str">
        <f t="shared" si="3"/>
        <v>OBS De Fuik</v>
      </c>
      <c r="C43" s="43" t="str">
        <f t="shared" si="3"/>
        <v>Den Ilp 88</v>
      </c>
      <c r="D43" s="146">
        <f>SUMIF('1.0-Contractblad'!$A$48:$A$52,'1.1a-Jaarprijzen'!B43,'1.0-Contractblad'!$J$48:$J$52)</f>
        <v>0</v>
      </c>
      <c r="E43" s="147">
        <f>VLOOKUP($B43,'1.6-Machine-investeringskosten'!$E$99:$H$158,4,FALSE)</f>
        <v>0</v>
      </c>
      <c r="F43" s="147">
        <f t="shared" si="4"/>
        <v>0</v>
      </c>
      <c r="G43" s="147">
        <f t="shared" si="5"/>
        <v>0</v>
      </c>
      <c r="H43" s="147">
        <f t="shared" si="6"/>
        <v>0</v>
      </c>
      <c r="I43" s="147">
        <f t="shared" si="7"/>
        <v>0</v>
      </c>
      <c r="J43" s="621">
        <f>SUMIF('1. 3A-Mutaties'!E:E,'1.1a-Jaarprijzen'!B43,'1. 3A-Mutaties'!Z:Z)</f>
        <v>0</v>
      </c>
      <c r="K43" s="148"/>
      <c r="L43" s="130">
        <f>SUMIF('1.8-Glasbewassing'!D:D,'1.1a-Jaarprijzen'!B43,'1.8-Glasbewassing'!W:W)</f>
        <v>0</v>
      </c>
      <c r="M43" s="130">
        <f t="shared" si="8"/>
        <v>0</v>
      </c>
      <c r="N43" s="122"/>
      <c r="Q43" s="149">
        <f t="shared" ca="1" si="9"/>
        <v>0</v>
      </c>
      <c r="T43" s="160">
        <f t="shared" ca="1" si="10"/>
        <v>0</v>
      </c>
    </row>
    <row r="44" spans="1:20" ht="20" customHeight="1">
      <c r="A44" s="730">
        <f t="shared" si="3"/>
        <v>3</v>
      </c>
      <c r="B44" s="141" t="str">
        <f t="shared" si="3"/>
        <v>OBS De Eendragt</v>
      </c>
      <c r="C44" s="43" t="str">
        <f t="shared" si="3"/>
        <v>Zandweg 15</v>
      </c>
      <c r="D44" s="146">
        <f>SUMIF('1.0-Contractblad'!$A$48:$A$52,'1.1a-Jaarprijzen'!B44,'1.0-Contractblad'!$J$48:$J$52)</f>
        <v>0</v>
      </c>
      <c r="E44" s="147">
        <f>VLOOKUP($B44,'1.6-Machine-investeringskosten'!$E$99:$H$158,4,FALSE)</f>
        <v>0</v>
      </c>
      <c r="F44" s="147">
        <f t="shared" si="4"/>
        <v>0</v>
      </c>
      <c r="G44" s="147">
        <f t="shared" si="5"/>
        <v>0</v>
      </c>
      <c r="H44" s="147">
        <f t="shared" si="6"/>
        <v>0</v>
      </c>
      <c r="I44" s="147">
        <f t="shared" si="7"/>
        <v>0</v>
      </c>
      <c r="J44" s="621">
        <f>SUMIF('1. 3A-Mutaties'!E:E,'1.1a-Jaarprijzen'!B44,'1. 3A-Mutaties'!Z:Z)</f>
        <v>0</v>
      </c>
      <c r="K44" s="148"/>
      <c r="L44" s="130">
        <f>SUMIF('1.8-Glasbewassing'!D:D,'1.1a-Jaarprijzen'!B44,'1.8-Glasbewassing'!W:W)</f>
        <v>0</v>
      </c>
      <c r="M44" s="130">
        <f t="shared" si="8"/>
        <v>0</v>
      </c>
      <c r="N44" s="122"/>
      <c r="Q44" s="149">
        <f t="shared" ca="1" si="9"/>
        <v>0</v>
      </c>
      <c r="T44" s="160">
        <f t="shared" ca="1" si="10"/>
        <v>0</v>
      </c>
    </row>
    <row r="45" spans="1:20" ht="20" customHeight="1">
      <c r="A45" s="730">
        <f t="shared" si="3"/>
        <v>3</v>
      </c>
      <c r="B45" s="141" t="str">
        <f t="shared" si="3"/>
        <v>OBS De Weremere</v>
      </c>
      <c r="C45" s="43" t="str">
        <f t="shared" si="3"/>
        <v>Kameelstraat 24</v>
      </c>
      <c r="D45" s="146">
        <f>SUMIF('1.0-Contractblad'!$A$48:$A$52,'1.1a-Jaarprijzen'!B45,'1.0-Contractblad'!$J$48:$J$52)</f>
        <v>0</v>
      </c>
      <c r="E45" s="147">
        <f>VLOOKUP($B45,'1.6-Machine-investeringskosten'!$E$99:$H$158,4,FALSE)</f>
        <v>0</v>
      </c>
      <c r="F45" s="147">
        <f t="shared" si="4"/>
        <v>0</v>
      </c>
      <c r="G45" s="147">
        <f t="shared" si="5"/>
        <v>0</v>
      </c>
      <c r="H45" s="147">
        <f t="shared" si="6"/>
        <v>0</v>
      </c>
      <c r="I45" s="147">
        <f t="shared" si="7"/>
        <v>0</v>
      </c>
      <c r="J45" s="621">
        <f>SUMIF('1. 3A-Mutaties'!E:E,'1.1a-Jaarprijzen'!B45,'1. 3A-Mutaties'!Z:Z)</f>
        <v>0</v>
      </c>
      <c r="K45" s="148"/>
      <c r="L45" s="130">
        <f>SUMIF('1.8-Glasbewassing'!D:D,'1.1a-Jaarprijzen'!B45,'1.8-Glasbewassing'!W:W)</f>
        <v>0</v>
      </c>
      <c r="M45" s="130">
        <f t="shared" si="8"/>
        <v>0</v>
      </c>
      <c r="N45" s="122"/>
      <c r="Q45" s="149">
        <f t="shared" ca="1" si="9"/>
        <v>0</v>
      </c>
      <c r="T45" s="160">
        <f t="shared" ca="1" si="10"/>
        <v>0</v>
      </c>
    </row>
    <row r="46" spans="1:20" ht="20" customHeight="1">
      <c r="A46" s="730">
        <f t="shared" si="3"/>
        <v>3</v>
      </c>
      <c r="B46" s="141" t="str">
        <f t="shared" si="3"/>
        <v>OBS De Nieuwe Wereld</v>
      </c>
      <c r="C46" s="43" t="str">
        <f t="shared" si="3"/>
        <v>Yellowstone 7-9</v>
      </c>
      <c r="D46" s="146">
        <f>SUMIF('1.0-Contractblad'!$A$48:$A$52,'1.1a-Jaarprijzen'!B46,'1.0-Contractblad'!$J$48:$J$52)</f>
        <v>0</v>
      </c>
      <c r="E46" s="147">
        <f>VLOOKUP($B46,'1.6-Machine-investeringskosten'!$E$99:$H$158,4,FALSE)</f>
        <v>0</v>
      </c>
      <c r="F46" s="147">
        <f t="shared" si="4"/>
        <v>0</v>
      </c>
      <c r="G46" s="147">
        <f t="shared" si="5"/>
        <v>0</v>
      </c>
      <c r="H46" s="147">
        <f t="shared" si="6"/>
        <v>0</v>
      </c>
      <c r="I46" s="147">
        <f t="shared" si="7"/>
        <v>0</v>
      </c>
      <c r="J46" s="621">
        <f>SUMIF('1. 3A-Mutaties'!E:E,'1.1a-Jaarprijzen'!B46,'1. 3A-Mutaties'!Z:Z)</f>
        <v>0</v>
      </c>
      <c r="K46" s="148"/>
      <c r="L46" s="130">
        <f>SUMIF('1.8-Glasbewassing'!D:D,'1.1a-Jaarprijzen'!B46,'1.8-Glasbewassing'!W:W)</f>
        <v>0</v>
      </c>
      <c r="M46" s="130">
        <f t="shared" si="8"/>
        <v>0</v>
      </c>
      <c r="N46" s="122"/>
      <c r="Q46" s="149">
        <f t="shared" ca="1" si="9"/>
        <v>0</v>
      </c>
      <c r="T46" s="160">
        <f t="shared" ca="1" si="10"/>
        <v>0</v>
      </c>
    </row>
    <row r="47" spans="1:20" ht="20" customHeight="1">
      <c r="A47" s="730">
        <f t="shared" si="3"/>
        <v>3</v>
      </c>
      <c r="B47" s="141" t="str">
        <f t="shared" si="3"/>
        <v>OBS De Nieuwe Wereld Piek</v>
      </c>
      <c r="C47" s="43" t="str">
        <f t="shared" si="3"/>
        <v>Yellowstone 11</v>
      </c>
      <c r="D47" s="146">
        <f>SUMIF('1.0-Contractblad'!$A$48:$A$52,'1.1a-Jaarprijzen'!B47,'1.0-Contractblad'!$J$48:$J$52)</f>
        <v>0</v>
      </c>
      <c r="E47" s="147">
        <f>VLOOKUP($B47,'1.6-Machine-investeringskosten'!$E$99:$H$158,4,FALSE)</f>
        <v>0</v>
      </c>
      <c r="F47" s="147">
        <f t="shared" si="4"/>
        <v>0</v>
      </c>
      <c r="G47" s="147">
        <f t="shared" si="5"/>
        <v>0</v>
      </c>
      <c r="H47" s="147">
        <f t="shared" si="6"/>
        <v>0</v>
      </c>
      <c r="I47" s="147">
        <f t="shared" si="7"/>
        <v>0</v>
      </c>
      <c r="J47" s="621">
        <f>SUMIF('1. 3A-Mutaties'!E:E,'1.1a-Jaarprijzen'!B47,'1. 3A-Mutaties'!Z:Z)</f>
        <v>0</v>
      </c>
      <c r="K47" s="148"/>
      <c r="L47" s="130">
        <f>SUMIF('1.8-Glasbewassing'!D:D,'1.1a-Jaarprijzen'!B47,'1.8-Glasbewassing'!W:W)</f>
        <v>0</v>
      </c>
      <c r="M47" s="130">
        <f t="shared" si="8"/>
        <v>0</v>
      </c>
      <c r="N47" s="122"/>
      <c r="Q47" s="149">
        <f t="shared" ca="1" si="9"/>
        <v>0</v>
      </c>
      <c r="T47" s="160">
        <f t="shared" ca="1" si="10"/>
        <v>0</v>
      </c>
    </row>
    <row r="48" spans="1:20" ht="20" customHeight="1">
      <c r="A48" s="730">
        <f t="shared" si="3"/>
        <v>3</v>
      </c>
      <c r="B48" s="141" t="str">
        <f t="shared" si="3"/>
        <v>Kantoor OPSPOOR-SKOP</v>
      </c>
      <c r="C48" s="43" t="str">
        <f t="shared" si="3"/>
        <v>Waterlandlaan 30</v>
      </c>
      <c r="D48" s="146">
        <f>SUMIF('1.0-Contractblad'!$A$48:$A$52,'1.1a-Jaarprijzen'!B48,'1.0-Contractblad'!$J$48:$J$52)</f>
        <v>0</v>
      </c>
      <c r="E48" s="147">
        <f>VLOOKUP($B48,'1.6-Machine-investeringskosten'!$E$99:$H$158,4,FALSE)</f>
        <v>0</v>
      </c>
      <c r="F48" s="147">
        <f t="shared" si="4"/>
        <v>0</v>
      </c>
      <c r="G48" s="147">
        <f t="shared" si="5"/>
        <v>0</v>
      </c>
      <c r="H48" s="147">
        <f t="shared" si="6"/>
        <v>0</v>
      </c>
      <c r="I48" s="147">
        <f t="shared" si="7"/>
        <v>0</v>
      </c>
      <c r="J48" s="621">
        <f>SUMIF('1. 3A-Mutaties'!E:E,'1.1a-Jaarprijzen'!B48,'1. 3A-Mutaties'!Z:Z)</f>
        <v>0</v>
      </c>
      <c r="K48" s="148"/>
      <c r="L48" s="130">
        <f>SUMIF('1.8-Glasbewassing'!D:D,'1.1a-Jaarprijzen'!B48,'1.8-Glasbewassing'!W:W)</f>
        <v>0</v>
      </c>
      <c r="M48" s="130">
        <f t="shared" si="8"/>
        <v>0</v>
      </c>
      <c r="N48" s="122"/>
      <c r="Q48" s="149">
        <f t="shared" ca="1" si="9"/>
        <v>0</v>
      </c>
      <c r="T48" s="160">
        <f t="shared" ca="1" si="10"/>
        <v>0</v>
      </c>
    </row>
    <row r="49" spans="1:20" ht="20" customHeight="1">
      <c r="A49" s="682">
        <f>A27</f>
        <v>3</v>
      </c>
      <c r="B49" s="141">
        <f>B28</f>
        <v>0</v>
      </c>
      <c r="C49" s="43">
        <f>C28</f>
        <v>0</v>
      </c>
      <c r="D49" s="146">
        <f>SUMIF('1.0-Contractblad'!$A$48:$A$52,'1.1a-Jaarprijzen'!B49,'1.0-Contractblad'!$J$48:$J$52)</f>
        <v>0</v>
      </c>
      <c r="E49" s="147">
        <f>VLOOKUP($B49,'1.6-Machine-investeringskosten'!$E$99:$H$158,4,FALSE)</f>
        <v>0</v>
      </c>
      <c r="F49" s="147">
        <f t="shared" si="4"/>
        <v>0</v>
      </c>
      <c r="G49" s="147">
        <f t="shared" si="5"/>
        <v>0</v>
      </c>
      <c r="H49" s="147">
        <f t="shared" si="6"/>
        <v>0</v>
      </c>
      <c r="I49" s="147">
        <f t="shared" ref="I49:I50" si="11">E49+F49+G49+D49+H49</f>
        <v>0</v>
      </c>
      <c r="J49" s="621">
        <f>SUMIF('1. 3A-Mutaties'!E:E,'1.1a-Jaarprijzen'!B49,'1. 3A-Mutaties'!Z:Z)</f>
        <v>0</v>
      </c>
      <c r="K49" s="148"/>
      <c r="L49" s="130">
        <f>SUMIF('1.8-Glasbewassing'!D:D,'1.1a-Jaarprijzen'!B49,'1.8-Glasbewassing'!W:W)</f>
        <v>0</v>
      </c>
      <c r="M49" s="130">
        <f t="shared" ref="M49:M50" si="12">IF(K49="ja",I49,J49+I49)</f>
        <v>0</v>
      </c>
      <c r="N49" s="122"/>
      <c r="Q49" s="149">
        <f ca="1">L49/(E27)</f>
        <v>0</v>
      </c>
      <c r="T49" s="160">
        <f ca="1">I49/E27</f>
        <v>0</v>
      </c>
    </row>
    <row r="50" spans="1:20" ht="20" customHeight="1">
      <c r="A50" s="682">
        <f>A28</f>
        <v>0</v>
      </c>
      <c r="B50" s="141">
        <f>B29</f>
        <v>0</v>
      </c>
      <c r="C50" s="43">
        <f>C29</f>
        <v>0</v>
      </c>
      <c r="D50" s="146">
        <f>SUMIF('1.0-Contractblad'!$A$48:$A$52,'1.1a-Jaarprijzen'!B50,'1.0-Contractblad'!$J$48:$J$52)</f>
        <v>0</v>
      </c>
      <c r="E50" s="147">
        <f>VLOOKUP($B50,'1.6-Machine-investeringskosten'!$E$99:$H$158,4,FALSE)</f>
        <v>0</v>
      </c>
      <c r="F50" s="147">
        <f t="shared" si="4"/>
        <v>0</v>
      </c>
      <c r="G50" s="147">
        <f t="shared" si="5"/>
        <v>0</v>
      </c>
      <c r="H50" s="147">
        <f t="shared" si="6"/>
        <v>0</v>
      </c>
      <c r="I50" s="147">
        <f t="shared" si="11"/>
        <v>0</v>
      </c>
      <c r="J50" s="621">
        <f>SUMIF('1. 3A-Mutaties'!E:E,'1.1a-Jaarprijzen'!B50,'1. 3A-Mutaties'!Z:Z)</f>
        <v>0</v>
      </c>
      <c r="K50" s="148"/>
      <c r="L50" s="130">
        <f>SUMIF('1.8-Glasbewassing'!D:D,'1.1a-Jaarprijzen'!B50,'1.8-Glasbewassing'!W:W)</f>
        <v>0</v>
      </c>
      <c r="M50" s="130">
        <f t="shared" si="12"/>
        <v>0</v>
      </c>
      <c r="N50" s="122"/>
      <c r="Q50" s="149" t="e">
        <f>L50/(E28)</f>
        <v>#DIV/0!</v>
      </c>
      <c r="T50" s="160" t="e">
        <f>I50/E28</f>
        <v>#DIV/0!</v>
      </c>
    </row>
    <row r="51" spans="1:20" ht="17">
      <c r="A51" s="682">
        <f>A29</f>
        <v>0</v>
      </c>
      <c r="E51" s="136"/>
      <c r="F51" s="136"/>
      <c r="H51" s="150"/>
      <c r="I51" s="151"/>
      <c r="J51" s="622"/>
      <c r="K51" s="152"/>
      <c r="L51" s="151"/>
      <c r="M51" s="151"/>
      <c r="N51" s="153"/>
      <c r="Q51" s="154"/>
    </row>
    <row r="52" spans="1:20">
      <c r="A52" s="683"/>
      <c r="B52" s="156"/>
      <c r="E52" s="136"/>
      <c r="F52" s="136"/>
      <c r="J52" s="623"/>
      <c r="Q52" s="122"/>
    </row>
    <row r="53" spans="1:20" ht="17">
      <c r="B53" s="122"/>
      <c r="C53" s="545"/>
      <c r="D53" s="157"/>
      <c r="E53" s="158"/>
      <c r="F53" s="158"/>
      <c r="G53" s="158"/>
      <c r="H53" s="158"/>
      <c r="I53" s="158"/>
      <c r="J53" s="624"/>
      <c r="K53" s="158"/>
      <c r="L53" s="158"/>
      <c r="M53" s="158"/>
      <c r="Q53" s="155"/>
    </row>
    <row r="54" spans="1:20" ht="17">
      <c r="A54" s="679">
        <v>1</v>
      </c>
      <c r="B54" s="122"/>
      <c r="C54" s="545"/>
      <c r="D54" s="157"/>
      <c r="E54" s="158"/>
      <c r="F54" s="158"/>
      <c r="G54" s="158"/>
      <c r="H54" s="158"/>
      <c r="I54" s="158"/>
      <c r="J54" s="624"/>
      <c r="K54" s="158"/>
      <c r="L54" s="158"/>
      <c r="M54" s="158"/>
      <c r="Q54" s="155"/>
    </row>
    <row r="55" spans="1:20" ht="17">
      <c r="A55" s="679">
        <v>2</v>
      </c>
      <c r="B55" s="122"/>
      <c r="C55" s="545"/>
      <c r="D55" s="157"/>
      <c r="E55" s="158"/>
      <c r="F55" s="158"/>
      <c r="G55" s="158"/>
      <c r="H55" s="158"/>
      <c r="I55" s="158"/>
      <c r="J55" s="624"/>
      <c r="K55" s="158"/>
      <c r="L55" s="158"/>
      <c r="M55" s="158"/>
      <c r="Q55" s="155"/>
    </row>
    <row r="56" spans="1:20" ht="17">
      <c r="A56" s="679">
        <v>3</v>
      </c>
      <c r="B56" s="122"/>
      <c r="C56" s="545" t="s">
        <v>1041</v>
      </c>
      <c r="D56" s="157">
        <f ca="1">SUMIF($A$34:$M$49,$A56,$D$34:$D$49)</f>
        <v>0</v>
      </c>
      <c r="E56" s="158">
        <f ca="1">SUMIF($A$34:$M$49,$A56,$E$34:$E$49)</f>
        <v>0</v>
      </c>
      <c r="F56" s="158">
        <f ca="1">SUMIF($A$34:$M$49,$A56,$F$34:$F$49)</f>
        <v>0</v>
      </c>
      <c r="G56" s="158">
        <f ca="1">SUMIF($A$34:$M$49,$A56,$G$34:$G$49)</f>
        <v>0</v>
      </c>
      <c r="H56" s="158">
        <f ca="1">SUMIF($A$34:$M$49,$A56,$H$34:$H$49)</f>
        <v>0</v>
      </c>
      <c r="I56" s="158">
        <f ca="1">SUMIF($A$34:$M$49,$A56,$I$34:$I$49)</f>
        <v>0</v>
      </c>
      <c r="J56" s="624">
        <f ca="1">SUMIF($A$34:$M$49,$A56,$J$34:$J$49)</f>
        <v>0</v>
      </c>
      <c r="K56" s="158"/>
      <c r="L56" s="158">
        <f ca="1">SUMIF($A$34:$M$49,$A56,$L$34:$L$49)</f>
        <v>0</v>
      </c>
      <c r="M56" s="158">
        <f ca="1">SUMIF($A$34:$M$49,$A56,$M$34:$M$49)</f>
        <v>0</v>
      </c>
      <c r="Q56" s="155"/>
    </row>
    <row r="57" spans="1:20">
      <c r="B57" s="156"/>
      <c r="E57" s="136"/>
      <c r="F57" s="136"/>
      <c r="P57" s="43"/>
      <c r="Q57" s="154"/>
    </row>
    <row r="58" spans="1:20" ht="17">
      <c r="E58" s="136"/>
      <c r="F58" s="159"/>
      <c r="G58" s="159"/>
      <c r="H58" s="159"/>
      <c r="I58" s="687"/>
      <c r="J58" s="151"/>
      <c r="K58" s="151"/>
      <c r="L58" s="151"/>
      <c r="M58" s="150"/>
      <c r="N58" s="151"/>
      <c r="O58" s="151"/>
      <c r="P58" s="43"/>
      <c r="Q58" s="122"/>
    </row>
    <row r="59" spans="1:20">
      <c r="B59" s="161"/>
      <c r="C59" s="127"/>
      <c r="D59" s="135"/>
      <c r="E59" s="135"/>
      <c r="F59" s="135"/>
      <c r="G59" s="135"/>
      <c r="I59" s="160"/>
      <c r="J59" s="160"/>
    </row>
    <row r="60" spans="1:20">
      <c r="B60" s="161"/>
      <c r="C60" s="162"/>
      <c r="D60" s="162"/>
      <c r="E60" s="162"/>
      <c r="F60" s="162"/>
      <c r="G60" s="162"/>
      <c r="H60" s="162"/>
      <c r="M60" s="146"/>
    </row>
    <row r="61" spans="1:20">
      <c r="B61" s="163"/>
      <c r="C61" s="463" t="s">
        <v>121</v>
      </c>
      <c r="D61" s="463" t="s">
        <v>121</v>
      </c>
      <c r="E61" s="463" t="s">
        <v>121</v>
      </c>
      <c r="F61" s="463" t="s">
        <v>121</v>
      </c>
      <c r="G61" s="463" t="s">
        <v>121</v>
      </c>
      <c r="H61" s="463" t="s">
        <v>121</v>
      </c>
      <c r="I61" s="463" t="s">
        <v>121</v>
      </c>
      <c r="J61" s="463" t="s">
        <v>121</v>
      </c>
      <c r="K61" s="463" t="s">
        <v>121</v>
      </c>
      <c r="L61" s="463" t="s">
        <v>121</v>
      </c>
    </row>
    <row r="62" spans="1:20" ht="16">
      <c r="B62" s="163"/>
      <c r="C62" s="464">
        <v>2027</v>
      </c>
      <c r="D62" s="464">
        <f>C62+1</f>
        <v>2028</v>
      </c>
      <c r="E62" s="464">
        <f t="shared" ref="E62:K62" si="13">D62+1</f>
        <v>2029</v>
      </c>
      <c r="F62" s="464">
        <f t="shared" si="13"/>
        <v>2030</v>
      </c>
      <c r="G62" s="464">
        <f t="shared" si="13"/>
        <v>2031</v>
      </c>
      <c r="H62" s="464">
        <f t="shared" si="13"/>
        <v>2032</v>
      </c>
      <c r="I62" s="464">
        <f t="shared" si="13"/>
        <v>2033</v>
      </c>
      <c r="J62" s="464">
        <f t="shared" si="13"/>
        <v>2034</v>
      </c>
      <c r="K62" s="464">
        <f t="shared" si="13"/>
        <v>2035</v>
      </c>
      <c r="L62" s="625"/>
      <c r="M62" s="164"/>
    </row>
    <row r="63" spans="1:20" ht="18" customHeight="1">
      <c r="B63" s="783" t="s">
        <v>122</v>
      </c>
      <c r="C63" s="461"/>
      <c r="D63" s="461"/>
      <c r="E63" s="461"/>
      <c r="F63" s="461"/>
      <c r="G63" s="461"/>
      <c r="H63" s="461"/>
      <c r="I63" s="461"/>
      <c r="J63" s="461"/>
      <c r="K63" s="461"/>
      <c r="L63" s="626"/>
    </row>
    <row r="64" spans="1:20">
      <c r="B64" s="783" t="s">
        <v>123</v>
      </c>
      <c r="C64" s="462"/>
      <c r="D64" s="462"/>
      <c r="E64" s="462"/>
      <c r="F64" s="462"/>
      <c r="G64" s="462"/>
      <c r="H64" s="462"/>
      <c r="I64" s="462"/>
      <c r="J64" s="462"/>
      <c r="K64" s="462"/>
      <c r="L64" s="627"/>
    </row>
    <row r="65" spans="1:14" hidden="1">
      <c r="B65" s="165">
        <v>1</v>
      </c>
      <c r="C65" s="166">
        <f t="shared" ref="C65:L65" si="14">B65*C64+B65</f>
        <v>1</v>
      </c>
      <c r="D65" s="166">
        <f t="shared" si="14"/>
        <v>1</v>
      </c>
      <c r="E65" s="166">
        <f t="shared" si="14"/>
        <v>1</v>
      </c>
      <c r="F65" s="166">
        <f t="shared" si="14"/>
        <v>1</v>
      </c>
      <c r="G65" s="166">
        <f t="shared" si="14"/>
        <v>1</v>
      </c>
      <c r="H65" s="166">
        <f t="shared" si="14"/>
        <v>1</v>
      </c>
      <c r="I65" s="166">
        <f t="shared" si="14"/>
        <v>1</v>
      </c>
      <c r="J65" s="166">
        <f t="shared" si="14"/>
        <v>1</v>
      </c>
      <c r="K65" s="166">
        <f t="shared" si="14"/>
        <v>1</v>
      </c>
      <c r="L65" s="166">
        <f t="shared" si="14"/>
        <v>1</v>
      </c>
    </row>
    <row r="66" spans="1:14" hidden="1">
      <c r="B66" s="165"/>
      <c r="C66" s="609">
        <f>MAX(C65:L65)-1</f>
        <v>0</v>
      </c>
      <c r="D66" s="610"/>
      <c r="E66" s="610"/>
      <c r="F66" s="610"/>
      <c r="G66" s="610"/>
      <c r="H66" s="610"/>
      <c r="I66" s="610"/>
    </row>
    <row r="67" spans="1:14" ht="16" thickBot="1">
      <c r="C67" s="609"/>
      <c r="E67" s="136"/>
      <c r="F67" s="136"/>
    </row>
    <row r="68" spans="1:14">
      <c r="B68" s="185"/>
      <c r="C68" s="185"/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5"/>
    </row>
    <row r="69" spans="1:14">
      <c r="B69" s="161"/>
      <c r="E69" s="136"/>
      <c r="F69" s="136"/>
    </row>
    <row r="70" spans="1:14"/>
    <row r="71" spans="1:14">
      <c r="E71" s="160"/>
    </row>
    <row r="72" spans="1:14">
      <c r="E72" s="160"/>
    </row>
    <row r="73" spans="1:14">
      <c r="E73" s="160"/>
    </row>
    <row r="74" spans="1:14">
      <c r="E74" s="160"/>
    </row>
    <row r="75" spans="1:14">
      <c r="E75" s="160"/>
    </row>
    <row r="76" spans="1:14">
      <c r="A76" s="623"/>
      <c r="B76" s="83"/>
      <c r="C76" s="665"/>
      <c r="D76" s="733"/>
      <c r="E76" s="731"/>
      <c r="F76" s="733"/>
    </row>
    <row r="77" spans="1:14">
      <c r="A77" s="623"/>
      <c r="B77" s="83"/>
      <c r="C77" s="665"/>
      <c r="D77" s="733"/>
      <c r="E77" s="731"/>
      <c r="F77" s="733"/>
    </row>
    <row r="78" spans="1:14">
      <c r="A78" s="623"/>
      <c r="B78" s="83"/>
      <c r="C78" s="665"/>
      <c r="D78" s="733"/>
      <c r="E78" s="731"/>
      <c r="F78" s="733"/>
    </row>
    <row r="79" spans="1:14">
      <c r="C79" s="731"/>
      <c r="E79" s="731"/>
    </row>
    <row r="80" spans="1:14">
      <c r="E80" s="160"/>
    </row>
    <row r="81" spans="5:5">
      <c r="E81" s="160"/>
    </row>
    <row r="82" spans="5:5"/>
    <row r="83" spans="5:5"/>
    <row r="84" spans="5:5"/>
    <row r="85" spans="5:5"/>
    <row r="86" spans="5:5"/>
    <row r="87" spans="5:5"/>
    <row r="88" spans="5:5"/>
    <row r="89" spans="5:5"/>
    <row r="90" spans="5:5"/>
    <row r="91" spans="5:5"/>
    <row r="92" spans="5:5"/>
    <row r="93" spans="5:5"/>
    <row r="94" spans="5:5"/>
    <row r="95" spans="5:5"/>
    <row r="96" spans="5:5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</sheetData>
  <sortState xmlns:xlrd2="http://schemas.microsoft.com/office/spreadsheetml/2017/richdata2" ref="A13:XFD27">
    <sortCondition ref="D13:D27"/>
    <sortCondition ref="B13:B27"/>
  </sortState>
  <phoneticPr fontId="20"/>
  <conditionalFormatting sqref="D34:D50">
    <cfRule type="cellIs" dxfId="156" priority="131" operator="greaterThan">
      <formula>0</formula>
    </cfRule>
  </conditionalFormatting>
  <conditionalFormatting sqref="D53:M56">
    <cfRule type="cellIs" dxfId="155" priority="9" operator="greaterThan">
      <formula>0</formula>
    </cfRule>
  </conditionalFormatting>
  <conditionalFormatting sqref="E13:I27 K13:L27 E34:M50 C59:G59">
    <cfRule type="cellIs" dxfId="154" priority="46" operator="greaterThan">
      <formula>0</formula>
    </cfRule>
  </conditionalFormatting>
  <conditionalFormatting sqref="E28:L28 E29:M29 L51:M51 J58:L58 N58:O58">
    <cfRule type="cellIs" dxfId="153" priority="134" operator="greaterThan">
      <formula>0</formula>
    </cfRule>
  </conditionalFormatting>
  <conditionalFormatting sqref="I51:J51">
    <cfRule type="cellIs" dxfId="152" priority="38" operator="greaterThan">
      <formula>0</formula>
    </cfRule>
  </conditionalFormatting>
  <dataValidations count="1">
    <dataValidation allowBlank="1" showInputMessage="1" showErrorMessage="1" promptTitle="Toelichting" prompt="Hier dienen geen gegevens te worden ingevoerd._x000d_De gegevens worden automatisch ingevoerd nadat de kengetallen, de opbouw uurtarieven en het contractblad volledig zijn ingevuld._x000d_" sqref="F6" xr:uid="{00000000-0002-0000-0300-000000000000}"/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4" orientation="landscape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X91"/>
  <sheetViews>
    <sheetView showGridLines="0" showRowColHeaders="0" showZeros="0" showOutlineSymbols="0" topLeftCell="A53" zoomScale="103" zoomScaleNormal="100" zoomScaleSheetLayoutView="75" workbookViewId="0">
      <selection activeCell="I62" sqref="I62"/>
    </sheetView>
  </sheetViews>
  <sheetFormatPr baseColWidth="10" defaultColWidth="10.796875" defaultRowHeight="15"/>
  <cols>
    <col min="1" max="1" width="16.19921875" style="186" customWidth="1"/>
    <col min="2" max="2" width="33" style="186" bestFit="1" customWidth="1"/>
    <col min="3" max="3" width="21.3984375" style="219" bestFit="1" customWidth="1"/>
    <col min="4" max="4" width="7.59765625" style="219" hidden="1" customWidth="1"/>
    <col min="5" max="5" width="12.59765625" style="187" customWidth="1"/>
    <col min="6" max="6" width="37.59765625" style="225" customWidth="1"/>
    <col min="7" max="7" width="28.3984375" style="226" customWidth="1"/>
    <col min="8" max="9" width="15.796875" style="190" customWidth="1"/>
    <col min="10" max="10" width="14" style="191" bestFit="1" customWidth="1"/>
    <col min="11" max="11" width="13.59765625" style="232" bestFit="1" customWidth="1"/>
    <col min="12" max="12" width="10.19921875" style="232" hidden="1" customWidth="1"/>
    <col min="13" max="13" width="13.59765625" style="227" bestFit="1" customWidth="1"/>
    <col min="14" max="14" width="13.3984375" style="226" customWidth="1"/>
    <col min="15" max="15" width="67.796875" style="229" customWidth="1"/>
    <col min="16" max="16" width="10.19921875" style="239" customWidth="1"/>
    <col min="17" max="17" width="34.19921875" style="239" customWidth="1"/>
    <col min="18" max="18" width="26.19921875" style="186" customWidth="1"/>
    <col min="19" max="32" width="10.796875" style="186" customWidth="1"/>
    <col min="33" max="16384" width="10.796875" style="186"/>
  </cols>
  <sheetData>
    <row r="1" spans="1:24" s="3" customFormat="1" ht="9" customHeight="1" thickBot="1">
      <c r="A1" s="6"/>
      <c r="B1" s="30"/>
      <c r="C1" s="30"/>
      <c r="D1" s="49"/>
      <c r="E1" s="30"/>
      <c r="F1" s="30"/>
      <c r="G1" s="30"/>
      <c r="H1" s="30"/>
      <c r="I1" s="30"/>
      <c r="J1" s="30"/>
      <c r="K1" s="30"/>
      <c r="L1" s="30"/>
      <c r="M1" s="99"/>
      <c r="N1" s="99"/>
      <c r="O1" s="99"/>
      <c r="P1" s="100"/>
    </row>
    <row r="2" spans="1:24" s="3" customFormat="1" ht="8" customHeight="1">
      <c r="A2" s="6"/>
      <c r="B2" s="30"/>
      <c r="C2" s="102"/>
      <c r="D2" s="101"/>
      <c r="E2" s="102"/>
      <c r="F2" s="102"/>
      <c r="G2" s="102"/>
      <c r="H2" s="102"/>
      <c r="I2" s="102"/>
      <c r="J2" s="102"/>
      <c r="K2" s="102"/>
      <c r="L2" s="30"/>
      <c r="M2" s="99"/>
      <c r="N2" s="99"/>
      <c r="O2" s="99"/>
      <c r="P2" s="100"/>
    </row>
    <row r="3" spans="1:24">
      <c r="C3" s="187"/>
      <c r="D3" s="187"/>
      <c r="F3" s="188"/>
      <c r="G3" s="189"/>
      <c r="K3" s="192"/>
      <c r="L3" s="192"/>
      <c r="M3" s="193"/>
      <c r="N3" s="189"/>
      <c r="O3" s="194"/>
      <c r="P3" s="195"/>
      <c r="Q3" s="195"/>
    </row>
    <row r="4" spans="1:24" ht="17">
      <c r="A4" s="504" t="s">
        <v>161</v>
      </c>
      <c r="B4" s="43"/>
      <c r="C4" s="265" t="s">
        <v>27</v>
      </c>
      <c r="D4" s="186"/>
      <c r="E4" s="186"/>
      <c r="F4" s="244" t="s">
        <v>84</v>
      </c>
      <c r="G4" s="198"/>
      <c r="K4" s="192"/>
      <c r="L4" s="192"/>
      <c r="M4" s="193"/>
      <c r="N4" s="189"/>
      <c r="O4" s="194"/>
      <c r="P4" s="195"/>
      <c r="Q4" s="195"/>
    </row>
    <row r="5" spans="1:24" s="199" customFormat="1" ht="18" thickBot="1">
      <c r="A5" s="523"/>
      <c r="B5" s="505" t="s">
        <v>153</v>
      </c>
      <c r="C5" s="265" t="s">
        <v>85</v>
      </c>
      <c r="F5" s="200" t="str">
        <f>Voorblad!$E$16</f>
        <v>Stichting Opspoor</v>
      </c>
      <c r="G5" s="198"/>
      <c r="H5" s="190"/>
      <c r="I5" s="190"/>
      <c r="J5" s="191"/>
      <c r="K5" s="201"/>
      <c r="L5" s="201"/>
      <c r="M5" s="202"/>
      <c r="N5" s="198"/>
      <c r="O5" s="203"/>
      <c r="P5" s="204"/>
      <c r="Q5" s="204"/>
      <c r="R5" s="205"/>
    </row>
    <row r="6" spans="1:24" s="199" customFormat="1" ht="18" thickBot="1">
      <c r="A6" s="631"/>
      <c r="B6" s="505" t="s">
        <v>384</v>
      </c>
      <c r="C6" s="265" t="s">
        <v>33</v>
      </c>
      <c r="F6" s="200" t="str">
        <f>'1.0-Contractblad'!$E$7</f>
        <v>Purmerend e.o.</v>
      </c>
      <c r="G6" s="198"/>
      <c r="H6" s="190"/>
      <c r="I6" s="190"/>
      <c r="J6" s="191"/>
      <c r="K6" s="201"/>
      <c r="L6" s="201"/>
      <c r="M6" s="202"/>
      <c r="N6" s="198"/>
      <c r="O6" s="203"/>
      <c r="P6" s="204"/>
      <c r="Q6" s="204"/>
      <c r="R6" s="205"/>
    </row>
    <row r="7" spans="1:24" s="199" customFormat="1" ht="18" thickBot="1">
      <c r="A7" s="533"/>
      <c r="B7" s="505" t="s">
        <v>272</v>
      </c>
      <c r="C7" s="265" t="s">
        <v>114</v>
      </c>
      <c r="F7" s="206" t="str">
        <f>Voorblad!$E$24</f>
        <v>1501-102-2026</v>
      </c>
      <c r="G7" s="207"/>
      <c r="H7" s="208"/>
      <c r="I7" s="209"/>
      <c r="J7" s="210"/>
      <c r="K7" s="201"/>
      <c r="L7" s="201"/>
      <c r="M7" s="202"/>
      <c r="N7" s="198"/>
      <c r="O7" s="203"/>
      <c r="P7" s="204"/>
      <c r="Q7" s="204"/>
      <c r="R7" s="205"/>
    </row>
    <row r="8" spans="1:24" s="199" customFormat="1" ht="17">
      <c r="A8" s="689"/>
      <c r="B8" s="505" t="s">
        <v>479</v>
      </c>
      <c r="C8" s="265" t="s">
        <v>145</v>
      </c>
      <c r="F8" s="211" t="str">
        <f ca="1">Voorblad!$E$26</f>
        <v>Calculatiemodule Opspoor Perceel 3 V1.1 | 01-jan-27 Wijziging bijgehouden</v>
      </c>
      <c r="G8" s="207"/>
      <c r="H8" s="212"/>
      <c r="I8" s="209"/>
      <c r="J8" s="210"/>
      <c r="K8" s="210"/>
      <c r="L8" s="210"/>
      <c r="M8" s="213"/>
      <c r="N8" s="198"/>
      <c r="O8" s="214"/>
      <c r="P8" s="204"/>
      <c r="Q8" s="204"/>
      <c r="R8" s="205"/>
    </row>
    <row r="9" spans="1:24" s="199" customFormat="1" ht="17">
      <c r="C9" s="265" t="s">
        <v>83</v>
      </c>
      <c r="F9" s="245" t="str">
        <f>Voorblad!$E$19</f>
        <v>Naam organisatie</v>
      </c>
      <c r="G9" s="205"/>
      <c r="H9" s="216"/>
      <c r="I9" s="217"/>
      <c r="J9" s="210"/>
      <c r="K9" s="210"/>
      <c r="L9" s="210"/>
      <c r="M9" s="213"/>
      <c r="N9" s="198"/>
      <c r="O9" s="214"/>
      <c r="P9" s="204"/>
      <c r="Q9" s="204"/>
    </row>
    <row r="10" spans="1:24" s="199" customFormat="1" ht="17">
      <c r="C10" s="265" t="s">
        <v>6</v>
      </c>
      <c r="F10" s="218">
        <f>Voorblad!$E$22</f>
        <v>46388</v>
      </c>
      <c r="G10" s="205"/>
      <c r="H10" s="216"/>
      <c r="I10" s="217"/>
      <c r="J10" s="210"/>
      <c r="K10" s="210"/>
      <c r="L10" s="210"/>
      <c r="M10" s="213"/>
      <c r="N10" s="198"/>
      <c r="O10" s="214"/>
      <c r="P10" s="204"/>
      <c r="Q10" s="204"/>
    </row>
    <row r="11" spans="1:24" ht="17">
      <c r="E11" s="220"/>
      <c r="F11" s="221"/>
      <c r="G11" s="222"/>
      <c r="I11" s="221"/>
      <c r="J11" s="221"/>
      <c r="K11" s="190"/>
      <c r="L11" s="190"/>
      <c r="M11" s="221"/>
      <c r="N11" s="190"/>
      <c r="O11" s="223"/>
      <c r="P11" s="190"/>
      <c r="Q11" s="221"/>
      <c r="S11" s="199"/>
      <c r="T11" s="199"/>
      <c r="U11" s="199"/>
      <c r="V11" s="199"/>
      <c r="W11" s="199"/>
      <c r="X11" s="199"/>
    </row>
    <row r="12" spans="1:24" s="246" customFormat="1" ht="48">
      <c r="A12" s="186"/>
      <c r="B12" s="199"/>
      <c r="C12" s="720" t="s">
        <v>258</v>
      </c>
      <c r="D12" s="721"/>
      <c r="E12" s="567" t="s">
        <v>24</v>
      </c>
      <c r="F12" s="722" t="s">
        <v>120</v>
      </c>
      <c r="G12" s="568" t="s">
        <v>72</v>
      </c>
      <c r="H12" s="723" t="s">
        <v>215</v>
      </c>
      <c r="I12" s="723" t="s">
        <v>232</v>
      </c>
      <c r="J12" s="724" t="s">
        <v>12</v>
      </c>
      <c r="K12" s="725" t="s">
        <v>78</v>
      </c>
      <c r="L12" s="725"/>
      <c r="M12" s="725" t="s">
        <v>50</v>
      </c>
      <c r="N12" s="726" t="s">
        <v>93</v>
      </c>
      <c r="O12" s="726" t="s">
        <v>51</v>
      </c>
      <c r="P12" s="726" t="s">
        <v>67</v>
      </c>
      <c r="Q12" s="248"/>
      <c r="S12" s="199"/>
      <c r="T12" s="199"/>
      <c r="U12" s="199"/>
      <c r="V12" s="249"/>
      <c r="W12" s="249"/>
      <c r="X12" s="249"/>
    </row>
    <row r="13" spans="1:24" ht="16" customHeight="1">
      <c r="B13" s="199"/>
      <c r="C13" s="644">
        <v>0</v>
      </c>
      <c r="D13" s="644">
        <v>0</v>
      </c>
      <c r="E13" s="644">
        <v>0</v>
      </c>
      <c r="F13" s="645"/>
      <c r="G13" s="646"/>
      <c r="H13" s="647"/>
      <c r="I13" s="647"/>
      <c r="J13" s="648"/>
      <c r="K13" s="648"/>
      <c r="L13" s="648"/>
      <c r="M13" s="649"/>
      <c r="N13" s="650"/>
      <c r="O13" s="651"/>
      <c r="P13" s="652"/>
      <c r="Q13" s="186"/>
      <c r="S13" s="199"/>
      <c r="T13" s="199"/>
      <c r="U13" s="199"/>
      <c r="V13" s="199"/>
      <c r="W13" s="199"/>
      <c r="X13" s="199"/>
    </row>
    <row r="14" spans="1:24" ht="17">
      <c r="C14" s="653">
        <v>1040</v>
      </c>
      <c r="D14" s="654"/>
      <c r="E14" s="655">
        <v>40</v>
      </c>
      <c r="F14" s="656" t="s">
        <v>405</v>
      </c>
      <c r="G14" s="657" t="s">
        <v>406</v>
      </c>
      <c r="H14" s="710"/>
      <c r="I14" s="710"/>
      <c r="J14" s="465">
        <f t="shared" ref="J14:J44" si="0">IF(H14=0,0,E14/SUM(H14+I14))</f>
        <v>0</v>
      </c>
      <c r="K14" s="466">
        <f>SUMIF('1.3-Basis ruimtestaat'!M:M,'1.2-Kengetal'!C14,Meters)</f>
        <v>300.08</v>
      </c>
      <c r="L14" s="466"/>
      <c r="M14" s="466">
        <f>SUMIF('1.3-Basis ruimtestaat'!M:M,'1.2-Kengetal'!C14,'1.3-Basis ruimtestaat'!L:L)</f>
        <v>0</v>
      </c>
      <c r="N14" s="658">
        <f t="shared" ref="N14" si="1">IF(K14=0,"",K14/$M$74)</f>
        <v>1.5385777292719493E-2</v>
      </c>
      <c r="O14" s="659"/>
      <c r="P14" s="652" t="s">
        <v>47</v>
      </c>
      <c r="Q14" s="186"/>
      <c r="S14" s="199"/>
      <c r="T14" s="199"/>
      <c r="U14" s="199"/>
      <c r="V14" s="199"/>
      <c r="W14" s="199"/>
      <c r="X14" s="199"/>
    </row>
    <row r="15" spans="1:24" ht="17">
      <c r="C15" s="653">
        <v>1200</v>
      </c>
      <c r="D15" s="654"/>
      <c r="E15" s="655">
        <v>200</v>
      </c>
      <c r="F15" s="656" t="s">
        <v>405</v>
      </c>
      <c r="G15" s="657" t="s">
        <v>408</v>
      </c>
      <c r="H15" s="710"/>
      <c r="I15" s="710"/>
      <c r="J15" s="465">
        <f t="shared" ref="J15" si="2">IF(H15=0,0,E15/SUM(H15+I15))</f>
        <v>0</v>
      </c>
      <c r="K15" s="466">
        <f>SUMIF('1.3-Basis ruimtestaat'!M:M,'1.2-Kengetal'!C15,Meters)</f>
        <v>774.06700000000001</v>
      </c>
      <c r="L15" s="466"/>
      <c r="M15" s="466">
        <f>SUMIF('1.3-Basis ruimtestaat'!M:M,'1.2-Kengetal'!C15,'1.3-Basis ruimtestaat'!L:L)</f>
        <v>0</v>
      </c>
      <c r="N15" s="658">
        <f t="shared" ref="N15:N62" si="3">IF(K15=0,"",K15/$M$74)</f>
        <v>3.9688158063328108E-2</v>
      </c>
      <c r="O15" s="659"/>
      <c r="P15" s="652" t="s">
        <v>47</v>
      </c>
      <c r="Q15" s="186"/>
      <c r="S15" s="199"/>
      <c r="T15" s="199"/>
      <c r="U15" s="199"/>
      <c r="V15" s="199"/>
      <c r="W15" s="199"/>
      <c r="X15" s="199"/>
    </row>
    <row r="16" spans="1:24" ht="17">
      <c r="C16" s="653">
        <v>1210</v>
      </c>
      <c r="D16" s="654"/>
      <c r="E16" s="655">
        <v>210</v>
      </c>
      <c r="F16" s="656" t="s">
        <v>405</v>
      </c>
      <c r="G16" s="657" t="s">
        <v>936</v>
      </c>
      <c r="H16" s="710"/>
      <c r="I16" s="710"/>
      <c r="J16" s="465">
        <f t="shared" si="0"/>
        <v>0</v>
      </c>
      <c r="K16" s="466">
        <f>SUMIF('1.3-Basis ruimtestaat'!M:M,'1.2-Kengetal'!C16,Meters)</f>
        <v>36.479999999999997</v>
      </c>
      <c r="L16" s="466"/>
      <c r="M16" s="466">
        <f>SUMIF('1.3-Basis ruimtestaat'!M:M,'1.2-Kengetal'!C16,'1.3-Basis ruimtestaat'!L:L)</f>
        <v>0</v>
      </c>
      <c r="N16" s="658">
        <f t="shared" si="3"/>
        <v>1.8704117423300687E-3</v>
      </c>
      <c r="O16" s="659" t="s">
        <v>935</v>
      </c>
      <c r="P16" s="652" t="s">
        <v>47</v>
      </c>
      <c r="Q16" s="186"/>
      <c r="S16" s="199"/>
      <c r="T16" s="199"/>
      <c r="U16" s="199"/>
      <c r="V16" s="199"/>
      <c r="W16" s="199"/>
      <c r="X16" s="199"/>
    </row>
    <row r="17" spans="1:24" ht="17">
      <c r="C17" s="787">
        <v>1260</v>
      </c>
      <c r="D17" s="654"/>
      <c r="E17" s="655">
        <v>260</v>
      </c>
      <c r="F17" s="656" t="s">
        <v>405</v>
      </c>
      <c r="G17" s="657" t="s">
        <v>409</v>
      </c>
      <c r="H17" s="710"/>
      <c r="I17" s="710"/>
      <c r="J17" s="465">
        <f t="shared" si="0"/>
        <v>0</v>
      </c>
      <c r="K17" s="466">
        <f>SUMIF('1.3-Basis ruimtestaat'!M:M,'1.2-Kengetal'!C17,Meters)</f>
        <v>804</v>
      </c>
      <c r="L17" s="466"/>
      <c r="M17" s="466">
        <f>SUMIF('1.3-Basis ruimtestaat'!M:M,'1.2-Kengetal'!C17,'1.3-Basis ruimtestaat'!L:L)</f>
        <v>0</v>
      </c>
      <c r="N17" s="658">
        <f t="shared" si="3"/>
        <v>4.1222890373721913E-2</v>
      </c>
      <c r="O17" s="659"/>
      <c r="P17" s="652" t="s">
        <v>47</v>
      </c>
      <c r="Q17" s="186"/>
      <c r="S17" s="199"/>
      <c r="T17" s="199"/>
      <c r="U17" s="199"/>
      <c r="V17" s="199"/>
      <c r="W17" s="199"/>
      <c r="X17" s="199"/>
    </row>
    <row r="18" spans="1:24" ht="17">
      <c r="C18" s="653">
        <v>2040</v>
      </c>
      <c r="D18" s="654"/>
      <c r="E18" s="655">
        <v>40</v>
      </c>
      <c r="F18" s="656" t="s">
        <v>666</v>
      </c>
      <c r="G18" s="657" t="s">
        <v>406</v>
      </c>
      <c r="H18" s="710"/>
      <c r="I18" s="710"/>
      <c r="J18" s="465">
        <f t="shared" si="0"/>
        <v>0</v>
      </c>
      <c r="K18" s="466">
        <f>SUMIF('1.3-Basis ruimtestaat'!M:M,'1.2-Kengetal'!C18,Meters)</f>
        <v>17</v>
      </c>
      <c r="L18" s="466"/>
      <c r="M18" s="466">
        <f>SUMIF('1.3-Basis ruimtestaat'!M:M,'1.2-Kengetal'!C18,'1.3-Basis ruimtestaat'!L:L)</f>
        <v>0</v>
      </c>
      <c r="N18" s="658">
        <f t="shared" si="3"/>
        <v>8.7162827904635888E-4</v>
      </c>
      <c r="O18" s="659"/>
      <c r="P18" s="652" t="s">
        <v>47</v>
      </c>
      <c r="Q18" s="186"/>
      <c r="S18" s="199"/>
      <c r="T18" s="199"/>
      <c r="U18" s="199"/>
      <c r="V18" s="199"/>
      <c r="W18" s="199"/>
      <c r="X18" s="199"/>
    </row>
    <row r="19" spans="1:24" ht="17">
      <c r="C19" s="653">
        <v>2200</v>
      </c>
      <c r="D19" s="654"/>
      <c r="E19" s="655">
        <v>200</v>
      </c>
      <c r="F19" s="656" t="s">
        <v>666</v>
      </c>
      <c r="G19" s="657" t="s">
        <v>408</v>
      </c>
      <c r="H19" s="710"/>
      <c r="I19" s="710"/>
      <c r="J19" s="465">
        <f t="shared" si="0"/>
        <v>0</v>
      </c>
      <c r="K19" s="466">
        <f>SUMIF('1.3-Basis ruimtestaat'!M:M,'1.2-Kengetal'!C19,Meters)</f>
        <v>1567.646</v>
      </c>
      <c r="L19" s="466"/>
      <c r="M19" s="466">
        <f>SUMIF('1.3-Basis ruimtestaat'!M:M,'1.2-Kengetal'!C19,'1.3-Basis ruimtestaat'!L:L)</f>
        <v>0</v>
      </c>
      <c r="N19" s="658">
        <f t="shared" si="3"/>
        <v>8.0376740301994612E-2</v>
      </c>
      <c r="O19" s="659"/>
      <c r="P19" s="652" t="s">
        <v>47</v>
      </c>
      <c r="Q19" s="186"/>
      <c r="S19" s="199"/>
      <c r="T19" s="199"/>
      <c r="U19" s="199"/>
      <c r="V19" s="199"/>
      <c r="W19" s="199"/>
      <c r="X19" s="199"/>
    </row>
    <row r="20" spans="1:24" ht="17">
      <c r="C20" s="653">
        <v>2210</v>
      </c>
      <c r="D20" s="654"/>
      <c r="E20" s="655">
        <v>210</v>
      </c>
      <c r="F20" s="656" t="s">
        <v>666</v>
      </c>
      <c r="G20" s="657" t="s">
        <v>936</v>
      </c>
      <c r="H20" s="710"/>
      <c r="I20" s="710"/>
      <c r="J20" s="465">
        <f t="shared" si="0"/>
        <v>0</v>
      </c>
      <c r="K20" s="466">
        <f>SUMIF('1.3-Basis ruimtestaat'!M:M,'1.2-Kengetal'!C20,Meters)</f>
        <v>78.53</v>
      </c>
      <c r="L20" s="466"/>
      <c r="M20" s="466">
        <f>SUMIF('1.3-Basis ruimtestaat'!M:M,'1.2-Kengetal'!C20,'1.3-Basis ruimtestaat'!L:L)</f>
        <v>0</v>
      </c>
      <c r="N20" s="658">
        <f t="shared" si="3"/>
        <v>4.0264099266770917E-3</v>
      </c>
      <c r="O20" s="659" t="s">
        <v>935</v>
      </c>
      <c r="P20" s="652" t="s">
        <v>47</v>
      </c>
      <c r="Q20" s="186"/>
      <c r="S20" s="199"/>
      <c r="T20" s="199"/>
      <c r="U20" s="199"/>
      <c r="V20" s="199"/>
      <c r="W20" s="199"/>
      <c r="X20" s="199"/>
    </row>
    <row r="21" spans="1:24" s="224" customFormat="1" ht="17">
      <c r="A21" s="186"/>
      <c r="B21" s="186"/>
      <c r="C21" s="787">
        <v>2260</v>
      </c>
      <c r="D21" s="654"/>
      <c r="E21" s="655">
        <v>260</v>
      </c>
      <c r="F21" s="656" t="s">
        <v>666</v>
      </c>
      <c r="G21" s="657" t="s">
        <v>409</v>
      </c>
      <c r="H21" s="710"/>
      <c r="I21" s="710"/>
      <c r="J21" s="465">
        <f t="shared" si="0"/>
        <v>0</v>
      </c>
      <c r="K21" s="466">
        <f>SUMIF('1.3-Basis ruimtestaat'!M:M,'1.2-Kengetal'!C21,Meters)</f>
        <v>286.8</v>
      </c>
      <c r="L21" s="466"/>
      <c r="M21" s="466">
        <f>SUMIF('1.3-Basis ruimtestaat'!M:M,'1.2-Kengetal'!C21,'1.3-Basis ruimtestaat'!L:L)</f>
        <v>0</v>
      </c>
      <c r="N21" s="658">
        <f t="shared" si="3"/>
        <v>1.4704881790029161E-2</v>
      </c>
      <c r="O21" s="659"/>
      <c r="P21" s="652" t="s">
        <v>47</v>
      </c>
      <c r="S21" s="199"/>
      <c r="T21" s="199"/>
      <c r="U21" s="199"/>
      <c r="V21" s="199"/>
      <c r="W21" s="199"/>
      <c r="X21" s="199"/>
    </row>
    <row r="22" spans="1:24" s="224" customFormat="1" ht="17">
      <c r="A22" s="186"/>
      <c r="B22" s="199"/>
      <c r="C22" s="653">
        <v>3040</v>
      </c>
      <c r="D22" s="654"/>
      <c r="E22" s="655">
        <v>40</v>
      </c>
      <c r="F22" s="656" t="s">
        <v>410</v>
      </c>
      <c r="G22" s="657" t="s">
        <v>406</v>
      </c>
      <c r="H22" s="710"/>
      <c r="I22" s="710"/>
      <c r="J22" s="465">
        <f t="shared" si="0"/>
        <v>0</v>
      </c>
      <c r="K22" s="466">
        <f>SUMIF('1.3-Basis ruimtestaat'!M:M,'1.2-Kengetal'!C22,Meters)</f>
        <v>0</v>
      </c>
      <c r="L22" s="466"/>
      <c r="M22" s="466">
        <f>SUMIF('1.3-Basis ruimtestaat'!M:M,'1.2-Kengetal'!C22,'1.3-Basis ruimtestaat'!L:L)</f>
        <v>0</v>
      </c>
      <c r="N22" s="658" t="str">
        <f t="shared" si="3"/>
        <v/>
      </c>
      <c r="O22" s="659"/>
      <c r="P22" s="652" t="s">
        <v>47</v>
      </c>
      <c r="S22" s="199"/>
      <c r="T22" s="199"/>
      <c r="U22" s="199"/>
      <c r="V22" s="199"/>
      <c r="W22" s="199"/>
      <c r="X22" s="199"/>
    </row>
    <row r="23" spans="1:24" s="224" customFormat="1" ht="17">
      <c r="A23" s="186"/>
      <c r="B23" s="199"/>
      <c r="C23" s="653">
        <v>3200</v>
      </c>
      <c r="D23" s="654"/>
      <c r="E23" s="655">
        <v>200</v>
      </c>
      <c r="F23" s="656" t="s">
        <v>410</v>
      </c>
      <c r="G23" s="657" t="s">
        <v>408</v>
      </c>
      <c r="H23" s="710"/>
      <c r="I23" s="710"/>
      <c r="J23" s="465">
        <f t="shared" si="0"/>
        <v>0</v>
      </c>
      <c r="K23" s="466">
        <f>SUMIF('1.3-Basis ruimtestaat'!M:M,'1.2-Kengetal'!C23,Meters)</f>
        <v>2601.7410000000009</v>
      </c>
      <c r="L23" s="466"/>
      <c r="M23" s="466">
        <f>SUMIF('1.3-Basis ruimtestaat'!M:M,'1.2-Kengetal'!C23,'1.3-Basis ruimtestaat'!L:L)</f>
        <v>0</v>
      </c>
      <c r="N23" s="658">
        <f t="shared" si="3"/>
        <v>0.13339711943260904</v>
      </c>
      <c r="O23" s="659"/>
      <c r="P23" s="652" t="s">
        <v>47</v>
      </c>
      <c r="S23" s="199"/>
      <c r="T23" s="199"/>
      <c r="U23" s="199"/>
      <c r="V23" s="199"/>
      <c r="W23" s="199"/>
      <c r="X23" s="199"/>
    </row>
    <row r="24" spans="1:24" s="224" customFormat="1" ht="17">
      <c r="A24" s="186"/>
      <c r="B24" s="199"/>
      <c r="C24" s="653">
        <v>3210</v>
      </c>
      <c r="D24" s="654"/>
      <c r="E24" s="655">
        <v>210</v>
      </c>
      <c r="F24" s="656" t="s">
        <v>410</v>
      </c>
      <c r="G24" s="657" t="s">
        <v>936</v>
      </c>
      <c r="H24" s="710"/>
      <c r="I24" s="710"/>
      <c r="J24" s="465">
        <f t="shared" si="0"/>
        <v>0</v>
      </c>
      <c r="K24" s="466">
        <f>SUMIF('1.3-Basis ruimtestaat'!M:M,'1.2-Kengetal'!C24,Meters)</f>
        <v>224.03000000000003</v>
      </c>
      <c r="L24" s="466"/>
      <c r="M24" s="466">
        <f>SUMIF('1.3-Basis ruimtestaat'!M:M,'1.2-Kengetal'!C24,'1.3-Basis ruimtestaat'!L:L)</f>
        <v>0</v>
      </c>
      <c r="N24" s="658">
        <f t="shared" si="3"/>
        <v>1.1486522550279753E-2</v>
      </c>
      <c r="O24" s="659" t="s">
        <v>935</v>
      </c>
      <c r="P24" s="652" t="s">
        <v>47</v>
      </c>
      <c r="S24" s="199"/>
      <c r="T24" s="199"/>
      <c r="U24" s="199"/>
      <c r="V24" s="199"/>
      <c r="W24" s="199"/>
      <c r="X24" s="199"/>
    </row>
    <row r="25" spans="1:24" s="224" customFormat="1" ht="17">
      <c r="A25" s="186"/>
      <c r="B25" s="199"/>
      <c r="C25" s="787">
        <v>3260</v>
      </c>
      <c r="D25" s="654"/>
      <c r="E25" s="655">
        <v>260</v>
      </c>
      <c r="F25" s="656" t="s">
        <v>410</v>
      </c>
      <c r="G25" s="657" t="s">
        <v>409</v>
      </c>
      <c r="H25" s="710"/>
      <c r="I25" s="710"/>
      <c r="J25" s="465">
        <f t="shared" si="0"/>
        <v>0</v>
      </c>
      <c r="K25" s="466">
        <f>SUMIF('1.3-Basis ruimtestaat'!M:M,'1.2-Kengetal'!C25,Meters)</f>
        <v>580.89</v>
      </c>
      <c r="L25" s="466"/>
      <c r="M25" s="466">
        <f>SUMIF('1.3-Basis ruimtestaat'!M:M,'1.2-Kengetal'!C25,'1.3-Basis ruimtestaat'!L:L)</f>
        <v>0</v>
      </c>
      <c r="N25" s="658">
        <f t="shared" si="3"/>
        <v>2.9783538295014081E-2</v>
      </c>
      <c r="O25" s="659"/>
      <c r="P25" s="652" t="s">
        <v>47</v>
      </c>
      <c r="S25" s="199"/>
      <c r="T25" s="199"/>
      <c r="U25" s="199"/>
      <c r="V25" s="199"/>
      <c r="W25" s="199"/>
      <c r="X25" s="199"/>
    </row>
    <row r="26" spans="1:24" s="224" customFormat="1" ht="17">
      <c r="A26" s="186"/>
      <c r="B26" s="199"/>
      <c r="C26" s="653">
        <v>4080</v>
      </c>
      <c r="D26" s="654"/>
      <c r="E26" s="655">
        <v>80</v>
      </c>
      <c r="F26" s="656" t="s">
        <v>290</v>
      </c>
      <c r="G26" s="657" t="s">
        <v>407</v>
      </c>
      <c r="H26" s="710"/>
      <c r="I26" s="710"/>
      <c r="J26" s="465">
        <f t="shared" si="0"/>
        <v>0</v>
      </c>
      <c r="K26" s="466">
        <f>SUMIF('1.3-Basis ruimtestaat'!M:M,'1.2-Kengetal'!C26,Meters)</f>
        <v>8</v>
      </c>
      <c r="L26" s="466"/>
      <c r="M26" s="466">
        <f>SUMIF('1.3-Basis ruimtestaat'!M:M,'1.2-Kengetal'!C26,'1.3-Basis ruimtestaat'!L:L)</f>
        <v>0</v>
      </c>
      <c r="N26" s="658">
        <f t="shared" si="3"/>
        <v>4.1017801366887476E-4</v>
      </c>
      <c r="O26" s="659"/>
      <c r="P26" s="652" t="s">
        <v>379</v>
      </c>
      <c r="S26" s="199"/>
      <c r="T26" s="199"/>
      <c r="U26" s="199"/>
      <c r="V26" s="199"/>
      <c r="W26" s="199"/>
      <c r="X26" s="199"/>
    </row>
    <row r="27" spans="1:24" s="224" customFormat="1" ht="17">
      <c r="A27" s="186"/>
      <c r="B27" s="199"/>
      <c r="C27" s="653">
        <v>4200</v>
      </c>
      <c r="D27" s="654"/>
      <c r="E27" s="655">
        <v>200</v>
      </c>
      <c r="F27" s="656" t="s">
        <v>290</v>
      </c>
      <c r="G27" s="657" t="s">
        <v>408</v>
      </c>
      <c r="H27" s="710"/>
      <c r="I27" s="710"/>
      <c r="J27" s="465">
        <f t="shared" si="0"/>
        <v>0</v>
      </c>
      <c r="K27" s="466">
        <f>SUMIF('1.3-Basis ruimtestaat'!M:M,'1.2-Kengetal'!C27,Meters)</f>
        <v>566.08999999999958</v>
      </c>
      <c r="L27" s="466"/>
      <c r="M27" s="466">
        <f>SUMIF('1.3-Basis ruimtestaat'!M:M,'1.2-Kengetal'!C27,'1.3-Basis ruimtestaat'!L:L)</f>
        <v>0</v>
      </c>
      <c r="N27" s="658">
        <f t="shared" si="3"/>
        <v>2.9024708969726642E-2</v>
      </c>
      <c r="O27" s="659"/>
      <c r="P27" s="652" t="s">
        <v>379</v>
      </c>
      <c r="S27" s="199"/>
      <c r="T27" s="199"/>
      <c r="U27" s="199"/>
      <c r="V27" s="199"/>
      <c r="W27" s="199"/>
      <c r="X27" s="199"/>
    </row>
    <row r="28" spans="1:24" s="224" customFormat="1" ht="17">
      <c r="A28" s="186"/>
      <c r="B28" s="199"/>
      <c r="C28" s="653">
        <v>4208</v>
      </c>
      <c r="D28" s="654"/>
      <c r="E28" s="655">
        <v>208</v>
      </c>
      <c r="F28" s="656" t="s">
        <v>290</v>
      </c>
      <c r="G28" s="657" t="s">
        <v>691</v>
      </c>
      <c r="H28" s="710"/>
      <c r="I28" s="710"/>
      <c r="J28" s="465">
        <f t="shared" si="0"/>
        <v>0</v>
      </c>
      <c r="K28" s="466">
        <f>SUMIF('1.3-Basis ruimtestaat'!M:M,'1.2-Kengetal'!C28,Meters)</f>
        <v>0</v>
      </c>
      <c r="L28" s="466"/>
      <c r="M28" s="466">
        <f>SUMIF('1.3-Basis ruimtestaat'!M:M,'1.2-Kengetal'!C28,'1.3-Basis ruimtestaat'!L:L)</f>
        <v>0</v>
      </c>
      <c r="N28" s="658" t="str">
        <f t="shared" si="3"/>
        <v/>
      </c>
      <c r="O28" s="659"/>
      <c r="P28" s="652" t="s">
        <v>379</v>
      </c>
      <c r="S28" s="199"/>
      <c r="T28" s="199"/>
      <c r="U28" s="199"/>
      <c r="V28" s="199"/>
      <c r="W28" s="199"/>
      <c r="X28" s="199"/>
    </row>
    <row r="29" spans="1:24" s="224" customFormat="1" ht="17">
      <c r="A29" s="186"/>
      <c r="B29" s="199"/>
      <c r="C29" s="653">
        <v>4210</v>
      </c>
      <c r="D29" s="654"/>
      <c r="E29" s="655">
        <v>210</v>
      </c>
      <c r="F29" s="656" t="s">
        <v>290</v>
      </c>
      <c r="G29" s="657" t="s">
        <v>936</v>
      </c>
      <c r="H29" s="710"/>
      <c r="I29" s="710"/>
      <c r="J29" s="465">
        <f t="shared" si="0"/>
        <v>0</v>
      </c>
      <c r="K29" s="466">
        <f>SUMIF('1.3-Basis ruimtestaat'!M:M,'1.2-Kengetal'!C29,Meters)</f>
        <v>49.980000000000004</v>
      </c>
      <c r="L29" s="466"/>
      <c r="M29" s="466">
        <f>SUMIF('1.3-Basis ruimtestaat'!M:M,'1.2-Kengetal'!C29,'1.3-Basis ruimtestaat'!L:L)</f>
        <v>0</v>
      </c>
      <c r="N29" s="658">
        <f t="shared" si="3"/>
        <v>2.5625871403962951E-3</v>
      </c>
      <c r="O29" s="659" t="s">
        <v>935</v>
      </c>
      <c r="P29" s="652" t="s">
        <v>379</v>
      </c>
      <c r="S29" s="199"/>
      <c r="T29" s="199"/>
      <c r="U29" s="199"/>
      <c r="V29" s="199"/>
      <c r="W29" s="199"/>
      <c r="X29" s="199"/>
    </row>
    <row r="30" spans="1:24" s="224" customFormat="1" ht="17">
      <c r="A30" s="186"/>
      <c r="B30" s="199"/>
      <c r="C30" s="787">
        <v>4260</v>
      </c>
      <c r="D30" s="654"/>
      <c r="E30" s="655">
        <v>260</v>
      </c>
      <c r="F30" s="656" t="s">
        <v>290</v>
      </c>
      <c r="G30" s="657" t="s">
        <v>409</v>
      </c>
      <c r="H30" s="710"/>
      <c r="I30" s="710"/>
      <c r="J30" s="465">
        <f t="shared" si="0"/>
        <v>0</v>
      </c>
      <c r="K30" s="466">
        <f>SUMIF('1.3-Basis ruimtestaat'!M:M,'1.2-Kengetal'!C30,Meters)</f>
        <v>117.31</v>
      </c>
      <c r="L30" s="466"/>
      <c r="M30" s="466">
        <f>SUMIF('1.3-Basis ruimtestaat'!M:M,'1.2-Kengetal'!C30,'1.3-Basis ruimtestaat'!L:L)</f>
        <v>0</v>
      </c>
      <c r="N30" s="658">
        <f t="shared" si="3"/>
        <v>6.0147478479369628E-3</v>
      </c>
      <c r="O30" s="659"/>
      <c r="P30" s="652" t="s">
        <v>379</v>
      </c>
      <c r="S30" s="199"/>
      <c r="T30" s="199"/>
      <c r="U30" s="199"/>
      <c r="V30" s="199"/>
      <c r="W30" s="199"/>
      <c r="X30" s="199"/>
    </row>
    <row r="31" spans="1:24" s="224" customFormat="1" ht="17">
      <c r="B31" s="199"/>
      <c r="C31" s="653">
        <v>5040</v>
      </c>
      <c r="D31" s="654"/>
      <c r="E31" s="655">
        <v>40</v>
      </c>
      <c r="F31" s="656" t="s">
        <v>411</v>
      </c>
      <c r="G31" s="657" t="s">
        <v>406</v>
      </c>
      <c r="H31" s="710"/>
      <c r="I31" s="710"/>
      <c r="J31" s="465">
        <f t="shared" si="0"/>
        <v>0</v>
      </c>
      <c r="K31" s="466">
        <f>SUMIF('1.3-Basis ruimtestaat'!M:M,'1.2-Kengetal'!C31,Meters)</f>
        <v>3.34</v>
      </c>
      <c r="L31" s="466"/>
      <c r="M31" s="466">
        <f>SUMIF('1.3-Basis ruimtestaat'!M:M,'1.2-Kengetal'!C31,'1.3-Basis ruimtestaat'!L:L)</f>
        <v>0</v>
      </c>
      <c r="N31" s="658">
        <f t="shared" si="3"/>
        <v>1.7124932070675521E-4</v>
      </c>
      <c r="O31" s="659"/>
      <c r="P31" s="652" t="s">
        <v>47</v>
      </c>
      <c r="S31" s="199"/>
      <c r="T31" s="199"/>
      <c r="U31" s="199"/>
      <c r="V31" s="199"/>
      <c r="W31" s="199"/>
      <c r="X31" s="199"/>
    </row>
    <row r="32" spans="1:24" s="224" customFormat="1" ht="17">
      <c r="A32" s="186"/>
      <c r="C32" s="653">
        <v>5200</v>
      </c>
      <c r="D32" s="654"/>
      <c r="E32" s="655">
        <v>200</v>
      </c>
      <c r="F32" s="656" t="s">
        <v>411</v>
      </c>
      <c r="G32" s="657" t="s">
        <v>408</v>
      </c>
      <c r="H32" s="710"/>
      <c r="I32" s="710"/>
      <c r="J32" s="465">
        <f t="shared" si="0"/>
        <v>0</v>
      </c>
      <c r="K32" s="466">
        <f>SUMIF('1.3-Basis ruimtestaat'!M:M,'1.2-Kengetal'!C32,Meters)</f>
        <v>50.612000000000009</v>
      </c>
      <c r="L32" s="466"/>
      <c r="M32" s="466">
        <f>SUMIF('1.3-Basis ruimtestaat'!M:M,'1.2-Kengetal'!C32,'1.3-Basis ruimtestaat'!L:L)</f>
        <v>0</v>
      </c>
      <c r="N32" s="658">
        <f t="shared" si="3"/>
        <v>2.5949912034761366E-3</v>
      </c>
      <c r="O32" s="659"/>
      <c r="P32" s="652" t="s">
        <v>47</v>
      </c>
      <c r="S32" s="199"/>
      <c r="T32" s="199"/>
      <c r="U32" s="199"/>
      <c r="V32" s="199"/>
      <c r="W32" s="199"/>
      <c r="X32" s="199"/>
    </row>
    <row r="33" spans="1:24" s="224" customFormat="1" ht="17">
      <c r="A33" s="186"/>
      <c r="C33" s="653">
        <v>5208</v>
      </c>
      <c r="D33" s="654"/>
      <c r="E33" s="655">
        <v>208</v>
      </c>
      <c r="F33" s="656" t="s">
        <v>411</v>
      </c>
      <c r="G33" s="657" t="s">
        <v>691</v>
      </c>
      <c r="H33" s="710"/>
      <c r="I33" s="710"/>
      <c r="J33" s="465">
        <f t="shared" si="0"/>
        <v>0</v>
      </c>
      <c r="K33" s="466">
        <f>SUMIF('1.3-Basis ruimtestaat'!M:M,'1.2-Kengetal'!C33,Meters)</f>
        <v>0</v>
      </c>
      <c r="L33" s="466"/>
      <c r="M33" s="466">
        <f>SUMIF('1.3-Basis ruimtestaat'!M:M,'1.2-Kengetal'!C33,'1.3-Basis ruimtestaat'!L:L)</f>
        <v>0</v>
      </c>
      <c r="N33" s="658" t="str">
        <f t="shared" si="3"/>
        <v/>
      </c>
      <c r="O33" s="659"/>
      <c r="P33" s="652" t="s">
        <v>47</v>
      </c>
      <c r="S33" s="199"/>
      <c r="T33" s="199"/>
      <c r="U33" s="199"/>
      <c r="V33" s="199"/>
      <c r="W33" s="199"/>
      <c r="X33" s="199"/>
    </row>
    <row r="34" spans="1:24" s="224" customFormat="1" ht="17">
      <c r="A34" s="186"/>
      <c r="B34" s="199"/>
      <c r="C34" s="787">
        <v>5260</v>
      </c>
      <c r="D34" s="654"/>
      <c r="E34" s="655">
        <v>260</v>
      </c>
      <c r="F34" s="656" t="s">
        <v>411</v>
      </c>
      <c r="G34" s="657" t="s">
        <v>409</v>
      </c>
      <c r="H34" s="710"/>
      <c r="I34" s="710"/>
      <c r="J34" s="465">
        <f t="shared" si="0"/>
        <v>0</v>
      </c>
      <c r="K34" s="466">
        <f>SUMIF('1.3-Basis ruimtestaat'!M:M,'1.2-Kengetal'!C34,Meters)</f>
        <v>35.14</v>
      </c>
      <c r="L34" s="466"/>
      <c r="M34" s="466">
        <f>SUMIF('1.3-Basis ruimtestaat'!M:M,'1.2-Kengetal'!C34,'1.3-Basis ruimtestaat'!L:L)</f>
        <v>0</v>
      </c>
      <c r="N34" s="658">
        <f t="shared" si="3"/>
        <v>1.8017069250405324E-3</v>
      </c>
      <c r="O34" s="659"/>
      <c r="P34" s="652" t="s">
        <v>47</v>
      </c>
      <c r="S34" s="199"/>
      <c r="T34" s="199"/>
      <c r="U34" s="199"/>
      <c r="V34" s="199"/>
      <c r="W34" s="199"/>
      <c r="X34" s="199"/>
    </row>
    <row r="35" spans="1:24" s="224" customFormat="1" ht="17">
      <c r="A35" s="186"/>
      <c r="B35" s="199"/>
      <c r="C35" s="653">
        <v>6200</v>
      </c>
      <c r="D35" s="654"/>
      <c r="E35" s="655">
        <v>200</v>
      </c>
      <c r="F35" s="656" t="s">
        <v>412</v>
      </c>
      <c r="G35" s="657" t="s">
        <v>408</v>
      </c>
      <c r="H35" s="710"/>
      <c r="I35" s="710"/>
      <c r="J35" s="465">
        <f t="shared" si="0"/>
        <v>0</v>
      </c>
      <c r="K35" s="466">
        <f>SUMIF('1.3-Basis ruimtestaat'!M:M,'1.2-Kengetal'!C35,Meters)</f>
        <v>0</v>
      </c>
      <c r="L35" s="466"/>
      <c r="M35" s="466">
        <f>SUMIF('1.3-Basis ruimtestaat'!M:M,'1.2-Kengetal'!C35,'1.3-Basis ruimtestaat'!L:L)</f>
        <v>0</v>
      </c>
      <c r="N35" s="658" t="str">
        <f t="shared" si="3"/>
        <v/>
      </c>
      <c r="O35" s="659"/>
      <c r="P35" s="652" t="s">
        <v>413</v>
      </c>
      <c r="S35" s="199"/>
      <c r="T35" s="199"/>
      <c r="U35" s="199"/>
      <c r="V35" s="199"/>
      <c r="W35" s="199"/>
      <c r="X35" s="199"/>
    </row>
    <row r="36" spans="1:24" s="224" customFormat="1" ht="17">
      <c r="A36" s="186"/>
      <c r="B36" s="199"/>
      <c r="C36" s="653">
        <v>7040</v>
      </c>
      <c r="D36" s="654"/>
      <c r="E36" s="655">
        <v>40</v>
      </c>
      <c r="F36" s="656" t="s">
        <v>414</v>
      </c>
      <c r="G36" s="657" t="s">
        <v>406</v>
      </c>
      <c r="H36" s="710"/>
      <c r="I36" s="710"/>
      <c r="J36" s="465">
        <f t="shared" si="0"/>
        <v>0</v>
      </c>
      <c r="K36" s="466">
        <f>SUMIF('1.3-Basis ruimtestaat'!M:M,'1.2-Kengetal'!C36,Meters)</f>
        <v>215.3</v>
      </c>
      <c r="L36" s="466"/>
      <c r="M36" s="466">
        <f>SUMIF('1.3-Basis ruimtestaat'!M:M,'1.2-Kengetal'!C36,'1.3-Basis ruimtestaat'!L:L)</f>
        <v>0</v>
      </c>
      <c r="N36" s="658">
        <f t="shared" si="3"/>
        <v>1.1038915792863592E-2</v>
      </c>
      <c r="O36" s="659"/>
      <c r="P36" s="652" t="s">
        <v>413</v>
      </c>
      <c r="S36" s="199"/>
      <c r="T36" s="199"/>
      <c r="U36" s="199"/>
      <c r="V36" s="199"/>
      <c r="W36" s="199"/>
      <c r="X36" s="199"/>
    </row>
    <row r="37" spans="1:24" s="224" customFormat="1" ht="17">
      <c r="A37" s="186"/>
      <c r="B37" s="199"/>
      <c r="C37" s="653">
        <v>7052</v>
      </c>
      <c r="D37" s="671"/>
      <c r="E37" s="672">
        <v>52</v>
      </c>
      <c r="F37" s="656" t="s">
        <v>416</v>
      </c>
      <c r="G37" s="657" t="s">
        <v>692</v>
      </c>
      <c r="H37" s="710"/>
      <c r="I37" s="710"/>
      <c r="J37" s="465">
        <f t="shared" si="0"/>
        <v>0</v>
      </c>
      <c r="K37" s="466">
        <f>SUMIF('1.3-Basis ruimtestaat'!M:M,'1.2-Kengetal'!C37,Meters)</f>
        <v>0</v>
      </c>
      <c r="L37" s="466"/>
      <c r="M37" s="466">
        <f>SUMIF('1.3-Basis ruimtestaat'!M:M,'1.2-Kengetal'!C37,'1.3-Basis ruimtestaat'!L:L)</f>
        <v>0</v>
      </c>
      <c r="N37" s="658" t="str">
        <f t="shared" si="3"/>
        <v/>
      </c>
      <c r="O37" s="659"/>
      <c r="P37" s="652" t="s">
        <v>413</v>
      </c>
      <c r="S37" s="199"/>
      <c r="T37" s="199"/>
      <c r="U37" s="199"/>
      <c r="V37" s="199"/>
      <c r="W37" s="199"/>
      <c r="X37" s="199"/>
    </row>
    <row r="38" spans="1:24" s="224" customFormat="1" ht="17">
      <c r="A38" s="186"/>
      <c r="B38" s="199"/>
      <c r="C38" s="653">
        <v>7120</v>
      </c>
      <c r="D38" s="654"/>
      <c r="E38" s="655">
        <v>120</v>
      </c>
      <c r="F38" s="656" t="s">
        <v>414</v>
      </c>
      <c r="G38" s="657" t="s">
        <v>481</v>
      </c>
      <c r="H38" s="710"/>
      <c r="I38" s="710"/>
      <c r="J38" s="465">
        <f t="shared" si="0"/>
        <v>0</v>
      </c>
      <c r="K38" s="466">
        <f>SUMIF('1.3-Basis ruimtestaat'!M:M,'1.2-Kengetal'!C38,Meters)</f>
        <v>54</v>
      </c>
      <c r="L38" s="466"/>
      <c r="M38" s="466">
        <f>SUMIF('1.3-Basis ruimtestaat'!M:M,'1.2-Kengetal'!C38,'1.3-Basis ruimtestaat'!L:L)</f>
        <v>0</v>
      </c>
      <c r="N38" s="658">
        <f t="shared" si="3"/>
        <v>2.7687015922649048E-3</v>
      </c>
      <c r="O38" s="659"/>
      <c r="P38" s="652" t="s">
        <v>413</v>
      </c>
      <c r="S38" s="199"/>
      <c r="T38" s="199"/>
      <c r="U38" s="199"/>
      <c r="V38" s="199"/>
      <c r="W38" s="199"/>
      <c r="X38" s="199"/>
    </row>
    <row r="39" spans="1:24" s="224" customFormat="1" ht="17">
      <c r="A39" s="186"/>
      <c r="B39" s="199"/>
      <c r="C39" s="653">
        <v>7200</v>
      </c>
      <c r="D39" s="671"/>
      <c r="E39" s="672">
        <v>200</v>
      </c>
      <c r="F39" s="656" t="s">
        <v>415</v>
      </c>
      <c r="G39" s="657" t="s">
        <v>408</v>
      </c>
      <c r="H39" s="710"/>
      <c r="I39" s="710"/>
      <c r="J39" s="465">
        <f t="shared" si="0"/>
        <v>0</v>
      </c>
      <c r="K39" s="466">
        <f>SUMIF('1.3-Basis ruimtestaat'!M:M,'1.2-Kengetal'!C39,Meters)</f>
        <v>2163.4580000000005</v>
      </c>
      <c r="L39" s="466"/>
      <c r="M39" s="466">
        <f>SUMIF('1.3-Basis ruimtestaat'!M:M,'1.2-Kengetal'!C39,'1.3-Basis ruimtestaat'!L:L)</f>
        <v>0</v>
      </c>
      <c r="N39" s="658">
        <f t="shared" si="3"/>
        <v>0.11092536313700459</v>
      </c>
      <c r="O39" s="659"/>
      <c r="P39" s="652" t="s">
        <v>413</v>
      </c>
      <c r="S39" s="199"/>
      <c r="T39" s="199"/>
      <c r="U39" s="199"/>
      <c r="V39" s="199"/>
      <c r="W39" s="199"/>
      <c r="X39" s="199"/>
    </row>
    <row r="40" spans="1:24" s="224" customFormat="1" ht="17">
      <c r="A40" s="186"/>
      <c r="B40" s="199"/>
      <c r="C40" s="653">
        <v>7210</v>
      </c>
      <c r="D40" s="671"/>
      <c r="E40" s="672">
        <v>210</v>
      </c>
      <c r="F40" s="656" t="s">
        <v>415</v>
      </c>
      <c r="G40" s="657" t="s">
        <v>936</v>
      </c>
      <c r="H40" s="710"/>
      <c r="I40" s="710"/>
      <c r="J40" s="465">
        <f t="shared" si="0"/>
        <v>0</v>
      </c>
      <c r="K40" s="466">
        <f>SUMIF('1.3-Basis ruimtestaat'!M:M,'1.2-Kengetal'!C40,Meters)</f>
        <v>174.9</v>
      </c>
      <c r="L40" s="466"/>
      <c r="M40" s="466">
        <f>SUMIF('1.3-Basis ruimtestaat'!M:M,'1.2-Kengetal'!C40,'1.3-Basis ruimtestaat'!L:L)</f>
        <v>0</v>
      </c>
      <c r="N40" s="658">
        <f t="shared" si="3"/>
        <v>8.9675168238357757E-3</v>
      </c>
      <c r="O40" s="659" t="s">
        <v>935</v>
      </c>
      <c r="P40" s="652" t="s">
        <v>413</v>
      </c>
      <c r="S40" s="199"/>
      <c r="T40" s="199"/>
      <c r="U40" s="199"/>
      <c r="V40" s="199"/>
      <c r="W40" s="199"/>
      <c r="X40" s="199"/>
    </row>
    <row r="41" spans="1:24" s="224" customFormat="1" ht="17">
      <c r="A41" s="186"/>
      <c r="B41" s="199"/>
      <c r="C41" s="653">
        <v>8040</v>
      </c>
      <c r="D41" s="654"/>
      <c r="E41" s="655">
        <v>40</v>
      </c>
      <c r="F41" s="656" t="s">
        <v>693</v>
      </c>
      <c r="G41" s="657" t="s">
        <v>406</v>
      </c>
      <c r="H41" s="710"/>
      <c r="I41" s="710"/>
      <c r="J41" s="465">
        <f t="shared" si="0"/>
        <v>0</v>
      </c>
      <c r="K41" s="466">
        <f>SUMIF('1.3-Basis ruimtestaat'!M:M,'1.2-Kengetal'!C41,Meters)</f>
        <v>180.05</v>
      </c>
      <c r="L41" s="466"/>
      <c r="M41" s="466">
        <f>SUMIF('1.3-Basis ruimtestaat'!M:M,'1.2-Kengetal'!C41,'1.3-Basis ruimtestaat'!L:L)</f>
        <v>0</v>
      </c>
      <c r="N41" s="658">
        <f t="shared" si="3"/>
        <v>9.231568920135113E-3</v>
      </c>
      <c r="O41" s="659"/>
      <c r="P41" s="652" t="s">
        <v>413</v>
      </c>
      <c r="S41" s="199"/>
      <c r="T41" s="199"/>
      <c r="U41" s="199"/>
      <c r="V41" s="199"/>
      <c r="W41" s="199"/>
      <c r="X41" s="199"/>
    </row>
    <row r="42" spans="1:24" s="224" customFormat="1" ht="17">
      <c r="A42" s="186"/>
      <c r="B42" s="199"/>
      <c r="C42" s="653">
        <v>8200</v>
      </c>
      <c r="D42" s="654"/>
      <c r="E42" s="655">
        <v>200</v>
      </c>
      <c r="F42" s="656" t="s">
        <v>391</v>
      </c>
      <c r="G42" s="657" t="s">
        <v>408</v>
      </c>
      <c r="H42" s="710"/>
      <c r="I42" s="710"/>
      <c r="J42" s="465">
        <f t="shared" si="0"/>
        <v>0</v>
      </c>
      <c r="K42" s="466">
        <f>SUMIF('1.3-Basis ruimtestaat'!M:M,'1.2-Kengetal'!C42,Meters)</f>
        <v>666.69</v>
      </c>
      <c r="L42" s="466"/>
      <c r="M42" s="466">
        <f>SUMIF('1.3-Basis ruimtestaat'!M:M,'1.2-Kengetal'!C42,'1.3-Basis ruimtestaat'!L:L)</f>
        <v>0</v>
      </c>
      <c r="N42" s="658">
        <f t="shared" si="3"/>
        <v>3.4182697491612769E-2</v>
      </c>
      <c r="O42" s="659"/>
      <c r="P42" s="652" t="s">
        <v>413</v>
      </c>
      <c r="S42" s="199"/>
      <c r="T42" s="199"/>
      <c r="U42" s="199"/>
      <c r="V42" s="199"/>
      <c r="W42" s="199"/>
      <c r="X42" s="199"/>
    </row>
    <row r="43" spans="1:24" s="224" customFormat="1" ht="17">
      <c r="A43" s="186"/>
      <c r="B43" s="199"/>
      <c r="C43" s="653">
        <v>8210</v>
      </c>
      <c r="D43" s="654"/>
      <c r="E43" s="655">
        <v>210</v>
      </c>
      <c r="F43" s="656" t="s">
        <v>391</v>
      </c>
      <c r="G43" s="657" t="s">
        <v>936</v>
      </c>
      <c r="H43" s="710"/>
      <c r="I43" s="710"/>
      <c r="J43" s="465">
        <f t="shared" ref="J43" si="4">IF(H43=0,0,E43/SUM(H43+I43))</f>
        <v>0</v>
      </c>
      <c r="K43" s="466">
        <f>SUMIF('1.3-Basis ruimtestaat'!M:M,'1.2-Kengetal'!C43,Meters)</f>
        <v>84.5</v>
      </c>
      <c r="L43" s="466"/>
      <c r="M43" s="466">
        <f>SUMIF('1.3-Basis ruimtestaat'!M:M,'1.2-Kengetal'!C43,'1.3-Basis ruimtestaat'!L:L)</f>
        <v>0</v>
      </c>
      <c r="N43" s="658">
        <f t="shared" si="3"/>
        <v>4.3325052693774894E-3</v>
      </c>
      <c r="O43" s="659" t="s">
        <v>935</v>
      </c>
      <c r="P43" s="652" t="s">
        <v>413</v>
      </c>
      <c r="S43" s="199"/>
      <c r="T43" s="199"/>
      <c r="U43" s="199"/>
      <c r="V43" s="199"/>
      <c r="W43" s="199"/>
      <c r="X43" s="199"/>
    </row>
    <row r="44" spans="1:24" s="224" customFormat="1" ht="17">
      <c r="A44" s="186"/>
      <c r="B44" s="199"/>
      <c r="C44" s="787">
        <v>8260</v>
      </c>
      <c r="D44" s="654"/>
      <c r="E44" s="655">
        <v>260</v>
      </c>
      <c r="F44" s="656" t="s">
        <v>391</v>
      </c>
      <c r="G44" s="657" t="s">
        <v>409</v>
      </c>
      <c r="H44" s="710"/>
      <c r="I44" s="710"/>
      <c r="J44" s="465">
        <f t="shared" si="0"/>
        <v>0</v>
      </c>
      <c r="K44" s="466">
        <f>SUMIF('1.3-Basis ruimtestaat'!M:M,'1.2-Kengetal'!C44,Meters)</f>
        <v>470.5</v>
      </c>
      <c r="L44" s="466"/>
      <c r="M44" s="466">
        <f>SUMIF('1.3-Basis ruimtestaat'!M:M,'1.2-Kengetal'!C44,'1.3-Basis ruimtestaat'!L:L)</f>
        <v>0</v>
      </c>
      <c r="N44" s="658">
        <f t="shared" si="3"/>
        <v>2.4123594428900698E-2</v>
      </c>
      <c r="O44" s="659"/>
      <c r="P44" s="652" t="s">
        <v>413</v>
      </c>
      <c r="S44" s="199"/>
      <c r="T44" s="199"/>
      <c r="U44" s="199"/>
      <c r="V44" s="199"/>
      <c r="W44" s="199"/>
      <c r="X44" s="199"/>
    </row>
    <row r="45" spans="1:24" s="224" customFormat="1" ht="17">
      <c r="A45" s="186"/>
      <c r="B45" s="199"/>
      <c r="C45" s="653">
        <v>9012</v>
      </c>
      <c r="D45" s="654"/>
      <c r="E45" s="655">
        <v>12</v>
      </c>
      <c r="F45" s="656" t="s">
        <v>417</v>
      </c>
      <c r="G45" s="657" t="s">
        <v>378</v>
      </c>
      <c r="H45" s="710"/>
      <c r="I45" s="710"/>
      <c r="J45" s="465">
        <f t="shared" ref="J45:J62" si="5">IF(H45=0,0,E45/SUM(H45+I45))</f>
        <v>0</v>
      </c>
      <c r="K45" s="466">
        <f>SUMIF('1.3-Basis ruimtestaat'!M:M,'1.2-Kengetal'!C45,Meters)</f>
        <v>0</v>
      </c>
      <c r="L45" s="466"/>
      <c r="M45" s="466">
        <f>SUMIF('1.3-Basis ruimtestaat'!M:M,'1.2-Kengetal'!C45,'1.3-Basis ruimtestaat'!L:L)</f>
        <v>0</v>
      </c>
      <c r="N45" s="658" t="str">
        <f t="shared" si="3"/>
        <v/>
      </c>
      <c r="O45" s="659"/>
      <c r="P45" s="652" t="s">
        <v>47</v>
      </c>
      <c r="S45" s="199"/>
      <c r="T45" s="199"/>
      <c r="U45" s="199"/>
      <c r="V45" s="199"/>
      <c r="W45" s="199"/>
      <c r="X45" s="199"/>
    </row>
    <row r="46" spans="1:24" s="224" customFormat="1" ht="17">
      <c r="A46" s="186"/>
      <c r="B46" s="199"/>
      <c r="C46" s="653">
        <v>9040</v>
      </c>
      <c r="D46" s="654"/>
      <c r="E46" s="655">
        <v>40</v>
      </c>
      <c r="F46" s="656" t="s">
        <v>291</v>
      </c>
      <c r="G46" s="657" t="s">
        <v>406</v>
      </c>
      <c r="H46" s="710"/>
      <c r="I46" s="710"/>
      <c r="J46" s="465">
        <f t="shared" si="5"/>
        <v>0</v>
      </c>
      <c r="K46" s="466">
        <f>SUMIF('1.3-Basis ruimtestaat'!M:M,'1.2-Kengetal'!C46,Meters)</f>
        <v>0</v>
      </c>
      <c r="L46" s="466"/>
      <c r="M46" s="466">
        <f>SUMIF('1.3-Basis ruimtestaat'!M:M,'1.2-Kengetal'!C46,'1.3-Basis ruimtestaat'!L:L)</f>
        <v>0</v>
      </c>
      <c r="N46" s="658" t="str">
        <f t="shared" si="3"/>
        <v/>
      </c>
      <c r="O46" s="659"/>
      <c r="P46" s="652" t="s">
        <v>47</v>
      </c>
      <c r="S46" s="199"/>
      <c r="T46" s="199"/>
      <c r="U46" s="199"/>
      <c r="V46" s="199"/>
      <c r="W46" s="199"/>
      <c r="X46" s="199"/>
    </row>
    <row r="47" spans="1:24" s="224" customFormat="1" ht="17">
      <c r="A47" s="186"/>
      <c r="B47" s="199"/>
      <c r="C47" s="653">
        <v>9200</v>
      </c>
      <c r="D47" s="654"/>
      <c r="E47" s="655">
        <v>200</v>
      </c>
      <c r="F47" s="656" t="s">
        <v>291</v>
      </c>
      <c r="G47" s="657" t="s">
        <v>408</v>
      </c>
      <c r="H47" s="710"/>
      <c r="I47" s="710"/>
      <c r="J47" s="465">
        <f t="shared" si="5"/>
        <v>0</v>
      </c>
      <c r="K47" s="466">
        <f>SUMIF('1.3-Basis ruimtestaat'!M:M,'1.2-Kengetal'!C47,Meters)</f>
        <v>108.29100000000001</v>
      </c>
      <c r="L47" s="466"/>
      <c r="M47" s="466">
        <f>SUMIF('1.3-Basis ruimtestaat'!M:M,'1.2-Kengetal'!C47,'1.3-Basis ruimtestaat'!L:L)</f>
        <v>0</v>
      </c>
      <c r="N47" s="658">
        <f t="shared" si="3"/>
        <v>5.5523234097770149E-3</v>
      </c>
      <c r="O47" s="659"/>
      <c r="P47" s="652" t="s">
        <v>47</v>
      </c>
      <c r="S47" s="199"/>
      <c r="T47" s="199"/>
      <c r="U47" s="199"/>
      <c r="V47" s="199"/>
      <c r="W47" s="199"/>
      <c r="X47" s="199"/>
    </row>
    <row r="48" spans="1:24" s="224" customFormat="1" ht="17">
      <c r="A48" s="186"/>
      <c r="B48" s="199"/>
      <c r="C48" s="787">
        <v>9260</v>
      </c>
      <c r="D48" s="654"/>
      <c r="E48" s="655">
        <v>260</v>
      </c>
      <c r="F48" s="656" t="s">
        <v>291</v>
      </c>
      <c r="G48" s="657" t="s">
        <v>409</v>
      </c>
      <c r="H48" s="710"/>
      <c r="I48" s="710"/>
      <c r="J48" s="465">
        <f t="shared" si="5"/>
        <v>0</v>
      </c>
      <c r="K48" s="466">
        <f>SUMIF('1.3-Basis ruimtestaat'!M:M,'1.2-Kengetal'!C48,Meters)</f>
        <v>25.56</v>
      </c>
      <c r="L48" s="466"/>
      <c r="M48" s="466">
        <f>SUMIF('1.3-Basis ruimtestaat'!M:M,'1.2-Kengetal'!C48,'1.3-Basis ruimtestaat'!L:L)</f>
        <v>0</v>
      </c>
      <c r="N48" s="658">
        <f t="shared" si="3"/>
        <v>1.3105187536720548E-3</v>
      </c>
      <c r="O48" s="659"/>
      <c r="P48" s="652" t="s">
        <v>47</v>
      </c>
      <c r="S48" s="199"/>
      <c r="T48" s="199"/>
      <c r="U48" s="199"/>
      <c r="V48" s="199"/>
      <c r="W48" s="199"/>
      <c r="X48" s="199"/>
    </row>
    <row r="49" spans="1:24" s="224" customFormat="1" ht="17">
      <c r="A49" s="186"/>
      <c r="B49" s="199"/>
      <c r="C49" s="653">
        <v>10040</v>
      </c>
      <c r="D49" s="654"/>
      <c r="E49" s="655">
        <v>40</v>
      </c>
      <c r="F49" s="656" t="s">
        <v>418</v>
      </c>
      <c r="G49" s="657" t="s">
        <v>406</v>
      </c>
      <c r="H49" s="710"/>
      <c r="I49" s="710"/>
      <c r="J49" s="465">
        <f t="shared" si="5"/>
        <v>0</v>
      </c>
      <c r="K49" s="466">
        <f>SUMIF('1.3-Basis ruimtestaat'!M:M,'1.2-Kengetal'!C49,Meters)</f>
        <v>1.9800000000000002</v>
      </c>
      <c r="L49" s="466"/>
      <c r="M49" s="466">
        <f>SUMIF('1.3-Basis ruimtestaat'!M:M,'1.2-Kengetal'!C49,'1.3-Basis ruimtestaat'!L:L)</f>
        <v>0</v>
      </c>
      <c r="N49" s="658">
        <f t="shared" si="3"/>
        <v>1.0151905838304651E-4</v>
      </c>
      <c r="O49" s="659"/>
      <c r="P49" s="652" t="s">
        <v>47</v>
      </c>
      <c r="S49" s="199"/>
      <c r="T49" s="199"/>
      <c r="U49" s="199"/>
      <c r="V49" s="199"/>
      <c r="W49" s="199"/>
      <c r="X49" s="199"/>
    </row>
    <row r="50" spans="1:24" s="224" customFormat="1" ht="17">
      <c r="A50" s="186"/>
      <c r="B50" s="199"/>
      <c r="C50" s="653">
        <v>12200</v>
      </c>
      <c r="D50" s="654"/>
      <c r="E50" s="655">
        <v>200</v>
      </c>
      <c r="F50" s="656" t="s">
        <v>419</v>
      </c>
      <c r="G50" s="657" t="s">
        <v>408</v>
      </c>
      <c r="H50" s="710"/>
      <c r="I50" s="710"/>
      <c r="J50" s="465">
        <f t="shared" si="5"/>
        <v>0</v>
      </c>
      <c r="K50" s="466">
        <f>SUMIF('1.3-Basis ruimtestaat'!M:M,'1.2-Kengetal'!C50,Meters)</f>
        <v>0</v>
      </c>
      <c r="L50" s="466"/>
      <c r="M50" s="466">
        <f>SUMIF('1.3-Basis ruimtestaat'!M:M,'1.2-Kengetal'!C50,'1.3-Basis ruimtestaat'!L:L)</f>
        <v>0</v>
      </c>
      <c r="N50" s="658" t="str">
        <f t="shared" si="3"/>
        <v/>
      </c>
      <c r="O50" s="659"/>
      <c r="P50" s="652" t="s">
        <v>47</v>
      </c>
      <c r="S50" s="199"/>
      <c r="T50" s="199"/>
      <c r="U50" s="199"/>
      <c r="V50" s="199"/>
      <c r="W50" s="199"/>
      <c r="X50" s="199"/>
    </row>
    <row r="51" spans="1:24" s="224" customFormat="1" ht="17">
      <c r="A51" s="186"/>
      <c r="B51" s="199"/>
      <c r="C51" s="787">
        <v>12260</v>
      </c>
      <c r="D51" s="654"/>
      <c r="E51" s="655">
        <v>260</v>
      </c>
      <c r="F51" s="656" t="s">
        <v>419</v>
      </c>
      <c r="G51" s="657" t="s">
        <v>409</v>
      </c>
      <c r="H51" s="710"/>
      <c r="I51" s="710"/>
      <c r="J51" s="465">
        <f t="shared" si="5"/>
        <v>0</v>
      </c>
      <c r="K51" s="466">
        <f>SUMIF('1.3-Basis ruimtestaat'!M:M,'1.2-Kengetal'!C51,Meters)</f>
        <v>35.4</v>
      </c>
      <c r="L51" s="466"/>
      <c r="M51" s="466">
        <f>SUMIF('1.3-Basis ruimtestaat'!M:M,'1.2-Kengetal'!C51,'1.3-Basis ruimtestaat'!L:L)</f>
        <v>0</v>
      </c>
      <c r="N51" s="658">
        <f t="shared" si="3"/>
        <v>1.8150377104847709E-3</v>
      </c>
      <c r="O51" s="659"/>
      <c r="P51" s="652" t="s">
        <v>47</v>
      </c>
      <c r="S51" s="199"/>
      <c r="T51" s="199"/>
      <c r="U51" s="199"/>
      <c r="V51" s="199"/>
      <c r="W51" s="199"/>
      <c r="X51" s="199"/>
    </row>
    <row r="52" spans="1:24" s="224" customFormat="1" ht="17">
      <c r="A52" s="186"/>
      <c r="B52" s="199"/>
      <c r="C52" s="653">
        <v>13200</v>
      </c>
      <c r="D52" s="654"/>
      <c r="E52" s="655">
        <v>200</v>
      </c>
      <c r="F52" s="656" t="s">
        <v>420</v>
      </c>
      <c r="G52" s="657" t="s">
        <v>408</v>
      </c>
      <c r="H52" s="710"/>
      <c r="I52" s="710"/>
      <c r="J52" s="465">
        <f t="shared" si="5"/>
        <v>0</v>
      </c>
      <c r="K52" s="466">
        <f>SUMIF('1.3-Basis ruimtestaat'!M:M,'1.2-Kengetal'!C52,Meters)</f>
        <v>0</v>
      </c>
      <c r="L52" s="466"/>
      <c r="M52" s="466">
        <f>SUMIF('1.3-Basis ruimtestaat'!M:M,'1.2-Kengetal'!C52,'1.3-Basis ruimtestaat'!L:L)</f>
        <v>0</v>
      </c>
      <c r="N52" s="658" t="str">
        <f t="shared" si="3"/>
        <v/>
      </c>
      <c r="O52" s="659"/>
      <c r="P52" s="652" t="s">
        <v>47</v>
      </c>
      <c r="S52" s="199"/>
      <c r="T52" s="199"/>
      <c r="U52" s="199"/>
      <c r="V52" s="199"/>
      <c r="W52" s="199"/>
      <c r="X52" s="199"/>
    </row>
    <row r="53" spans="1:24" s="224" customFormat="1" ht="17">
      <c r="A53" s="186"/>
      <c r="B53" s="199"/>
      <c r="C53" s="787">
        <v>13260</v>
      </c>
      <c r="D53" s="654"/>
      <c r="E53" s="655">
        <v>260</v>
      </c>
      <c r="F53" s="656" t="s">
        <v>420</v>
      </c>
      <c r="G53" s="657" t="s">
        <v>409</v>
      </c>
      <c r="H53" s="710"/>
      <c r="I53" s="710"/>
      <c r="J53" s="465">
        <f t="shared" si="5"/>
        <v>0</v>
      </c>
      <c r="K53" s="466">
        <f>SUMIF('1.3-Basis ruimtestaat'!M:M,'1.2-Kengetal'!C53,Meters)</f>
        <v>0</v>
      </c>
      <c r="L53" s="466"/>
      <c r="M53" s="466">
        <f>SUMIF('1.3-Basis ruimtestaat'!M:M,'1.2-Kengetal'!C53,'1.3-Basis ruimtestaat'!L:L)</f>
        <v>0</v>
      </c>
      <c r="N53" s="658" t="str">
        <f t="shared" si="3"/>
        <v/>
      </c>
      <c r="O53" s="659"/>
      <c r="P53" s="652" t="s">
        <v>47</v>
      </c>
      <c r="S53" s="199"/>
      <c r="T53" s="199"/>
      <c r="U53" s="199"/>
      <c r="V53" s="199"/>
      <c r="W53" s="199"/>
      <c r="X53" s="199"/>
    </row>
    <row r="54" spans="1:24" s="224" customFormat="1" ht="17">
      <c r="A54" s="186"/>
      <c r="B54" s="199"/>
      <c r="C54" s="653">
        <v>14040</v>
      </c>
      <c r="D54" s="654"/>
      <c r="E54" s="655">
        <v>40</v>
      </c>
      <c r="F54" s="656" t="s">
        <v>421</v>
      </c>
      <c r="G54" s="657" t="s">
        <v>406</v>
      </c>
      <c r="H54" s="710"/>
      <c r="I54" s="710"/>
      <c r="J54" s="465">
        <f t="shared" si="5"/>
        <v>0</v>
      </c>
      <c r="K54" s="466">
        <f>SUMIF('1.3-Basis ruimtestaat'!M:M,'1.2-Kengetal'!C54,Meters)</f>
        <v>8.91</v>
      </c>
      <c r="L54" s="466"/>
      <c r="M54" s="466">
        <f>SUMIF('1.3-Basis ruimtestaat'!M:M,'1.2-Kengetal'!C54,'1.3-Basis ruimtestaat'!L:L)</f>
        <v>0</v>
      </c>
      <c r="N54" s="658">
        <f t="shared" si="3"/>
        <v>4.5683576272370928E-4</v>
      </c>
      <c r="O54" s="659"/>
      <c r="P54" s="652" t="s">
        <v>422</v>
      </c>
      <c r="S54" s="199"/>
      <c r="T54" s="199"/>
      <c r="U54" s="199"/>
      <c r="V54" s="199"/>
      <c r="W54" s="199"/>
      <c r="X54" s="199"/>
    </row>
    <row r="55" spans="1:24" s="224" customFormat="1" ht="17">
      <c r="A55" s="186"/>
      <c r="B55" s="199"/>
      <c r="C55" s="653">
        <v>14200</v>
      </c>
      <c r="D55" s="654"/>
      <c r="E55" s="655">
        <v>200</v>
      </c>
      <c r="F55" s="656" t="s">
        <v>401</v>
      </c>
      <c r="G55" s="657" t="s">
        <v>408</v>
      </c>
      <c r="H55" s="710"/>
      <c r="I55" s="710"/>
      <c r="J55" s="465">
        <f t="shared" si="5"/>
        <v>0</v>
      </c>
      <c r="K55" s="466">
        <f>SUMIF('1.3-Basis ruimtestaat'!M:M,'1.2-Kengetal'!C55,Meters)</f>
        <v>0</v>
      </c>
      <c r="L55" s="466"/>
      <c r="M55" s="466">
        <f>SUMIF('1.3-Basis ruimtestaat'!M:M,'1.2-Kengetal'!C55,'1.3-Basis ruimtestaat'!L:L)</f>
        <v>0</v>
      </c>
      <c r="N55" s="658" t="str">
        <f t="shared" si="3"/>
        <v/>
      </c>
      <c r="O55" s="659"/>
      <c r="P55" s="652" t="s">
        <v>422</v>
      </c>
      <c r="S55" s="199"/>
      <c r="T55" s="199"/>
      <c r="U55" s="199"/>
      <c r="V55" s="199"/>
      <c r="W55" s="199"/>
      <c r="X55" s="199"/>
    </row>
    <row r="56" spans="1:24" s="224" customFormat="1" ht="17">
      <c r="A56" s="186"/>
      <c r="B56" s="199"/>
      <c r="C56" s="653">
        <v>18040</v>
      </c>
      <c r="D56" s="671"/>
      <c r="E56" s="672">
        <v>40</v>
      </c>
      <c r="F56" s="656" t="s">
        <v>423</v>
      </c>
      <c r="G56" s="657" t="s">
        <v>406</v>
      </c>
      <c r="H56" s="710"/>
      <c r="I56" s="710"/>
      <c r="J56" s="465">
        <f t="shared" si="5"/>
        <v>0</v>
      </c>
      <c r="K56" s="466">
        <f>SUMIF('1.3-Basis ruimtestaat'!M:M,'1.2-Kengetal'!C56,Meters)</f>
        <v>0</v>
      </c>
      <c r="L56" s="466"/>
      <c r="M56" s="466">
        <f>SUMIF('1.3-Basis ruimtestaat'!M:M,'1.2-Kengetal'!C56,'1.3-Basis ruimtestaat'!L:L)</f>
        <v>0</v>
      </c>
      <c r="N56" s="658" t="str">
        <f t="shared" si="3"/>
        <v/>
      </c>
      <c r="O56" s="659"/>
      <c r="P56" s="652" t="s">
        <v>413</v>
      </c>
      <c r="S56" s="199"/>
      <c r="T56" s="199"/>
      <c r="U56" s="199"/>
      <c r="V56" s="199"/>
      <c r="W56" s="199"/>
      <c r="X56" s="199"/>
    </row>
    <row r="57" spans="1:24" s="224" customFormat="1" ht="17">
      <c r="A57" s="186"/>
      <c r="B57" s="199"/>
      <c r="C57" s="653">
        <v>18080</v>
      </c>
      <c r="D57" s="671"/>
      <c r="E57" s="672">
        <v>80</v>
      </c>
      <c r="F57" s="656" t="s">
        <v>423</v>
      </c>
      <c r="G57" s="657" t="s">
        <v>407</v>
      </c>
      <c r="H57" s="710"/>
      <c r="I57" s="710"/>
      <c r="J57" s="465">
        <f t="shared" si="5"/>
        <v>0</v>
      </c>
      <c r="K57" s="466">
        <f>SUMIF('1.3-Basis ruimtestaat'!M:M,'1.2-Kengetal'!C57,Meters)</f>
        <v>61</v>
      </c>
      <c r="L57" s="466"/>
      <c r="M57" s="466">
        <f>SUMIF('1.3-Basis ruimtestaat'!M:M,'1.2-Kengetal'!C57,'1.3-Basis ruimtestaat'!L:L)</f>
        <v>0</v>
      </c>
      <c r="N57" s="658">
        <f t="shared" si="3"/>
        <v>3.1276073542251702E-3</v>
      </c>
      <c r="O57" s="659"/>
      <c r="P57" s="652" t="s">
        <v>413</v>
      </c>
      <c r="S57" s="199"/>
      <c r="T57" s="199"/>
      <c r="U57" s="199"/>
      <c r="V57" s="199"/>
      <c r="W57" s="199"/>
      <c r="X57" s="199"/>
    </row>
    <row r="58" spans="1:24" s="224" customFormat="1" ht="17">
      <c r="A58" s="186"/>
      <c r="B58" s="199"/>
      <c r="C58" s="653">
        <v>18200</v>
      </c>
      <c r="D58" s="671"/>
      <c r="E58" s="672">
        <v>200</v>
      </c>
      <c r="F58" s="656" t="s">
        <v>423</v>
      </c>
      <c r="G58" s="657" t="s">
        <v>408</v>
      </c>
      <c r="H58" s="710"/>
      <c r="I58" s="710"/>
      <c r="J58" s="465">
        <f t="shared" si="5"/>
        <v>0</v>
      </c>
      <c r="K58" s="466">
        <f>SUMIF('1.3-Basis ruimtestaat'!M:M,'1.2-Kengetal'!C58,Meters)</f>
        <v>5532.7490000000016</v>
      </c>
      <c r="L58" s="466"/>
      <c r="M58" s="466">
        <f>SUMIF('1.3-Basis ruimtestaat'!M:M,'1.2-Kengetal'!C58,'1.3-Basis ruimtestaat'!L:L)</f>
        <v>0</v>
      </c>
      <c r="N58" s="658">
        <f t="shared" si="3"/>
        <v>0.28367649936855671</v>
      </c>
      <c r="O58" s="659"/>
      <c r="P58" s="652" t="s">
        <v>413</v>
      </c>
      <c r="S58" s="199"/>
      <c r="T58" s="199"/>
      <c r="U58" s="199"/>
      <c r="V58" s="199"/>
      <c r="W58" s="199"/>
      <c r="X58" s="199"/>
    </row>
    <row r="59" spans="1:24" ht="17">
      <c r="C59" s="786">
        <v>22208</v>
      </c>
      <c r="D59" s="654"/>
      <c r="E59" s="655">
        <v>208</v>
      </c>
      <c r="F59" s="656" t="s">
        <v>73</v>
      </c>
      <c r="G59" s="657" t="s">
        <v>691</v>
      </c>
      <c r="H59" s="710"/>
      <c r="I59" s="710"/>
      <c r="J59" s="465">
        <f>IF(H59=0,0,E59/SUM(H59+I59))</f>
        <v>0</v>
      </c>
      <c r="K59" s="466">
        <f>SUMIF('1.3-Basis ruimtestaat'!M:M,'1.2-Kengetal'!C59,Meters)</f>
        <v>0</v>
      </c>
      <c r="L59" s="466"/>
      <c r="M59" s="466">
        <f>SUMIF('1.3-Basis ruimtestaat'!M:M,'1.2-Kengetal'!C59,'1.3-Basis ruimtestaat'!L:L)</f>
        <v>0</v>
      </c>
      <c r="N59" s="658" t="str">
        <f t="shared" si="3"/>
        <v/>
      </c>
      <c r="O59" s="659"/>
      <c r="P59" s="652" t="s">
        <v>413</v>
      </c>
      <c r="Q59" s="186"/>
      <c r="S59" s="199"/>
      <c r="T59" s="199"/>
      <c r="U59" s="199"/>
      <c r="V59" s="199"/>
      <c r="W59" s="199"/>
      <c r="X59" s="199"/>
    </row>
    <row r="60" spans="1:24" ht="17">
      <c r="C60" s="786">
        <v>22210</v>
      </c>
      <c r="D60" s="654"/>
      <c r="E60" s="655">
        <v>210</v>
      </c>
      <c r="F60" s="656" t="s">
        <v>73</v>
      </c>
      <c r="G60" s="657" t="s">
        <v>936</v>
      </c>
      <c r="H60" s="710"/>
      <c r="I60" s="710"/>
      <c r="J60" s="465">
        <f>IF(H60=0,0,E60/SUM(H60+I60))</f>
        <v>0</v>
      </c>
      <c r="K60" s="466">
        <f>SUMIF('1.3-Basis ruimtestaat'!M:M,'1.2-Kengetal'!C60,Meters)</f>
        <v>56.91</v>
      </c>
      <c r="L60" s="466"/>
      <c r="M60" s="466">
        <f>SUMIF('1.3-Basis ruimtestaat'!M:M,'1.2-Kengetal'!C60,'1.3-Basis ruimtestaat'!L:L)</f>
        <v>0</v>
      </c>
      <c r="N60" s="658">
        <f t="shared" si="3"/>
        <v>2.9179038447369578E-3</v>
      </c>
      <c r="O60" s="659" t="s">
        <v>935</v>
      </c>
      <c r="P60" s="652" t="s">
        <v>413</v>
      </c>
      <c r="Q60" s="186"/>
      <c r="S60" s="199"/>
      <c r="T60" s="199"/>
      <c r="U60" s="199"/>
      <c r="V60" s="199"/>
      <c r="W60" s="199"/>
      <c r="X60" s="199"/>
    </row>
    <row r="61" spans="1:24" ht="17">
      <c r="C61" s="787">
        <v>22260</v>
      </c>
      <c r="D61" s="654"/>
      <c r="E61" s="655">
        <v>260</v>
      </c>
      <c r="F61" s="656" t="s">
        <v>73</v>
      </c>
      <c r="G61" s="657" t="s">
        <v>409</v>
      </c>
      <c r="H61" s="710"/>
      <c r="I61" s="710"/>
      <c r="J61" s="465">
        <f>IF(H61=0,0,E61/SUM(H61+I61))</f>
        <v>0</v>
      </c>
      <c r="K61" s="466">
        <f>SUMIF('1.3-Basis ruimtestaat'!M:M,'1.2-Kengetal'!C61,Meters)</f>
        <v>669.47599999999989</v>
      </c>
      <c r="L61" s="466"/>
      <c r="M61" s="466">
        <f>SUMIF('1.3-Basis ruimtestaat'!M:M,'1.2-Kengetal'!C61,'1.3-Basis ruimtestaat'!L:L)</f>
        <v>0</v>
      </c>
      <c r="N61" s="658">
        <f t="shared" si="3"/>
        <v>3.4325541984872948E-2</v>
      </c>
      <c r="O61" s="659"/>
      <c r="P61" s="652" t="s">
        <v>413</v>
      </c>
      <c r="Q61" s="186"/>
      <c r="S61" s="199"/>
      <c r="T61" s="199"/>
      <c r="U61" s="199"/>
      <c r="V61" s="199"/>
      <c r="W61" s="199"/>
      <c r="X61" s="199"/>
    </row>
    <row r="62" spans="1:24" s="224" customFormat="1" ht="17">
      <c r="A62" s="186"/>
      <c r="B62" s="199"/>
      <c r="C62" s="727" t="s">
        <v>934</v>
      </c>
      <c r="D62" s="672"/>
      <c r="E62" s="672">
        <v>1</v>
      </c>
      <c r="F62" s="728" t="s">
        <v>934</v>
      </c>
      <c r="G62" s="729" t="str">
        <f t="shared" ref="G62" si="6">CONCATENATE(E62," keer per jaar")</f>
        <v>1 keer per jaar</v>
      </c>
      <c r="H62" s="710"/>
      <c r="I62" s="710"/>
      <c r="J62" s="465">
        <f t="shared" si="5"/>
        <v>0</v>
      </c>
      <c r="K62" s="466">
        <f>SUMIF('1.3-Basis ruimtestaat'!M:M,'1.2-Kengetal'!C62,Meters)</f>
        <v>54.207000000000001</v>
      </c>
      <c r="L62" s="466"/>
      <c r="M62" s="466">
        <f>SUMIF('1.3-Basis ruimtestaat'!M:M,'1.2-Kengetal'!C62,'1.3-Basis ruimtestaat'!L:L)</f>
        <v>0</v>
      </c>
      <c r="N62" s="658">
        <f t="shared" si="3"/>
        <v>2.779314948368587E-3</v>
      </c>
      <c r="O62" s="659"/>
      <c r="P62" s="652"/>
      <c r="S62" s="199"/>
      <c r="T62" s="199"/>
      <c r="U62" s="199"/>
      <c r="V62" s="199"/>
      <c r="W62" s="199"/>
      <c r="X62" s="199"/>
    </row>
    <row r="63" spans="1:24" s="224" customFormat="1" ht="17">
      <c r="A63" s="186"/>
      <c r="B63" s="199"/>
      <c r="C63" s="673" t="s">
        <v>178</v>
      </c>
      <c r="D63" s="718"/>
      <c r="E63" s="719"/>
      <c r="F63" s="676" t="s">
        <v>178</v>
      </c>
      <c r="G63" s="677"/>
      <c r="H63" s="657"/>
      <c r="I63" s="657"/>
      <c r="J63" s="465">
        <f t="shared" ref="J63:J65" si="7">IF(H63=0,0,E63/SUM(H63+I63))</f>
        <v>0</v>
      </c>
      <c r="K63" s="466">
        <f>SUMIF('1.3-Basis ruimtestaat'!M:M,'1.2-Kengetal'!C63,Meters)</f>
        <v>0</v>
      </c>
      <c r="L63" s="466"/>
      <c r="M63" s="466">
        <f>SUMIF('1.3-Basis ruimtestaat'!M:M,'1.2-Kengetal'!C63,'1.3-Basis ruimtestaat'!L:L)</f>
        <v>0</v>
      </c>
      <c r="N63" s="658" t="str">
        <f>IF(M63=0,"",M63/$M$74)</f>
        <v/>
      </c>
      <c r="O63" s="659"/>
      <c r="P63" s="652"/>
      <c r="S63" s="199"/>
      <c r="T63" s="199"/>
      <c r="U63" s="199"/>
      <c r="V63" s="199"/>
      <c r="W63" s="199"/>
      <c r="X63" s="199"/>
    </row>
    <row r="64" spans="1:24" s="224" customFormat="1" ht="17">
      <c r="A64" s="186"/>
      <c r="B64" s="199"/>
      <c r="C64" s="653" t="s">
        <v>17</v>
      </c>
      <c r="D64" s="671"/>
      <c r="E64" s="672"/>
      <c r="F64" s="656" t="s">
        <v>136</v>
      </c>
      <c r="G64" s="657"/>
      <c r="H64" s="657"/>
      <c r="I64" s="657"/>
      <c r="J64" s="465">
        <f t="shared" si="7"/>
        <v>0</v>
      </c>
      <c r="K64" s="466"/>
      <c r="L64" s="466"/>
      <c r="M64" s="466">
        <f>SUMIF('1.3-Basis ruimtestaat'!M:M,'1.2-Kengetal'!C64,'1.3-Basis ruimtestaat'!L:L)</f>
        <v>776.0300000000002</v>
      </c>
      <c r="N64" s="658">
        <f>IF(M64=0,"",M64/$M$74)</f>
        <v>3.9788805493432118E-2</v>
      </c>
      <c r="O64" s="659"/>
      <c r="P64" s="652"/>
      <c r="S64" s="199"/>
      <c r="T64" s="199"/>
      <c r="U64" s="199"/>
      <c r="V64" s="199"/>
      <c r="W64" s="199"/>
      <c r="X64" s="199"/>
    </row>
    <row r="65" spans="1:24" s="224" customFormat="1" ht="17">
      <c r="A65" s="186"/>
      <c r="B65" s="199"/>
      <c r="C65" s="653" t="s">
        <v>292</v>
      </c>
      <c r="D65" s="671"/>
      <c r="E65" s="672"/>
      <c r="F65" s="656" t="s">
        <v>293</v>
      </c>
      <c r="G65" s="657"/>
      <c r="H65" s="657"/>
      <c r="I65" s="657"/>
      <c r="J65" s="465">
        <f t="shared" si="7"/>
        <v>0</v>
      </c>
      <c r="K65" s="466">
        <f>SUMIF('1.3-Basis ruimtestaat'!M:M,'1.2-Kengetal'!C65,Meters)</f>
        <v>0</v>
      </c>
      <c r="L65" s="466"/>
      <c r="M65" s="466">
        <f>SUMIF('1.3-Basis ruimtestaat'!M:M,'1.2-Kengetal'!C65,'1.3-Basis ruimtestaat'!L:L)</f>
        <v>0</v>
      </c>
      <c r="N65" s="658" t="str">
        <f>IF(M65=0,"",M65/$M$74)</f>
        <v/>
      </c>
      <c r="O65" s="659"/>
      <c r="P65" s="652"/>
      <c r="S65" s="199"/>
      <c r="T65" s="199"/>
      <c r="U65" s="199"/>
      <c r="V65" s="199"/>
      <c r="W65" s="199"/>
      <c r="X65" s="199"/>
    </row>
    <row r="66" spans="1:24" s="224" customFormat="1" ht="17">
      <c r="A66" s="186"/>
      <c r="B66" s="199"/>
      <c r="C66" s="711" t="s">
        <v>424</v>
      </c>
      <c r="D66" s="712"/>
      <c r="E66" s="713"/>
      <c r="F66" s="714" t="s">
        <v>425</v>
      </c>
      <c r="G66" s="715"/>
      <c r="H66" s="657"/>
      <c r="I66" s="657"/>
      <c r="J66" s="715"/>
      <c r="K66" s="466">
        <f>SUMIF('1.3-Basis ruimtestaat'!M:M,'1.2-Kengetal'!C66,Meters)</f>
        <v>0</v>
      </c>
      <c r="L66" s="466"/>
      <c r="M66" s="466">
        <f>SUMIF('1.3-Basis ruimtestaat'!M:M,'1.2-Kengetal'!C66,'1.3-Basis ruimtestaat'!L:L)</f>
        <v>62.08</v>
      </c>
      <c r="N66" s="658">
        <f>IF(M66=0,"",M66/$M$74)</f>
        <v>3.1829813860704682E-3</v>
      </c>
      <c r="O66" s="659"/>
      <c r="P66" s="652"/>
      <c r="S66" s="199"/>
      <c r="T66" s="199"/>
      <c r="U66" s="199"/>
      <c r="V66" s="199"/>
      <c r="W66" s="199"/>
      <c r="X66" s="199"/>
    </row>
    <row r="67" spans="1:24" s="224" customFormat="1" ht="17">
      <c r="A67" s="186"/>
      <c r="B67" s="199"/>
      <c r="C67" s="653"/>
      <c r="D67" s="671"/>
      <c r="E67" s="672"/>
      <c r="F67" s="656"/>
      <c r="G67" s="657"/>
      <c r="H67" s="657"/>
      <c r="I67" s="657"/>
      <c r="J67" s="465"/>
      <c r="K67" s="466"/>
      <c r="L67" s="466"/>
      <c r="M67" s="466"/>
      <c r="N67" s="658"/>
      <c r="O67" s="659"/>
      <c r="P67" s="652"/>
      <c r="S67" s="199"/>
      <c r="T67" s="199"/>
      <c r="U67" s="199"/>
      <c r="V67" s="199"/>
      <c r="W67" s="199"/>
      <c r="X67" s="199"/>
    </row>
    <row r="68" spans="1:24" s="224" customFormat="1" ht="17">
      <c r="A68" s="186"/>
      <c r="B68" s="199"/>
      <c r="C68" s="653"/>
      <c r="D68" s="671"/>
      <c r="E68" s="672"/>
      <c r="F68" s="656"/>
      <c r="G68" s="657"/>
      <c r="H68" s="657"/>
      <c r="I68" s="657"/>
      <c r="J68" s="465"/>
      <c r="K68" s="466"/>
      <c r="L68" s="466"/>
      <c r="M68" s="466"/>
      <c r="N68" s="658"/>
      <c r="O68" s="659"/>
      <c r="P68" s="652"/>
      <c r="S68" s="199"/>
      <c r="T68" s="199"/>
      <c r="U68" s="199"/>
      <c r="V68" s="199"/>
      <c r="W68" s="199"/>
      <c r="X68" s="199"/>
    </row>
    <row r="69" spans="1:24" s="224" customFormat="1" ht="17">
      <c r="A69" s="186"/>
      <c r="B69" s="199"/>
      <c r="C69" s="653"/>
      <c r="D69" s="671"/>
      <c r="E69" s="672"/>
      <c r="F69" s="656"/>
      <c r="G69" s="657"/>
      <c r="H69" s="657"/>
      <c r="I69" s="657"/>
      <c r="J69" s="465"/>
      <c r="K69" s="466"/>
      <c r="L69" s="466"/>
      <c r="M69" s="466"/>
      <c r="N69" s="658"/>
      <c r="O69" s="659"/>
      <c r="P69" s="652"/>
      <c r="S69" s="199"/>
      <c r="T69" s="199"/>
      <c r="U69" s="199"/>
      <c r="V69" s="199"/>
      <c r="W69" s="199"/>
      <c r="X69" s="199"/>
    </row>
    <row r="70" spans="1:24" s="224" customFormat="1" ht="17">
      <c r="A70" s="186"/>
      <c r="B70" s="199"/>
      <c r="C70" s="653"/>
      <c r="D70" s="654"/>
      <c r="E70" s="655"/>
      <c r="F70" s="656"/>
      <c r="G70" s="657"/>
      <c r="H70" s="657"/>
      <c r="I70" s="657"/>
      <c r="J70" s="465"/>
      <c r="K70" s="466"/>
      <c r="L70" s="466"/>
      <c r="M70" s="466"/>
      <c r="N70" s="658"/>
      <c r="O70" s="659"/>
      <c r="P70" s="652"/>
      <c r="S70" s="199"/>
      <c r="T70" s="199"/>
      <c r="U70" s="199"/>
      <c r="V70" s="199"/>
      <c r="W70" s="199"/>
      <c r="X70" s="199"/>
    </row>
    <row r="71" spans="1:24" s="224" customFormat="1" ht="17">
      <c r="A71" s="186"/>
      <c r="B71" s="199"/>
      <c r="C71" s="673"/>
      <c r="D71" s="674"/>
      <c r="E71" s="675"/>
      <c r="F71" s="676"/>
      <c r="G71" s="677"/>
      <c r="H71" s="677"/>
      <c r="I71" s="677"/>
      <c r="J71" s="677"/>
      <c r="K71" s="466"/>
      <c r="L71" s="466"/>
      <c r="M71" s="466"/>
      <c r="N71" s="658"/>
      <c r="O71" s="678"/>
      <c r="P71" s="652"/>
      <c r="S71" s="199"/>
      <c r="T71" s="199"/>
      <c r="U71" s="199"/>
      <c r="V71" s="199"/>
      <c r="W71" s="199"/>
      <c r="X71" s="199"/>
    </row>
    <row r="72" spans="1:24" s="224" customFormat="1" ht="17">
      <c r="A72" s="186"/>
      <c r="B72" s="199"/>
      <c r="C72" s="662"/>
      <c r="D72" s="662"/>
      <c r="E72" s="663"/>
      <c r="F72" s="252"/>
      <c r="G72" s="253"/>
      <c r="H72" s="664"/>
      <c r="I72" s="664"/>
      <c r="J72" s="665"/>
      <c r="K72" s="250"/>
      <c r="L72" s="250"/>
      <c r="M72" s="251"/>
      <c r="N72" s="660"/>
      <c r="O72" s="661"/>
      <c r="P72" s="652"/>
      <c r="S72" s="199"/>
      <c r="T72" s="199"/>
      <c r="U72" s="199"/>
      <c r="V72" s="199"/>
      <c r="W72" s="199"/>
      <c r="X72" s="199"/>
    </row>
    <row r="73" spans="1:24" s="224" customFormat="1" ht="17">
      <c r="A73" s="186"/>
      <c r="B73" s="199"/>
      <c r="C73" s="219"/>
      <c r="D73" s="219"/>
      <c r="E73" s="187"/>
      <c r="F73" s="225"/>
      <c r="G73" s="226"/>
      <c r="H73" s="190"/>
      <c r="I73" s="190"/>
      <c r="J73" s="191"/>
      <c r="K73" s="666">
        <f>SUM(K14:K72)</f>
        <v>18665.616999999995</v>
      </c>
      <c r="L73" s="666"/>
      <c r="M73" s="666">
        <f>SUM(M14:M72)</f>
        <v>838.11000000000024</v>
      </c>
      <c r="N73" s="264">
        <f>SUM(N13:N72)</f>
        <v>1.0000000000000002</v>
      </c>
      <c r="O73" s="667"/>
      <c r="P73" s="219"/>
      <c r="S73" s="199"/>
      <c r="T73" s="199"/>
      <c r="U73" s="199"/>
      <c r="V73" s="199"/>
      <c r="W73" s="199"/>
      <c r="X73" s="199"/>
    </row>
    <row r="74" spans="1:24" s="224" customFormat="1" ht="17">
      <c r="A74" s="186"/>
      <c r="B74" s="199"/>
      <c r="C74" s="219"/>
      <c r="D74" s="668"/>
      <c r="E74" s="187"/>
      <c r="F74" s="227"/>
      <c r="G74" s="187"/>
      <c r="H74" s="188"/>
      <c r="I74" s="190"/>
      <c r="J74" s="191"/>
      <c r="K74" s="228" t="s">
        <v>141</v>
      </c>
      <c r="L74" s="228"/>
      <c r="M74" s="467">
        <f>M73+K73</f>
        <v>19503.726999999995</v>
      </c>
      <c r="N74" s="226"/>
      <c r="O74" s="229"/>
      <c r="P74" s="230"/>
      <c r="S74" s="199"/>
      <c r="T74" s="199"/>
      <c r="U74" s="199"/>
      <c r="V74" s="199"/>
      <c r="W74" s="199"/>
      <c r="X74" s="199"/>
    </row>
    <row r="75" spans="1:24" s="224" customFormat="1" ht="17">
      <c r="A75" s="186"/>
      <c r="B75" s="199"/>
      <c r="C75" s="219"/>
      <c r="D75" s="219"/>
      <c r="E75" s="187"/>
      <c r="F75" s="225"/>
      <c r="G75" s="226"/>
      <c r="H75" s="190"/>
      <c r="I75" s="190"/>
      <c r="J75" s="191"/>
      <c r="K75" s="232"/>
      <c r="L75" s="232"/>
      <c r="M75" s="232"/>
      <c r="N75" s="238"/>
      <c r="O75" s="234"/>
      <c r="P75" s="230"/>
      <c r="S75" s="199"/>
      <c r="T75" s="199"/>
      <c r="U75" s="199"/>
      <c r="V75" s="199"/>
      <c r="W75" s="199"/>
      <c r="X75" s="199"/>
    </row>
    <row r="76" spans="1:24" ht="17">
      <c r="B76" s="199"/>
      <c r="Q76" s="231"/>
    </row>
    <row r="77" spans="1:24">
      <c r="M77" s="232"/>
      <c r="N77" s="238"/>
      <c r="O77" s="234"/>
      <c r="P77" s="230"/>
    </row>
    <row r="78" spans="1:24">
      <c r="C78" s="235" t="s">
        <v>115</v>
      </c>
      <c r="D78" s="235"/>
      <c r="E78" s="236"/>
      <c r="F78" s="236"/>
      <c r="J78" s="237"/>
      <c r="K78" s="238"/>
      <c r="L78" s="238"/>
    </row>
    <row r="79" spans="1:24">
      <c r="C79" s="236" t="s">
        <v>31</v>
      </c>
      <c r="D79" s="236"/>
      <c r="E79" s="236" t="s">
        <v>34</v>
      </c>
      <c r="J79" s="237"/>
      <c r="K79" s="238"/>
      <c r="L79" s="238"/>
      <c r="Q79" s="241"/>
    </row>
    <row r="80" spans="1:24">
      <c r="C80" s="236" t="s">
        <v>42</v>
      </c>
      <c r="D80" s="236"/>
      <c r="E80" s="236" t="s">
        <v>14</v>
      </c>
      <c r="J80" s="237"/>
      <c r="K80" s="238"/>
      <c r="L80" s="238"/>
      <c r="M80" s="233"/>
      <c r="N80" s="238"/>
      <c r="P80" s="240"/>
      <c r="Q80" s="240"/>
    </row>
    <row r="81" spans="3:17">
      <c r="C81" s="236" t="s">
        <v>70</v>
      </c>
      <c r="D81" s="236"/>
      <c r="E81" s="236" t="s">
        <v>77</v>
      </c>
      <c r="J81" s="237"/>
      <c r="K81" s="238"/>
      <c r="L81" s="238"/>
      <c r="M81" s="233"/>
      <c r="N81" s="242"/>
      <c r="O81" s="243"/>
      <c r="P81" s="240"/>
      <c r="Q81" s="240"/>
    </row>
    <row r="82" spans="3:17">
      <c r="C82" s="236" t="s">
        <v>46</v>
      </c>
      <c r="D82" s="236"/>
      <c r="E82" s="236" t="s">
        <v>91</v>
      </c>
      <c r="J82" s="237"/>
      <c r="K82" s="238"/>
      <c r="L82" s="238"/>
      <c r="M82" s="233"/>
      <c r="N82" s="242"/>
      <c r="O82" s="243"/>
      <c r="P82" s="240"/>
      <c r="Q82" s="240"/>
    </row>
    <row r="83" spans="3:17">
      <c r="C83" s="236" t="s">
        <v>39</v>
      </c>
      <c r="D83" s="236"/>
      <c r="E83" s="236" t="s">
        <v>107</v>
      </c>
      <c r="J83" s="237"/>
      <c r="K83" s="238"/>
      <c r="L83" s="238"/>
      <c r="M83" s="233"/>
      <c r="N83" s="242"/>
      <c r="O83" s="243"/>
      <c r="P83" s="240"/>
      <c r="Q83" s="240"/>
    </row>
    <row r="84" spans="3:17">
      <c r="C84" s="236" t="s">
        <v>44</v>
      </c>
      <c r="D84" s="236"/>
      <c r="E84" s="236" t="s">
        <v>116</v>
      </c>
      <c r="J84" s="237"/>
      <c r="K84" s="238"/>
      <c r="L84" s="238"/>
      <c r="M84" s="233"/>
      <c r="N84" s="242"/>
      <c r="O84" s="243"/>
      <c r="P84" s="240"/>
      <c r="Q84" s="240"/>
    </row>
    <row r="85" spans="3:17">
      <c r="C85" s="236" t="s">
        <v>127</v>
      </c>
      <c r="D85" s="236"/>
      <c r="E85" s="236" t="s">
        <v>129</v>
      </c>
      <c r="J85" s="237"/>
      <c r="K85" s="238"/>
      <c r="L85" s="238"/>
      <c r="M85" s="233"/>
      <c r="N85" s="242"/>
      <c r="O85" s="243"/>
      <c r="P85" s="240"/>
      <c r="Q85" s="240"/>
    </row>
    <row r="86" spans="3:17">
      <c r="C86" s="236" t="s">
        <v>128</v>
      </c>
      <c r="D86" s="236"/>
      <c r="E86" s="236" t="s">
        <v>130</v>
      </c>
      <c r="J86" s="237"/>
      <c r="K86" s="238"/>
      <c r="L86" s="238"/>
      <c r="M86" s="233"/>
      <c r="N86" s="242"/>
      <c r="O86" s="243"/>
      <c r="P86" s="240"/>
      <c r="Q86" s="240"/>
    </row>
    <row r="87" spans="3:17">
      <c r="C87" s="236" t="s">
        <v>131</v>
      </c>
      <c r="D87" s="236"/>
      <c r="E87" s="236" t="s">
        <v>135</v>
      </c>
      <c r="J87" s="237"/>
      <c r="K87" s="238"/>
      <c r="L87" s="238"/>
      <c r="M87" s="233"/>
      <c r="N87" s="242"/>
      <c r="O87" s="243"/>
      <c r="P87" s="240"/>
      <c r="Q87" s="240"/>
    </row>
    <row r="88" spans="3:17">
      <c r="C88" s="236" t="s">
        <v>132</v>
      </c>
      <c r="D88" s="236"/>
      <c r="E88" s="236" t="s">
        <v>386</v>
      </c>
      <c r="J88" s="237"/>
      <c r="K88" s="238"/>
      <c r="L88" s="238"/>
      <c r="M88" s="233"/>
      <c r="N88" s="242"/>
      <c r="O88" s="243"/>
      <c r="P88" s="240"/>
      <c r="Q88" s="240"/>
    </row>
    <row r="89" spans="3:17">
      <c r="C89" s="236" t="s">
        <v>88</v>
      </c>
      <c r="D89" s="236"/>
      <c r="E89" s="236" t="s">
        <v>1038</v>
      </c>
      <c r="J89" s="237"/>
      <c r="K89" s="238"/>
      <c r="L89" s="238"/>
      <c r="M89" s="233"/>
      <c r="N89" s="242"/>
      <c r="O89" s="243"/>
      <c r="P89" s="240"/>
      <c r="Q89" s="240"/>
    </row>
    <row r="90" spans="3:17" ht="16" thickBot="1">
      <c r="J90" s="237"/>
      <c r="K90" s="238"/>
      <c r="L90" s="238"/>
      <c r="M90" s="233"/>
      <c r="N90" s="242"/>
      <c r="O90" s="243"/>
      <c r="P90" s="240"/>
    </row>
    <row r="91" spans="3:17">
      <c r="C91" s="254"/>
      <c r="D91" s="254"/>
      <c r="E91" s="255"/>
      <c r="F91" s="256"/>
      <c r="G91" s="257"/>
      <c r="H91" s="258"/>
      <c r="I91" s="258"/>
      <c r="J91" s="259"/>
      <c r="K91" s="260"/>
      <c r="L91" s="260"/>
      <c r="M91" s="261"/>
      <c r="N91" s="257"/>
      <c r="O91" s="262"/>
      <c r="P91" s="263"/>
    </row>
  </sheetData>
  <autoFilter ref="C12:P76" xr:uid="{00000000-0001-0000-0400-000000000000}"/>
  <sortState xmlns:xlrd2="http://schemas.microsoft.com/office/spreadsheetml/2017/richdata2" ref="A14:AF58">
    <sortCondition ref="C14:C58"/>
  </sortState>
  <phoneticPr fontId="10"/>
  <conditionalFormatting sqref="H14:I62">
    <cfRule type="cellIs" dxfId="151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A4" xr:uid="{00000000-0002-0000-0400-000000000000}"/>
  </dataValidation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54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 filterMode="1"/>
  <dimension ref="A1:AA580"/>
  <sheetViews>
    <sheetView showGridLines="0" showRowColHeaders="0" showZeros="0" showOutlineSymbols="0" topLeftCell="H1" zoomScale="119" zoomScaleNormal="119" zoomScaleSheetLayoutView="65" zoomScalePageLayoutView="90" workbookViewId="0">
      <selection activeCell="R388" sqref="R388"/>
    </sheetView>
  </sheetViews>
  <sheetFormatPr baseColWidth="10" defaultColWidth="8.796875" defaultRowHeight="16" customHeight="1"/>
  <cols>
    <col min="1" max="1" width="8.59765625" style="236" customWidth="1"/>
    <col min="2" max="2" width="20.59765625" style="266" customWidth="1"/>
    <col min="3" max="3" width="13" style="304" customWidth="1"/>
    <col min="4" max="4" width="9.3984375" style="266" customWidth="1"/>
    <col min="5" max="5" width="39" style="305" bestFit="1" customWidth="1"/>
    <col min="6" max="6" width="15.3984375" style="266" bestFit="1" customWidth="1"/>
    <col min="7" max="7" width="13" style="306" customWidth="1"/>
    <col min="8" max="8" width="50.59765625" style="236" customWidth="1"/>
    <col min="9" max="9" width="44.19921875" style="285" bestFit="1" customWidth="1"/>
    <col min="10" max="10" width="16" style="266" customWidth="1"/>
    <col min="11" max="12" width="10.796875" style="287" customWidth="1"/>
    <col min="13" max="13" width="21.796875" style="288" bestFit="1" customWidth="1"/>
    <col min="14" max="14" width="16.59765625" style="266" bestFit="1" customWidth="1"/>
    <col min="15" max="15" width="11" style="288" customWidth="1"/>
    <col min="16" max="16" width="13.59765625" style="288" customWidth="1"/>
    <col min="17" max="17" width="12" style="289" customWidth="1"/>
    <col min="18" max="18" width="18.19921875" style="289" bestFit="1" customWidth="1"/>
    <col min="19" max="20" width="18.59765625" style="266" bestFit="1" customWidth="1"/>
    <col min="21" max="21" width="13.59765625" style="236" bestFit="1" customWidth="1"/>
    <col min="22" max="22" width="53" style="307" bestFit="1" customWidth="1"/>
    <col min="23" max="23" width="17" style="266" customWidth="1"/>
    <col min="24" max="24" width="20.3984375" style="266" customWidth="1"/>
    <col min="25" max="25" width="15.59765625" style="236" customWidth="1"/>
    <col min="26" max="26" width="14.59765625" style="732" hidden="1" customWidth="1"/>
    <col min="27" max="27" width="12" style="266" hidden="1" customWidth="1"/>
    <col min="28" max="28" width="17.3984375" style="236" customWidth="1"/>
    <col min="29" max="29" width="20" style="236" customWidth="1"/>
    <col min="30" max="16384" width="8.796875" style="236"/>
  </cols>
  <sheetData>
    <row r="1" spans="1:27" s="30" customFormat="1" ht="9" customHeight="1" thickBot="1">
      <c r="A1" s="734"/>
      <c r="D1" s="530"/>
      <c r="J1" s="524"/>
      <c r="T1" s="99"/>
      <c r="U1" s="99"/>
      <c r="V1" s="99"/>
      <c r="W1" s="99"/>
      <c r="X1" s="99"/>
      <c r="Z1" s="735"/>
      <c r="AA1" s="524"/>
    </row>
    <row r="2" spans="1:27" s="30" customFormat="1" ht="8" customHeight="1">
      <c r="A2" s="734"/>
      <c r="B2" s="102"/>
      <c r="C2" s="102"/>
      <c r="D2" s="531"/>
      <c r="E2" s="102"/>
      <c r="F2" s="102"/>
      <c r="G2" s="102"/>
      <c r="H2" s="102"/>
      <c r="I2" s="102"/>
      <c r="J2" s="525"/>
      <c r="K2" s="102"/>
      <c r="L2" s="102"/>
      <c r="M2" s="102"/>
      <c r="N2" s="102"/>
      <c r="O2" s="102"/>
      <c r="P2" s="102"/>
      <c r="Q2" s="102"/>
      <c r="R2" s="102"/>
      <c r="S2" s="102"/>
      <c r="T2" s="99"/>
      <c r="U2" s="99"/>
      <c r="V2" s="99"/>
      <c r="W2" s="99"/>
      <c r="X2" s="99"/>
      <c r="Z2" s="735"/>
      <c r="AA2" s="524"/>
    </row>
    <row r="3" spans="1:27" s="186" customFormat="1" ht="15">
      <c r="C3" s="187"/>
      <c r="D3" s="187"/>
      <c r="E3" s="187"/>
      <c r="F3" s="188"/>
      <c r="G3" s="189"/>
      <c r="H3" s="190"/>
      <c r="I3" s="527"/>
      <c r="J3" s="191"/>
      <c r="K3" s="192"/>
      <c r="L3" s="193"/>
      <c r="M3" s="189"/>
      <c r="N3" s="737" t="s">
        <v>683</v>
      </c>
      <c r="Z3" s="191"/>
      <c r="AA3" s="219"/>
    </row>
    <row r="4" spans="1:27" ht="18" customHeight="1">
      <c r="A4" s="266"/>
      <c r="C4" s="267"/>
      <c r="E4" s="279" t="str">
        <f>'1.2-Kengetal'!C4</f>
        <v>Omschrijving blad</v>
      </c>
      <c r="F4" s="280"/>
      <c r="G4" s="736" t="s">
        <v>341</v>
      </c>
      <c r="H4" s="281"/>
      <c r="I4" s="528"/>
      <c r="J4" s="270"/>
      <c r="K4" s="273"/>
      <c r="L4" s="273"/>
      <c r="M4" s="274"/>
      <c r="N4" s="282" t="s">
        <v>684</v>
      </c>
      <c r="O4" s="273"/>
      <c r="P4" s="273"/>
      <c r="Q4" s="275"/>
      <c r="R4" s="276"/>
      <c r="S4" s="278"/>
      <c r="T4" s="278"/>
      <c r="U4" s="282"/>
      <c r="V4" s="236"/>
      <c r="W4" s="270"/>
    </row>
    <row r="5" spans="1:27" ht="18" customHeight="1">
      <c r="A5" s="266"/>
      <c r="C5" s="267"/>
      <c r="E5" s="196" t="s">
        <v>85</v>
      </c>
      <c r="G5" s="331" t="str">
        <f>Voorblad!$E$16</f>
        <v>Stichting Opspoor</v>
      </c>
      <c r="H5" s="281"/>
      <c r="I5" s="529"/>
      <c r="J5" s="270"/>
      <c r="K5" s="273"/>
      <c r="L5" s="273"/>
      <c r="M5" s="274"/>
      <c r="N5" s="282" t="s">
        <v>685</v>
      </c>
      <c r="O5" s="274"/>
      <c r="P5" s="274"/>
      <c r="Q5" s="275"/>
      <c r="R5" s="276"/>
      <c r="S5" s="278"/>
      <c r="T5" s="278"/>
      <c r="U5" s="282"/>
      <c r="V5" s="236"/>
      <c r="W5" s="270"/>
    </row>
    <row r="6" spans="1:27" ht="18" customHeight="1">
      <c r="A6" s="266"/>
      <c r="C6" s="267"/>
      <c r="E6" s="196" t="s">
        <v>33</v>
      </c>
      <c r="G6" s="331" t="str">
        <f>'1.0-Contractblad'!$E$7</f>
        <v>Purmerend e.o.</v>
      </c>
      <c r="H6" s="281"/>
      <c r="J6" s="738" t="s">
        <v>161</v>
      </c>
      <c r="K6" s="286"/>
      <c r="M6" s="269"/>
      <c r="N6" s="282" t="s">
        <v>686</v>
      </c>
      <c r="R6" s="276"/>
      <c r="S6" s="278"/>
      <c r="T6" s="278"/>
      <c r="U6" s="282"/>
      <c r="V6" s="236"/>
      <c r="W6" s="270"/>
    </row>
    <row r="7" spans="1:27" ht="18" customHeight="1" thickBot="1">
      <c r="A7" s="266"/>
      <c r="C7" s="267"/>
      <c r="E7" s="196" t="s">
        <v>114</v>
      </c>
      <c r="G7" s="206" t="str">
        <f>Voorblad!$E$24</f>
        <v>1501-102-2026</v>
      </c>
      <c r="H7" s="281"/>
      <c r="J7" s="739"/>
      <c r="K7" s="740" t="s">
        <v>342</v>
      </c>
      <c r="L7" s="273"/>
      <c r="M7" s="274"/>
      <c r="N7" s="282" t="s">
        <v>687</v>
      </c>
      <c r="R7" s="276"/>
      <c r="S7" s="278"/>
      <c r="T7" s="278"/>
      <c r="U7" s="282"/>
      <c r="V7" s="236"/>
      <c r="W7" s="270"/>
    </row>
    <row r="8" spans="1:27" ht="18" customHeight="1">
      <c r="A8" s="266"/>
      <c r="C8" s="267"/>
      <c r="E8" s="196" t="s">
        <v>145</v>
      </c>
      <c r="G8" s="211" t="str">
        <f ca="1">Voorblad!$E$26</f>
        <v>Calculatiemodule Opspoor Perceel 3 V1.1 | 01-jan-27 Wijziging bijgehouden</v>
      </c>
      <c r="H8" s="281"/>
      <c r="J8" s="285"/>
      <c r="K8" s="285"/>
      <c r="L8" s="285"/>
      <c r="M8" s="274"/>
      <c r="N8" s="282" t="s">
        <v>688</v>
      </c>
      <c r="R8" s="276"/>
      <c r="S8" s="278"/>
      <c r="T8" s="278"/>
      <c r="U8" s="282"/>
      <c r="V8" s="236"/>
      <c r="W8" s="270"/>
    </row>
    <row r="9" spans="1:27" ht="18" customHeight="1">
      <c r="A9" s="266"/>
      <c r="C9" s="267"/>
      <c r="E9" s="196" t="s">
        <v>83</v>
      </c>
      <c r="G9" s="741" t="str">
        <f>Voorblad!$E$19</f>
        <v>Naam organisatie</v>
      </c>
      <c r="H9" s="290"/>
      <c r="J9" s="686"/>
      <c r="K9" s="742" t="s">
        <v>478</v>
      </c>
      <c r="L9" s="285"/>
      <c r="M9" s="274"/>
      <c r="N9" s="282" t="s">
        <v>689</v>
      </c>
      <c r="Q9" s="291"/>
      <c r="R9" s="291"/>
      <c r="S9" s="278"/>
      <c r="T9" s="278"/>
      <c r="U9" s="282"/>
      <c r="V9" s="236"/>
      <c r="W9" s="270"/>
    </row>
    <row r="10" spans="1:27" ht="18" customHeight="1">
      <c r="A10" s="266"/>
      <c r="C10" s="267"/>
      <c r="E10" s="196" t="s">
        <v>6</v>
      </c>
      <c r="G10" s="823">
        <f>Voorblad!$E$22</f>
        <v>46388</v>
      </c>
      <c r="H10" s="823"/>
      <c r="I10" s="292"/>
      <c r="K10" s="273"/>
      <c r="L10" s="273"/>
      <c r="M10" s="274"/>
      <c r="N10" s="282" t="s">
        <v>690</v>
      </c>
      <c r="R10" s="276"/>
      <c r="S10" s="278"/>
      <c r="T10" s="278"/>
      <c r="U10" s="282"/>
      <c r="V10" s="236"/>
      <c r="W10" s="270"/>
    </row>
    <row r="11" spans="1:27" ht="15">
      <c r="A11" s="266"/>
      <c r="C11" s="267"/>
      <c r="E11" s="268"/>
      <c r="F11" s="269"/>
      <c r="G11" s="270"/>
      <c r="H11" s="271"/>
      <c r="I11" s="272"/>
      <c r="J11" s="270"/>
      <c r="K11" s="273"/>
      <c r="L11" s="273"/>
      <c r="M11" s="274"/>
      <c r="N11" s="270"/>
      <c r="R11" s="276"/>
      <c r="S11" s="278"/>
      <c r="T11" s="278"/>
      <c r="U11" s="282"/>
      <c r="V11" s="236"/>
      <c r="W11" s="270"/>
    </row>
    <row r="12" spans="1:27" s="612" customFormat="1" ht="53" customHeight="1">
      <c r="A12" s="617"/>
      <c r="B12" s="743" t="s">
        <v>327</v>
      </c>
      <c r="C12" s="744" t="s">
        <v>328</v>
      </c>
      <c r="D12" s="568" t="s">
        <v>245</v>
      </c>
      <c r="E12" s="567" t="s">
        <v>270</v>
      </c>
      <c r="F12" s="568" t="s">
        <v>25</v>
      </c>
      <c r="G12" s="745" t="s">
        <v>296</v>
      </c>
      <c r="H12" s="567" t="s">
        <v>118</v>
      </c>
      <c r="I12" s="746" t="s">
        <v>53</v>
      </c>
      <c r="J12" s="743" t="s">
        <v>96</v>
      </c>
      <c r="K12" s="725" t="s">
        <v>78</v>
      </c>
      <c r="L12" s="725" t="s">
        <v>50</v>
      </c>
      <c r="M12" s="747" t="s">
        <v>237</v>
      </c>
      <c r="N12" s="748" t="s">
        <v>24</v>
      </c>
      <c r="O12" s="747" t="s">
        <v>244</v>
      </c>
      <c r="P12" s="747" t="s">
        <v>214</v>
      </c>
      <c r="Q12" s="749" t="s">
        <v>234</v>
      </c>
      <c r="R12" s="749" t="s">
        <v>233</v>
      </c>
      <c r="S12" s="750" t="s">
        <v>235</v>
      </c>
      <c r="T12" s="748" t="s">
        <v>232</v>
      </c>
      <c r="U12" s="568" t="s">
        <v>67</v>
      </c>
      <c r="V12" s="751" t="s">
        <v>51</v>
      </c>
      <c r="W12" s="743" t="s">
        <v>236</v>
      </c>
      <c r="X12" s="743" t="s">
        <v>329</v>
      </c>
      <c r="Z12" s="752"/>
      <c r="AA12" s="617"/>
    </row>
    <row r="13" spans="1:27" s="612" customFormat="1" ht="9" hidden="1" customHeight="1">
      <c r="A13" s="617"/>
      <c r="B13" s="753" t="s">
        <v>338</v>
      </c>
      <c r="C13" s="754"/>
      <c r="D13" s="755"/>
      <c r="E13" s="756"/>
      <c r="F13" s="757"/>
      <c r="G13" s="758"/>
      <c r="H13" s="759"/>
      <c r="I13" s="760"/>
      <c r="J13" s="761"/>
      <c r="K13" s="762"/>
      <c r="L13" s="762"/>
      <c r="M13" s="763"/>
      <c r="N13" s="764"/>
      <c r="O13" s="763"/>
      <c r="P13" s="763"/>
      <c r="Q13" s="765"/>
      <c r="R13" s="765"/>
      <c r="S13" s="766"/>
      <c r="T13" s="764"/>
      <c r="U13" s="757"/>
      <c r="V13" s="767"/>
      <c r="W13" s="761"/>
      <c r="X13" s="761"/>
      <c r="Z13" s="752"/>
      <c r="AA13" s="617"/>
    </row>
    <row r="14" spans="1:27" s="489" customFormat="1" ht="15" hidden="1">
      <c r="B14" s="329"/>
      <c r="C14" s="330"/>
      <c r="D14" s="294">
        <f>VLOOKUP(E14,'1.1a-Jaarprijzen'!$B$13:$G$29,6,FALSE)</f>
        <v>3</v>
      </c>
      <c r="E14" s="768" t="s">
        <v>738</v>
      </c>
      <c r="F14" s="294" t="s">
        <v>261</v>
      </c>
      <c r="G14" s="294" t="s">
        <v>667</v>
      </c>
      <c r="H14" s="709" t="s">
        <v>388</v>
      </c>
      <c r="I14" s="296" t="str">
        <f t="shared" ref="I14:I83" si="0">IF($M14="",0,VLOOKUP($M14,Kengetal,4,FALSE))</f>
        <v>entree, gang, hal, repro</v>
      </c>
      <c r="J14" s="294" t="s">
        <v>657</v>
      </c>
      <c r="K14" s="297">
        <v>84</v>
      </c>
      <c r="L14" s="297"/>
      <c r="M14" s="298">
        <v>3200</v>
      </c>
      <c r="N14" s="299">
        <f t="shared" ref="N14:N37" si="1">VLOOKUP(M14,Kengetal,3,FALSE)</f>
        <v>200</v>
      </c>
      <c r="O14" s="483">
        <v>1</v>
      </c>
      <c r="P14" s="483">
        <v>1</v>
      </c>
      <c r="Q14" s="291">
        <f t="shared" ref="Q14:Q37" si="2">S14*K14*O14</f>
        <v>0</v>
      </c>
      <c r="R14" s="291">
        <f t="shared" ref="R14:R37" si="3">T14*K14*P14</f>
        <v>0</v>
      </c>
      <c r="S14" s="300">
        <f t="shared" ref="S14:S29" si="4">IF($M14=0,0,VLOOKUP($M14,Kengetal,6,FALSE))</f>
        <v>0</v>
      </c>
      <c r="T14" s="300">
        <f t="shared" ref="T14:T29" si="5">IF($M14=0,0,VLOOKUP($M14,Kengetal,7,FALSE))</f>
        <v>0</v>
      </c>
      <c r="U14" s="769" t="str">
        <f t="shared" ref="U14:U36" si="6">IF(M14="","",VLOOKUP(M14,Kengetal,14,FALSE))</f>
        <v>V</v>
      </c>
      <c r="V14" s="302"/>
      <c r="W14" s="303">
        <f>(Q14+R14)*'1.0-Contractblad'!$L$37</f>
        <v>0</v>
      </c>
      <c r="X14" s="303">
        <f ca="1">VLOOKUP(E14,'1.1a-Jaarprijzen'!$B$32:$Q$51,16,FALSE)*K14</f>
        <v>0</v>
      </c>
      <c r="Z14" s="771">
        <f t="shared" ref="Z14:Z37" si="7">K14*N14</f>
        <v>16800</v>
      </c>
      <c r="AA14" s="491" t="str">
        <f t="shared" ref="AA14:AA37" si="8">CONCATENATE(M14,"-",N14)</f>
        <v>3200-200</v>
      </c>
    </row>
    <row r="15" spans="1:27" s="489" customFormat="1" ht="15" hidden="1">
      <c r="B15" s="329"/>
      <c r="C15" s="330"/>
      <c r="D15" s="294">
        <f>VLOOKUP(E15,'1.1a-Jaarprijzen'!$B$13:$G$29,6,FALSE)</f>
        <v>3</v>
      </c>
      <c r="E15" s="768" t="s">
        <v>738</v>
      </c>
      <c r="F15" s="294" t="s">
        <v>261</v>
      </c>
      <c r="G15" s="294" t="s">
        <v>739</v>
      </c>
      <c r="H15" s="709" t="s">
        <v>646</v>
      </c>
      <c r="I15" s="296" t="str">
        <f t="shared" si="0"/>
        <v>leslokaal groep 1 t/m 3</v>
      </c>
      <c r="J15" s="294" t="s">
        <v>657</v>
      </c>
      <c r="K15" s="297">
        <v>55</v>
      </c>
      <c r="L15" s="297"/>
      <c r="M15" s="298">
        <v>7200</v>
      </c>
      <c r="N15" s="299">
        <f t="shared" si="1"/>
        <v>200</v>
      </c>
      <c r="O15" s="483">
        <v>1</v>
      </c>
      <c r="P15" s="483">
        <v>1</v>
      </c>
      <c r="Q15" s="291">
        <f t="shared" si="2"/>
        <v>0</v>
      </c>
      <c r="R15" s="291">
        <f t="shared" si="3"/>
        <v>0</v>
      </c>
      <c r="S15" s="300">
        <f t="shared" si="4"/>
        <v>0</v>
      </c>
      <c r="T15" s="300">
        <f t="shared" si="5"/>
        <v>0</v>
      </c>
      <c r="U15" s="769" t="str">
        <f t="shared" si="6"/>
        <v>L</v>
      </c>
      <c r="V15" s="302"/>
      <c r="W15" s="303">
        <f>(Q15+R15)*'1.0-Contractblad'!$L$37</f>
        <v>0</v>
      </c>
      <c r="X15" s="303">
        <f ca="1">VLOOKUP(E15,'1.1a-Jaarprijzen'!$B$32:$Q$51,16,FALSE)*K15</f>
        <v>0</v>
      </c>
      <c r="Z15" s="771">
        <f t="shared" si="7"/>
        <v>11000</v>
      </c>
      <c r="AA15" s="491" t="str">
        <f t="shared" si="8"/>
        <v>7200-200</v>
      </c>
    </row>
    <row r="16" spans="1:27" s="489" customFormat="1" ht="15" hidden="1">
      <c r="B16" s="329"/>
      <c r="C16" s="330"/>
      <c r="D16" s="294">
        <f>VLOOKUP(E16,'1.1a-Jaarprijzen'!$B$13:$G$29,6,FALSE)</f>
        <v>3</v>
      </c>
      <c r="E16" s="768" t="s">
        <v>738</v>
      </c>
      <c r="F16" s="294" t="s">
        <v>261</v>
      </c>
      <c r="G16" s="294" t="s">
        <v>740</v>
      </c>
      <c r="H16" s="709" t="s">
        <v>646</v>
      </c>
      <c r="I16" s="296" t="str">
        <f t="shared" si="0"/>
        <v>leslokaal groep 1 t/m 3</v>
      </c>
      <c r="J16" s="294" t="s">
        <v>657</v>
      </c>
      <c r="K16" s="297">
        <v>55</v>
      </c>
      <c r="L16" s="297"/>
      <c r="M16" s="298">
        <v>7200</v>
      </c>
      <c r="N16" s="299">
        <f t="shared" si="1"/>
        <v>200</v>
      </c>
      <c r="O16" s="483">
        <v>1</v>
      </c>
      <c r="P16" s="483">
        <v>1</v>
      </c>
      <c r="Q16" s="291">
        <f t="shared" si="2"/>
        <v>0</v>
      </c>
      <c r="R16" s="291">
        <f t="shared" si="3"/>
        <v>0</v>
      </c>
      <c r="S16" s="300">
        <f t="shared" si="4"/>
        <v>0</v>
      </c>
      <c r="T16" s="300">
        <f t="shared" si="5"/>
        <v>0</v>
      </c>
      <c r="U16" s="769" t="str">
        <f t="shared" si="6"/>
        <v>L</v>
      </c>
      <c r="V16" s="302"/>
      <c r="W16" s="303">
        <f>(Q16+R16)*'1.0-Contractblad'!$L$37</f>
        <v>0</v>
      </c>
      <c r="X16" s="303">
        <f ca="1">VLOOKUP(E16,'1.1a-Jaarprijzen'!$B$32:$Q$51,16,FALSE)*K16</f>
        <v>0</v>
      </c>
      <c r="Z16" s="771">
        <f t="shared" si="7"/>
        <v>11000</v>
      </c>
      <c r="AA16" s="491" t="str">
        <f t="shared" si="8"/>
        <v>7200-200</v>
      </c>
    </row>
    <row r="17" spans="2:27" s="489" customFormat="1" ht="15" hidden="1">
      <c r="B17" s="329"/>
      <c r="C17" s="330"/>
      <c r="D17" s="294">
        <f>VLOOKUP(E17,'1.1a-Jaarprijzen'!$B$13:$G$29,6,FALSE)</f>
        <v>3</v>
      </c>
      <c r="E17" s="768" t="s">
        <v>738</v>
      </c>
      <c r="F17" s="294" t="s">
        <v>261</v>
      </c>
      <c r="G17" s="294" t="s">
        <v>741</v>
      </c>
      <c r="H17" s="709" t="s">
        <v>477</v>
      </c>
      <c r="I17" s="296" t="str">
        <f t="shared" si="0"/>
        <v>sanitaire ruimte (toilet-/doucheruimte)</v>
      </c>
      <c r="J17" s="294" t="s">
        <v>658</v>
      </c>
      <c r="K17" s="297">
        <v>8</v>
      </c>
      <c r="L17" s="297"/>
      <c r="M17" s="298">
        <v>4200</v>
      </c>
      <c r="N17" s="299">
        <f t="shared" si="1"/>
        <v>200</v>
      </c>
      <c r="O17" s="483">
        <v>1</v>
      </c>
      <c r="P17" s="483">
        <v>1</v>
      </c>
      <c r="Q17" s="291">
        <f t="shared" si="2"/>
        <v>0</v>
      </c>
      <c r="R17" s="291">
        <f t="shared" si="3"/>
        <v>0</v>
      </c>
      <c r="S17" s="300">
        <f t="shared" si="4"/>
        <v>0</v>
      </c>
      <c r="T17" s="300">
        <f t="shared" si="5"/>
        <v>0</v>
      </c>
      <c r="U17" s="769" t="str">
        <f t="shared" si="6"/>
        <v>S</v>
      </c>
      <c r="V17" s="302"/>
      <c r="W17" s="303">
        <f>(Q17+R17)*'1.0-Contractblad'!$L$37</f>
        <v>0</v>
      </c>
      <c r="X17" s="303">
        <f ca="1">VLOOKUP(E17,'1.1a-Jaarprijzen'!$B$32:$Q$51,16,FALSE)*K17</f>
        <v>0</v>
      </c>
      <c r="Z17" s="771">
        <f t="shared" si="7"/>
        <v>1600</v>
      </c>
      <c r="AA17" s="491" t="str">
        <f t="shared" si="8"/>
        <v>4200-200</v>
      </c>
    </row>
    <row r="18" spans="2:27" s="489" customFormat="1" ht="15" hidden="1">
      <c r="B18" s="329"/>
      <c r="C18" s="330"/>
      <c r="D18" s="294">
        <f>VLOOKUP(E18,'1.1a-Jaarprijzen'!$B$13:$G$29,6,FALSE)</f>
        <v>3</v>
      </c>
      <c r="E18" s="768" t="s">
        <v>738</v>
      </c>
      <c r="F18" s="294" t="s">
        <v>261</v>
      </c>
      <c r="G18" s="294" t="s">
        <v>742</v>
      </c>
      <c r="H18" s="709" t="s">
        <v>968</v>
      </c>
      <c r="I18" s="296" t="str">
        <f t="shared" si="0"/>
        <v>administratieve -,  vergaderruimte</v>
      </c>
      <c r="J18" s="294" t="s">
        <v>657</v>
      </c>
      <c r="K18" s="297">
        <v>10</v>
      </c>
      <c r="L18" s="297"/>
      <c r="M18" s="298">
        <v>1040</v>
      </c>
      <c r="N18" s="299">
        <f t="shared" si="1"/>
        <v>40</v>
      </c>
      <c r="O18" s="483">
        <v>1</v>
      </c>
      <c r="P18" s="483">
        <v>1</v>
      </c>
      <c r="Q18" s="291">
        <f t="shared" si="2"/>
        <v>0</v>
      </c>
      <c r="R18" s="291">
        <f t="shared" si="3"/>
        <v>0</v>
      </c>
      <c r="S18" s="300">
        <f t="shared" si="4"/>
        <v>0</v>
      </c>
      <c r="T18" s="300">
        <f t="shared" si="5"/>
        <v>0</v>
      </c>
      <c r="U18" s="769" t="str">
        <f t="shared" si="6"/>
        <v>V</v>
      </c>
      <c r="V18" s="302"/>
      <c r="W18" s="303">
        <f>(Q18+R18)*'1.0-Contractblad'!$L$37</f>
        <v>0</v>
      </c>
      <c r="X18" s="303">
        <f ca="1">VLOOKUP(E18,'1.1a-Jaarprijzen'!$B$32:$Q$51,16,FALSE)*K18</f>
        <v>0</v>
      </c>
      <c r="Z18" s="771">
        <f t="shared" si="7"/>
        <v>400</v>
      </c>
      <c r="AA18" s="491" t="str">
        <f t="shared" si="8"/>
        <v>1040-40</v>
      </c>
    </row>
    <row r="19" spans="2:27" s="489" customFormat="1" ht="15" hidden="1">
      <c r="B19" s="329"/>
      <c r="C19" s="330"/>
      <c r="D19" s="294">
        <f>VLOOKUP(E19,'1.1a-Jaarprijzen'!$B$13:$G$29,6,FALSE)</f>
        <v>3</v>
      </c>
      <c r="E19" s="768" t="s">
        <v>738</v>
      </c>
      <c r="F19" s="294" t="s">
        <v>572</v>
      </c>
      <c r="G19" s="294" t="s">
        <v>652</v>
      </c>
      <c r="H19" s="709" t="s">
        <v>397</v>
      </c>
      <c r="I19" s="296" t="str">
        <f t="shared" si="0"/>
        <v>aula, gemeenschappelijke ruimte, bibliotheek</v>
      </c>
      <c r="J19" s="294" t="s">
        <v>48</v>
      </c>
      <c r="K19" s="297">
        <v>312</v>
      </c>
      <c r="L19" s="297"/>
      <c r="M19" s="298">
        <v>2200</v>
      </c>
      <c r="N19" s="299">
        <f t="shared" si="1"/>
        <v>200</v>
      </c>
      <c r="O19" s="483">
        <v>1</v>
      </c>
      <c r="P19" s="483">
        <v>1</v>
      </c>
      <c r="Q19" s="291">
        <f t="shared" si="2"/>
        <v>0</v>
      </c>
      <c r="R19" s="291">
        <f t="shared" si="3"/>
        <v>0</v>
      </c>
      <c r="S19" s="300">
        <f t="shared" si="4"/>
        <v>0</v>
      </c>
      <c r="T19" s="300">
        <f t="shared" si="5"/>
        <v>0</v>
      </c>
      <c r="U19" s="769" t="str">
        <f t="shared" si="6"/>
        <v>V</v>
      </c>
      <c r="V19" s="302" t="s">
        <v>1028</v>
      </c>
      <c r="W19" s="303">
        <f>(Q19+R19)*'1.0-Contractblad'!$L$37</f>
        <v>0</v>
      </c>
      <c r="X19" s="303">
        <f ca="1">VLOOKUP(E19,'1.1a-Jaarprijzen'!$B$32:$Q$51,16,FALSE)*K19</f>
        <v>0</v>
      </c>
      <c r="Z19" s="771">
        <f t="shared" si="7"/>
        <v>62400</v>
      </c>
      <c r="AA19" s="491" t="str">
        <f t="shared" si="8"/>
        <v>2200-200</v>
      </c>
    </row>
    <row r="20" spans="2:27" s="489" customFormat="1" ht="15" hidden="1">
      <c r="B20" s="329"/>
      <c r="C20" s="330"/>
      <c r="D20" s="294">
        <f>VLOOKUP(E20,'1.1a-Jaarprijzen'!$B$13:$G$29,6,FALSE)</f>
        <v>3</v>
      </c>
      <c r="E20" s="785" t="s">
        <v>738</v>
      </c>
      <c r="F20" s="294" t="s">
        <v>572</v>
      </c>
      <c r="G20" s="294" t="s">
        <v>510</v>
      </c>
      <c r="H20" s="709" t="s">
        <v>394</v>
      </c>
      <c r="I20" s="296" t="str">
        <f t="shared" si="0"/>
        <v>entree, gang, hal, repro</v>
      </c>
      <c r="J20" s="294" t="s">
        <v>656</v>
      </c>
      <c r="K20" s="297">
        <v>27</v>
      </c>
      <c r="L20" s="297"/>
      <c r="M20" s="298">
        <v>3260</v>
      </c>
      <c r="N20" s="299">
        <f t="shared" si="1"/>
        <v>260</v>
      </c>
      <c r="O20" s="483">
        <v>1</v>
      </c>
      <c r="P20" s="483">
        <v>1</v>
      </c>
      <c r="Q20" s="291">
        <f t="shared" si="2"/>
        <v>0</v>
      </c>
      <c r="R20" s="291">
        <f t="shared" si="3"/>
        <v>0</v>
      </c>
      <c r="S20" s="300">
        <f t="shared" si="4"/>
        <v>0</v>
      </c>
      <c r="T20" s="300">
        <f t="shared" si="5"/>
        <v>0</v>
      </c>
      <c r="U20" s="769" t="str">
        <f t="shared" si="6"/>
        <v>V</v>
      </c>
      <c r="V20" s="302" t="s">
        <v>1029</v>
      </c>
      <c r="W20" s="303">
        <f>(Q20+R20)*'1.0-Contractblad'!$L$37</f>
        <v>0</v>
      </c>
      <c r="X20" s="303">
        <f ca="1">VLOOKUP(E20,'1.1a-Jaarprijzen'!$B$32:$Q$51,16,FALSE)*K20</f>
        <v>0</v>
      </c>
      <c r="Z20" s="771">
        <f t="shared" si="7"/>
        <v>7020</v>
      </c>
      <c r="AA20" s="491" t="str">
        <f t="shared" si="8"/>
        <v>3260-260</v>
      </c>
    </row>
    <row r="21" spans="2:27" s="489" customFormat="1" ht="15" hidden="1">
      <c r="B21" s="329"/>
      <c r="C21" s="330"/>
      <c r="D21" s="294">
        <f>VLOOKUP(E21,'1.1a-Jaarprijzen'!$B$13:$G$29,6,FALSE)</f>
        <v>3</v>
      </c>
      <c r="E21" s="768" t="s">
        <v>738</v>
      </c>
      <c r="F21" s="294" t="s">
        <v>572</v>
      </c>
      <c r="G21" s="294" t="s">
        <v>511</v>
      </c>
      <c r="H21" s="709" t="s">
        <v>969</v>
      </c>
      <c r="I21" s="296" t="str">
        <f t="shared" si="0"/>
        <v>entree, gang, hal, repro</v>
      </c>
      <c r="J21" s="294" t="s">
        <v>656</v>
      </c>
      <c r="K21" s="297">
        <v>12</v>
      </c>
      <c r="L21" s="297"/>
      <c r="M21" s="298">
        <v>3200</v>
      </c>
      <c r="N21" s="299">
        <f t="shared" si="1"/>
        <v>200</v>
      </c>
      <c r="O21" s="483">
        <v>1</v>
      </c>
      <c r="P21" s="483">
        <v>1</v>
      </c>
      <c r="Q21" s="291">
        <f t="shared" si="2"/>
        <v>0</v>
      </c>
      <c r="R21" s="291">
        <f t="shared" si="3"/>
        <v>0</v>
      </c>
      <c r="S21" s="300">
        <f t="shared" si="4"/>
        <v>0</v>
      </c>
      <c r="T21" s="300">
        <f t="shared" si="5"/>
        <v>0</v>
      </c>
      <c r="U21" s="769" t="str">
        <f t="shared" si="6"/>
        <v>V</v>
      </c>
      <c r="V21" s="302" t="s">
        <v>1030</v>
      </c>
      <c r="W21" s="303">
        <f>(Q21+R21)*'1.0-Contractblad'!$L$37</f>
        <v>0</v>
      </c>
      <c r="X21" s="303">
        <f ca="1">VLOOKUP(E21,'1.1a-Jaarprijzen'!$B$32:$Q$51,16,FALSE)*K21</f>
        <v>0</v>
      </c>
      <c r="Z21" s="771">
        <f t="shared" si="7"/>
        <v>2400</v>
      </c>
      <c r="AA21" s="491" t="str">
        <f t="shared" si="8"/>
        <v>3200-200</v>
      </c>
    </row>
    <row r="22" spans="2:27" s="489" customFormat="1" ht="15" hidden="1">
      <c r="B22" s="329"/>
      <c r="C22" s="330"/>
      <c r="D22" s="294">
        <f>VLOOKUP(E22,'1.1a-Jaarprijzen'!$B$13:$G$29,6,FALSE)</f>
        <v>3</v>
      </c>
      <c r="E22" s="768" t="s">
        <v>738</v>
      </c>
      <c r="F22" s="294" t="s">
        <v>572</v>
      </c>
      <c r="G22" s="294" t="s">
        <v>512</v>
      </c>
      <c r="H22" s="709" t="s">
        <v>394</v>
      </c>
      <c r="I22" s="296" t="str">
        <f t="shared" si="0"/>
        <v>entree, gang, hal, repro</v>
      </c>
      <c r="J22" s="294" t="s">
        <v>656</v>
      </c>
      <c r="K22" s="297">
        <v>5</v>
      </c>
      <c r="L22" s="297"/>
      <c r="M22" s="298">
        <v>3200</v>
      </c>
      <c r="N22" s="299">
        <f t="shared" si="1"/>
        <v>200</v>
      </c>
      <c r="O22" s="483">
        <v>1</v>
      </c>
      <c r="P22" s="483">
        <v>1</v>
      </c>
      <c r="Q22" s="291">
        <f t="shared" si="2"/>
        <v>0</v>
      </c>
      <c r="R22" s="291">
        <f t="shared" si="3"/>
        <v>0</v>
      </c>
      <c r="S22" s="300">
        <f t="shared" si="4"/>
        <v>0</v>
      </c>
      <c r="T22" s="300">
        <f t="shared" si="5"/>
        <v>0</v>
      </c>
      <c r="U22" s="769" t="str">
        <f t="shared" si="6"/>
        <v>V</v>
      </c>
      <c r="V22" s="302"/>
      <c r="W22" s="303">
        <f>(Q22+R22)*'1.0-Contractblad'!$L$37</f>
        <v>0</v>
      </c>
      <c r="X22" s="303">
        <f ca="1">VLOOKUP(E22,'1.1a-Jaarprijzen'!$B$32:$Q$51,16,FALSE)*K22</f>
        <v>0</v>
      </c>
      <c r="Z22" s="771">
        <f t="shared" si="7"/>
        <v>1000</v>
      </c>
      <c r="AA22" s="491" t="str">
        <f t="shared" si="8"/>
        <v>3200-200</v>
      </c>
    </row>
    <row r="23" spans="2:27" s="489" customFormat="1" ht="15" hidden="1">
      <c r="B23" s="329"/>
      <c r="C23" s="330"/>
      <c r="D23" s="294">
        <f>VLOOKUP(E23,'1.1a-Jaarprijzen'!$B$13:$G$29,6,FALSE)</f>
        <v>3</v>
      </c>
      <c r="E23" s="768" t="s">
        <v>738</v>
      </c>
      <c r="F23" s="294" t="s">
        <v>572</v>
      </c>
      <c r="G23" s="294" t="s">
        <v>733</v>
      </c>
      <c r="H23" s="709" t="s">
        <v>394</v>
      </c>
      <c r="I23" s="296" t="str">
        <f t="shared" si="0"/>
        <v>entree, gang, hal, repro</v>
      </c>
      <c r="J23" s="294" t="s">
        <v>656</v>
      </c>
      <c r="K23" s="297">
        <v>5</v>
      </c>
      <c r="L23" s="297"/>
      <c r="M23" s="298">
        <v>3200</v>
      </c>
      <c r="N23" s="299">
        <f t="shared" si="1"/>
        <v>200</v>
      </c>
      <c r="O23" s="483">
        <v>1</v>
      </c>
      <c r="P23" s="483">
        <v>1</v>
      </c>
      <c r="Q23" s="291">
        <f t="shared" si="2"/>
        <v>0</v>
      </c>
      <c r="R23" s="291">
        <f t="shared" si="3"/>
        <v>0</v>
      </c>
      <c r="S23" s="300">
        <f t="shared" si="4"/>
        <v>0</v>
      </c>
      <c r="T23" s="300">
        <f t="shared" si="5"/>
        <v>0</v>
      </c>
      <c r="U23" s="769" t="str">
        <f t="shared" si="6"/>
        <v>V</v>
      </c>
      <c r="V23" s="302"/>
      <c r="W23" s="303">
        <f>(Q23+R23)*'1.0-Contractblad'!$L$37</f>
        <v>0</v>
      </c>
      <c r="X23" s="303">
        <f ca="1">VLOOKUP(E23,'1.1a-Jaarprijzen'!$B$32:$Q$51,16,FALSE)*K23</f>
        <v>0</v>
      </c>
      <c r="Z23" s="771">
        <f t="shared" si="7"/>
        <v>1000</v>
      </c>
      <c r="AA23" s="491" t="str">
        <f t="shared" si="8"/>
        <v>3200-200</v>
      </c>
    </row>
    <row r="24" spans="2:27" s="489" customFormat="1" ht="15" hidden="1">
      <c r="B24" s="329"/>
      <c r="C24" s="330"/>
      <c r="D24" s="294">
        <f>VLOOKUP(E24,'1.1a-Jaarprijzen'!$B$13:$G$29,6,FALSE)</f>
        <v>3</v>
      </c>
      <c r="E24" s="768" t="s">
        <v>738</v>
      </c>
      <c r="F24" s="294" t="s">
        <v>572</v>
      </c>
      <c r="G24" s="294" t="s">
        <v>513</v>
      </c>
      <c r="H24" s="709" t="s">
        <v>388</v>
      </c>
      <c r="I24" s="296" t="str">
        <f t="shared" si="0"/>
        <v>entree, gang, hal, repro</v>
      </c>
      <c r="J24" s="294" t="s">
        <v>657</v>
      </c>
      <c r="K24" s="297">
        <v>83</v>
      </c>
      <c r="L24" s="297"/>
      <c r="M24" s="298">
        <v>3200</v>
      </c>
      <c r="N24" s="299">
        <f t="shared" si="1"/>
        <v>200</v>
      </c>
      <c r="O24" s="483">
        <v>1</v>
      </c>
      <c r="P24" s="483">
        <v>1</v>
      </c>
      <c r="Q24" s="291">
        <f t="shared" si="2"/>
        <v>0</v>
      </c>
      <c r="R24" s="291">
        <f t="shared" si="3"/>
        <v>0</v>
      </c>
      <c r="S24" s="300">
        <f t="shared" si="4"/>
        <v>0</v>
      </c>
      <c r="T24" s="300">
        <f t="shared" si="5"/>
        <v>0</v>
      </c>
      <c r="U24" s="769" t="str">
        <f t="shared" si="6"/>
        <v>V</v>
      </c>
      <c r="V24" s="302"/>
      <c r="W24" s="303">
        <f>(Q24+R24)*'1.0-Contractblad'!$L$37</f>
        <v>0</v>
      </c>
      <c r="X24" s="303">
        <f ca="1">VLOOKUP(E24,'1.1a-Jaarprijzen'!$B$32:$Q$51,16,FALSE)*K24</f>
        <v>0</v>
      </c>
      <c r="Z24" s="771">
        <f t="shared" si="7"/>
        <v>16600</v>
      </c>
      <c r="AA24" s="491" t="str">
        <f t="shared" si="8"/>
        <v>3200-200</v>
      </c>
    </row>
    <row r="25" spans="2:27" s="489" customFormat="1" ht="15" hidden="1">
      <c r="B25" s="329"/>
      <c r="C25" s="330"/>
      <c r="D25" s="294">
        <f>VLOOKUP(E25,'1.1a-Jaarprijzen'!$B$13:$G$29,6,FALSE)</f>
        <v>3</v>
      </c>
      <c r="E25" s="768" t="s">
        <v>738</v>
      </c>
      <c r="F25" s="294" t="s">
        <v>572</v>
      </c>
      <c r="G25" s="294" t="s">
        <v>514</v>
      </c>
      <c r="H25" s="709" t="s">
        <v>970</v>
      </c>
      <c r="I25" s="296" t="str">
        <f t="shared" si="0"/>
        <v>entree, gang, hal, repro</v>
      </c>
      <c r="J25" s="294" t="s">
        <v>657</v>
      </c>
      <c r="K25" s="297">
        <v>59</v>
      </c>
      <c r="L25" s="297"/>
      <c r="M25" s="298">
        <v>3200</v>
      </c>
      <c r="N25" s="299">
        <f t="shared" si="1"/>
        <v>200</v>
      </c>
      <c r="O25" s="483">
        <v>1</v>
      </c>
      <c r="P25" s="483">
        <v>1</v>
      </c>
      <c r="Q25" s="291">
        <f t="shared" si="2"/>
        <v>0</v>
      </c>
      <c r="R25" s="291">
        <f t="shared" si="3"/>
        <v>0</v>
      </c>
      <c r="S25" s="300">
        <f t="shared" si="4"/>
        <v>0</v>
      </c>
      <c r="T25" s="300">
        <f t="shared" si="5"/>
        <v>0</v>
      </c>
      <c r="U25" s="769" t="str">
        <f t="shared" si="6"/>
        <v>V</v>
      </c>
      <c r="V25" s="302" t="s">
        <v>1030</v>
      </c>
      <c r="W25" s="303">
        <f>(Q25+R25)*'1.0-Contractblad'!$L$37</f>
        <v>0</v>
      </c>
      <c r="X25" s="303">
        <f ca="1">VLOOKUP(E25,'1.1a-Jaarprijzen'!$B$32:$Q$51,16,FALSE)*K25</f>
        <v>0</v>
      </c>
      <c r="Z25" s="771">
        <f t="shared" si="7"/>
        <v>11800</v>
      </c>
      <c r="AA25" s="491" t="str">
        <f t="shared" si="8"/>
        <v>3200-200</v>
      </c>
    </row>
    <row r="26" spans="2:27" s="489" customFormat="1" ht="15" hidden="1">
      <c r="B26" s="329"/>
      <c r="C26" s="330"/>
      <c r="D26" s="294">
        <f>VLOOKUP(E26,'1.1a-Jaarprijzen'!$B$13:$G$29,6,FALSE)</f>
        <v>3</v>
      </c>
      <c r="E26" s="768" t="s">
        <v>738</v>
      </c>
      <c r="F26" s="294" t="s">
        <v>572</v>
      </c>
      <c r="G26" s="294" t="s">
        <v>515</v>
      </c>
      <c r="H26" s="709" t="s">
        <v>971</v>
      </c>
      <c r="I26" s="296" t="str">
        <f t="shared" si="0"/>
        <v>entree, gang, hal, repro</v>
      </c>
      <c r="J26" s="294" t="s">
        <v>657</v>
      </c>
      <c r="K26" s="297">
        <v>63.55</v>
      </c>
      <c r="L26" s="297"/>
      <c r="M26" s="298">
        <v>3200</v>
      </c>
      <c r="N26" s="299">
        <f t="shared" si="1"/>
        <v>200</v>
      </c>
      <c r="O26" s="483">
        <v>1</v>
      </c>
      <c r="P26" s="483">
        <v>1</v>
      </c>
      <c r="Q26" s="291">
        <f t="shared" si="2"/>
        <v>0</v>
      </c>
      <c r="R26" s="291">
        <f t="shared" si="3"/>
        <v>0</v>
      </c>
      <c r="S26" s="300">
        <f t="shared" si="4"/>
        <v>0</v>
      </c>
      <c r="T26" s="300">
        <f t="shared" si="5"/>
        <v>0</v>
      </c>
      <c r="U26" s="769" t="str">
        <f t="shared" si="6"/>
        <v>V</v>
      </c>
      <c r="V26" s="302" t="s">
        <v>1030</v>
      </c>
      <c r="W26" s="303">
        <f>(Q26+R26)*'1.0-Contractblad'!$L$37</f>
        <v>0</v>
      </c>
      <c r="X26" s="303">
        <f ca="1">VLOOKUP(E26,'1.1a-Jaarprijzen'!$B$32:$Q$51,16,FALSE)*K26</f>
        <v>0</v>
      </c>
      <c r="Z26" s="771">
        <f t="shared" si="7"/>
        <v>12710</v>
      </c>
      <c r="AA26" s="491" t="str">
        <f t="shared" si="8"/>
        <v>3200-200</v>
      </c>
    </row>
    <row r="27" spans="2:27" s="489" customFormat="1" ht="15" hidden="1">
      <c r="B27" s="329"/>
      <c r="C27" s="330"/>
      <c r="D27" s="294">
        <f>VLOOKUP(E27,'1.1a-Jaarprijzen'!$B$13:$G$29,6,FALSE)</f>
        <v>3</v>
      </c>
      <c r="E27" s="768" t="s">
        <v>738</v>
      </c>
      <c r="F27" s="294" t="s">
        <v>572</v>
      </c>
      <c r="G27" s="294" t="s">
        <v>489</v>
      </c>
      <c r="H27" s="709" t="s">
        <v>646</v>
      </c>
      <c r="I27" s="296" t="str">
        <f t="shared" si="0"/>
        <v>leslokaal groep 1 t/m 3</v>
      </c>
      <c r="J27" s="294" t="s">
        <v>747</v>
      </c>
      <c r="K27" s="297">
        <v>56</v>
      </c>
      <c r="L27" s="297"/>
      <c r="M27" s="298">
        <v>7200</v>
      </c>
      <c r="N27" s="299">
        <f t="shared" si="1"/>
        <v>200</v>
      </c>
      <c r="O27" s="483">
        <v>1</v>
      </c>
      <c r="P27" s="483">
        <v>1</v>
      </c>
      <c r="Q27" s="291">
        <f t="shared" si="2"/>
        <v>0</v>
      </c>
      <c r="R27" s="291">
        <f t="shared" si="3"/>
        <v>0</v>
      </c>
      <c r="S27" s="300">
        <f t="shared" si="4"/>
        <v>0</v>
      </c>
      <c r="T27" s="300">
        <f t="shared" si="5"/>
        <v>0</v>
      </c>
      <c r="U27" s="769" t="str">
        <f t="shared" si="6"/>
        <v>L</v>
      </c>
      <c r="V27" s="302"/>
      <c r="W27" s="303">
        <f>(Q27+R27)*'1.0-Contractblad'!$L$37</f>
        <v>0</v>
      </c>
      <c r="X27" s="303">
        <f ca="1">VLOOKUP(E27,'1.1a-Jaarprijzen'!$B$32:$Q$51,16,FALSE)*K27</f>
        <v>0</v>
      </c>
      <c r="Z27" s="771">
        <f t="shared" si="7"/>
        <v>11200</v>
      </c>
      <c r="AA27" s="491" t="str">
        <f t="shared" si="8"/>
        <v>7200-200</v>
      </c>
    </row>
    <row r="28" spans="2:27" s="489" customFormat="1" ht="15" hidden="1">
      <c r="B28" s="329"/>
      <c r="C28" s="330"/>
      <c r="D28" s="294">
        <f>VLOOKUP(E28,'1.1a-Jaarprijzen'!$B$13:$G$29,6,FALSE)</f>
        <v>3</v>
      </c>
      <c r="E28" s="768" t="s">
        <v>738</v>
      </c>
      <c r="F28" s="294" t="s">
        <v>572</v>
      </c>
      <c r="G28" s="294" t="s">
        <v>490</v>
      </c>
      <c r="H28" s="709" t="s">
        <v>646</v>
      </c>
      <c r="I28" s="296" t="str">
        <f t="shared" si="0"/>
        <v>leslokaal/bevo/handvaardigheid</v>
      </c>
      <c r="J28" s="294" t="s">
        <v>747</v>
      </c>
      <c r="K28" s="297">
        <v>55</v>
      </c>
      <c r="L28" s="297"/>
      <c r="M28" s="298">
        <v>7040</v>
      </c>
      <c r="N28" s="299">
        <f t="shared" si="1"/>
        <v>40</v>
      </c>
      <c r="O28" s="483">
        <v>1</v>
      </c>
      <c r="P28" s="483">
        <v>1</v>
      </c>
      <c r="Q28" s="291">
        <f t="shared" si="2"/>
        <v>0</v>
      </c>
      <c r="R28" s="291">
        <f t="shared" si="3"/>
        <v>0</v>
      </c>
      <c r="S28" s="300">
        <f t="shared" si="4"/>
        <v>0</v>
      </c>
      <c r="T28" s="300">
        <f t="shared" si="5"/>
        <v>0</v>
      </c>
      <c r="U28" s="769" t="str">
        <f t="shared" si="6"/>
        <v>L</v>
      </c>
      <c r="V28" s="302"/>
      <c r="W28" s="303">
        <f>(Q28+R28)*'1.0-Contractblad'!$L$37</f>
        <v>0</v>
      </c>
      <c r="X28" s="303">
        <f ca="1">VLOOKUP(E28,'1.1a-Jaarprijzen'!$B$32:$Q$51,16,FALSE)*K28</f>
        <v>0</v>
      </c>
      <c r="Z28" s="771">
        <f t="shared" si="7"/>
        <v>2200</v>
      </c>
      <c r="AA28" s="491" t="str">
        <f t="shared" si="8"/>
        <v>7040-40</v>
      </c>
    </row>
    <row r="29" spans="2:27" s="489" customFormat="1" ht="15" hidden="1">
      <c r="B29" s="329"/>
      <c r="C29" s="330"/>
      <c r="D29" s="294">
        <f>VLOOKUP(E29,'1.1a-Jaarprijzen'!$B$13:$G$29,6,FALSE)</f>
        <v>3</v>
      </c>
      <c r="E29" s="768" t="s">
        <v>738</v>
      </c>
      <c r="F29" s="294" t="s">
        <v>572</v>
      </c>
      <c r="G29" s="294" t="s">
        <v>491</v>
      </c>
      <c r="H29" s="709" t="s">
        <v>972</v>
      </c>
      <c r="I29" s="296" t="str">
        <f t="shared" si="0"/>
        <v>leslokaal/leerplein groep 4 t/m 8</v>
      </c>
      <c r="J29" s="294" t="s">
        <v>657</v>
      </c>
      <c r="K29" s="297">
        <v>55</v>
      </c>
      <c r="L29" s="297"/>
      <c r="M29" s="298">
        <v>18200</v>
      </c>
      <c r="N29" s="299">
        <f t="shared" si="1"/>
        <v>200</v>
      </c>
      <c r="O29" s="483">
        <v>1</v>
      </c>
      <c r="P29" s="483">
        <v>1</v>
      </c>
      <c r="Q29" s="291">
        <f t="shared" si="2"/>
        <v>0</v>
      </c>
      <c r="R29" s="291">
        <f t="shared" si="3"/>
        <v>0</v>
      </c>
      <c r="S29" s="300">
        <f t="shared" si="4"/>
        <v>0</v>
      </c>
      <c r="T29" s="300">
        <f t="shared" si="5"/>
        <v>0</v>
      </c>
      <c r="U29" s="769" t="str">
        <f t="shared" si="6"/>
        <v>L</v>
      </c>
      <c r="V29" s="302" t="s">
        <v>1030</v>
      </c>
      <c r="W29" s="303">
        <f>(Q29+R29)*'1.0-Contractblad'!$L$37</f>
        <v>0</v>
      </c>
      <c r="X29" s="303">
        <f ca="1">VLOOKUP(E29,'1.1a-Jaarprijzen'!$B$32:$Q$51,16,FALSE)*K29</f>
        <v>0</v>
      </c>
      <c r="Z29" s="771">
        <f t="shared" si="7"/>
        <v>11000</v>
      </c>
      <c r="AA29" s="491" t="str">
        <f t="shared" si="8"/>
        <v>18200-200</v>
      </c>
    </row>
    <row r="30" spans="2:27" s="489" customFormat="1" ht="15" hidden="1">
      <c r="B30" s="329"/>
      <c r="C30" s="330"/>
      <c r="D30" s="294">
        <f>VLOOKUP(E30,'1.1a-Jaarprijzen'!$B$13:$G$29,6,FALSE)</f>
        <v>3</v>
      </c>
      <c r="E30" s="768" t="s">
        <v>738</v>
      </c>
      <c r="F30" s="294" t="s">
        <v>572</v>
      </c>
      <c r="G30" s="294" t="s">
        <v>492</v>
      </c>
      <c r="H30" s="709" t="s">
        <v>972</v>
      </c>
      <c r="I30" s="296" t="str">
        <f t="shared" si="0"/>
        <v>leslokaal/leerplein groep 4 t/m 8</v>
      </c>
      <c r="J30" s="294" t="s">
        <v>657</v>
      </c>
      <c r="K30" s="297">
        <v>55</v>
      </c>
      <c r="L30" s="297"/>
      <c r="M30" s="298">
        <v>18200</v>
      </c>
      <c r="N30" s="299">
        <f t="shared" si="1"/>
        <v>200</v>
      </c>
      <c r="O30" s="483">
        <v>1</v>
      </c>
      <c r="P30" s="483">
        <v>1</v>
      </c>
      <c r="Q30" s="291">
        <f t="shared" si="2"/>
        <v>0</v>
      </c>
      <c r="R30" s="291">
        <f t="shared" si="3"/>
        <v>0</v>
      </c>
      <c r="S30" s="300">
        <f t="shared" ref="S30:S93" si="9">IF($M30=0,0,VLOOKUP($M30,Kengetal,6,FALSE))</f>
        <v>0</v>
      </c>
      <c r="T30" s="300">
        <f t="shared" ref="T30:T93" si="10">IF($M30=0,0,VLOOKUP($M30,Kengetal,7,FALSE))</f>
        <v>0</v>
      </c>
      <c r="U30" s="769" t="str">
        <f t="shared" si="6"/>
        <v>L</v>
      </c>
      <c r="V30" s="302" t="s">
        <v>1030</v>
      </c>
      <c r="W30" s="303">
        <f>(Q30+R30)*'1.0-Contractblad'!$L$37</f>
        <v>0</v>
      </c>
      <c r="X30" s="303">
        <f ca="1">VLOOKUP(E30,'1.1a-Jaarprijzen'!$B$32:$Q$51,16,FALSE)*K30</f>
        <v>0</v>
      </c>
      <c r="Z30" s="771">
        <f t="shared" si="7"/>
        <v>11000</v>
      </c>
      <c r="AA30" s="491" t="str">
        <f t="shared" si="8"/>
        <v>18200-200</v>
      </c>
    </row>
    <row r="31" spans="2:27" s="489" customFormat="1" ht="15" hidden="1">
      <c r="B31" s="329"/>
      <c r="C31" s="330"/>
      <c r="D31" s="294">
        <f>VLOOKUP(E31,'1.1a-Jaarprijzen'!$B$13:$G$29,6,FALSE)</f>
        <v>3</v>
      </c>
      <c r="E31" s="768" t="s">
        <v>738</v>
      </c>
      <c r="F31" s="294" t="s">
        <v>572</v>
      </c>
      <c r="G31" s="294" t="s">
        <v>493</v>
      </c>
      <c r="H31" s="709" t="s">
        <v>972</v>
      </c>
      <c r="I31" s="296" t="str">
        <f t="shared" si="0"/>
        <v>leslokaal/leerplein groep 4 t/m 8</v>
      </c>
      <c r="J31" s="294" t="s">
        <v>657</v>
      </c>
      <c r="K31" s="297">
        <v>66</v>
      </c>
      <c r="L31" s="297"/>
      <c r="M31" s="298">
        <v>18200</v>
      </c>
      <c r="N31" s="299">
        <f t="shared" si="1"/>
        <v>200</v>
      </c>
      <c r="O31" s="483">
        <v>1</v>
      </c>
      <c r="P31" s="483">
        <v>1</v>
      </c>
      <c r="Q31" s="291">
        <f t="shared" si="2"/>
        <v>0</v>
      </c>
      <c r="R31" s="291">
        <f t="shared" si="3"/>
        <v>0</v>
      </c>
      <c r="S31" s="300">
        <f t="shared" si="9"/>
        <v>0</v>
      </c>
      <c r="T31" s="300">
        <f t="shared" si="10"/>
        <v>0</v>
      </c>
      <c r="U31" s="769" t="str">
        <f t="shared" si="6"/>
        <v>L</v>
      </c>
      <c r="V31" s="302" t="s">
        <v>1030</v>
      </c>
      <c r="W31" s="303">
        <f>(Q31+R31)*'1.0-Contractblad'!$L$37</f>
        <v>0</v>
      </c>
      <c r="X31" s="303">
        <f ca="1">VLOOKUP(E31,'1.1a-Jaarprijzen'!$B$32:$Q$51,16,FALSE)*K31</f>
        <v>0</v>
      </c>
      <c r="Z31" s="771">
        <f t="shared" si="7"/>
        <v>13200</v>
      </c>
      <c r="AA31" s="491" t="str">
        <f t="shared" si="8"/>
        <v>18200-200</v>
      </c>
    </row>
    <row r="32" spans="2:27" s="489" customFormat="1" ht="15" hidden="1">
      <c r="B32" s="329"/>
      <c r="C32" s="330"/>
      <c r="D32" s="294">
        <f>VLOOKUP(E32,'1.1a-Jaarprijzen'!$B$13:$G$29,6,FALSE)</f>
        <v>3</v>
      </c>
      <c r="E32" s="768" t="s">
        <v>738</v>
      </c>
      <c r="F32" s="294" t="s">
        <v>572</v>
      </c>
      <c r="G32" s="294" t="s">
        <v>494</v>
      </c>
      <c r="H32" s="709" t="s">
        <v>972</v>
      </c>
      <c r="I32" s="296" t="str">
        <f t="shared" si="0"/>
        <v>leslokaal/leerplein groep 4 t/m 8</v>
      </c>
      <c r="J32" s="294" t="s">
        <v>657</v>
      </c>
      <c r="K32" s="297">
        <v>62</v>
      </c>
      <c r="L32" s="297"/>
      <c r="M32" s="298">
        <v>18200</v>
      </c>
      <c r="N32" s="299">
        <f t="shared" si="1"/>
        <v>200</v>
      </c>
      <c r="O32" s="483">
        <v>1</v>
      </c>
      <c r="P32" s="483">
        <v>1</v>
      </c>
      <c r="Q32" s="291">
        <f t="shared" si="2"/>
        <v>0</v>
      </c>
      <c r="R32" s="291">
        <f t="shared" si="3"/>
        <v>0</v>
      </c>
      <c r="S32" s="300">
        <f t="shared" si="9"/>
        <v>0</v>
      </c>
      <c r="T32" s="300">
        <f t="shared" si="10"/>
        <v>0</v>
      </c>
      <c r="U32" s="769" t="str">
        <f t="shared" si="6"/>
        <v>L</v>
      </c>
      <c r="V32" s="302" t="s">
        <v>1030</v>
      </c>
      <c r="W32" s="303">
        <f>(Q32+R32)*'1.0-Contractblad'!$L$37</f>
        <v>0</v>
      </c>
      <c r="X32" s="303">
        <f ca="1">VLOOKUP(E32,'1.1a-Jaarprijzen'!$B$32:$Q$51,16,FALSE)*K32</f>
        <v>0</v>
      </c>
      <c r="Z32" s="771">
        <f t="shared" si="7"/>
        <v>12400</v>
      </c>
      <c r="AA32" s="491" t="str">
        <f t="shared" si="8"/>
        <v>18200-200</v>
      </c>
    </row>
    <row r="33" spans="2:27" s="489" customFormat="1" ht="15" hidden="1">
      <c r="B33" s="329"/>
      <c r="C33" s="330"/>
      <c r="D33" s="294">
        <f>VLOOKUP(E33,'1.1a-Jaarprijzen'!$B$13:$G$29,6,FALSE)</f>
        <v>3</v>
      </c>
      <c r="E33" s="768" t="s">
        <v>738</v>
      </c>
      <c r="F33" s="294" t="s">
        <v>572</v>
      </c>
      <c r="G33" s="294" t="s">
        <v>495</v>
      </c>
      <c r="H33" s="709" t="s">
        <v>646</v>
      </c>
      <c r="I33" s="296" t="str">
        <f t="shared" si="0"/>
        <v>leslokaal/leerplein groep 4 t/m 8</v>
      </c>
      <c r="J33" s="294" t="s">
        <v>48</v>
      </c>
      <c r="K33" s="297">
        <v>62</v>
      </c>
      <c r="L33" s="297"/>
      <c r="M33" s="298">
        <v>18200</v>
      </c>
      <c r="N33" s="299">
        <f t="shared" si="1"/>
        <v>200</v>
      </c>
      <c r="O33" s="483">
        <v>1</v>
      </c>
      <c r="P33" s="483">
        <v>1</v>
      </c>
      <c r="Q33" s="291">
        <f t="shared" si="2"/>
        <v>0</v>
      </c>
      <c r="R33" s="291">
        <f t="shared" si="3"/>
        <v>0</v>
      </c>
      <c r="S33" s="300">
        <f t="shared" si="9"/>
        <v>0</v>
      </c>
      <c r="T33" s="300">
        <f t="shared" si="10"/>
        <v>0</v>
      </c>
      <c r="U33" s="769" t="str">
        <f t="shared" si="6"/>
        <v>L</v>
      </c>
      <c r="V33" s="302"/>
      <c r="W33" s="303">
        <f>(Q33+R33)*'1.0-Contractblad'!$L$37</f>
        <v>0</v>
      </c>
      <c r="X33" s="303">
        <f ca="1">VLOOKUP(E33,'1.1a-Jaarprijzen'!$B$32:$Q$51,16,FALSE)*K33</f>
        <v>0</v>
      </c>
      <c r="Z33" s="771">
        <f t="shared" si="7"/>
        <v>12400</v>
      </c>
      <c r="AA33" s="491" t="str">
        <f t="shared" si="8"/>
        <v>18200-200</v>
      </c>
    </row>
    <row r="34" spans="2:27" s="489" customFormat="1" ht="15" hidden="1">
      <c r="B34" s="329"/>
      <c r="C34" s="330"/>
      <c r="D34" s="294">
        <f>VLOOKUP(E34,'1.1a-Jaarprijzen'!$B$13:$G$29,6,FALSE)</f>
        <v>3</v>
      </c>
      <c r="E34" s="768" t="s">
        <v>738</v>
      </c>
      <c r="F34" s="294" t="s">
        <v>572</v>
      </c>
      <c r="G34" s="294" t="s">
        <v>496</v>
      </c>
      <c r="H34" s="709" t="s">
        <v>646</v>
      </c>
      <c r="I34" s="296" t="str">
        <f t="shared" si="0"/>
        <v>leslokaal/leerplein groep 4 t/m 8</v>
      </c>
      <c r="J34" s="294" t="s">
        <v>48</v>
      </c>
      <c r="K34" s="297">
        <v>71</v>
      </c>
      <c r="L34" s="297"/>
      <c r="M34" s="298">
        <v>18200</v>
      </c>
      <c r="N34" s="299">
        <f t="shared" si="1"/>
        <v>200</v>
      </c>
      <c r="O34" s="483">
        <v>1</v>
      </c>
      <c r="P34" s="483">
        <v>1</v>
      </c>
      <c r="Q34" s="291">
        <f t="shared" si="2"/>
        <v>0</v>
      </c>
      <c r="R34" s="291">
        <f t="shared" si="3"/>
        <v>0</v>
      </c>
      <c r="S34" s="300">
        <f t="shared" si="9"/>
        <v>0</v>
      </c>
      <c r="T34" s="300">
        <f t="shared" si="10"/>
        <v>0</v>
      </c>
      <c r="U34" s="769" t="str">
        <f t="shared" si="6"/>
        <v>L</v>
      </c>
      <c r="V34" s="302"/>
      <c r="W34" s="303">
        <f>(Q34+R34)*'1.0-Contractblad'!$L$37</f>
        <v>0</v>
      </c>
      <c r="X34" s="303">
        <f ca="1">VLOOKUP(E34,'1.1a-Jaarprijzen'!$B$32:$Q$51,16,FALSE)*K34</f>
        <v>0</v>
      </c>
      <c r="Z34" s="771">
        <f t="shared" si="7"/>
        <v>14200</v>
      </c>
      <c r="AA34" s="491" t="str">
        <f t="shared" si="8"/>
        <v>18200-200</v>
      </c>
    </row>
    <row r="35" spans="2:27" s="489" customFormat="1" ht="15" hidden="1">
      <c r="B35" s="329"/>
      <c r="C35" s="330"/>
      <c r="D35" s="294">
        <f>VLOOKUP(E35,'1.1a-Jaarprijzen'!$B$13:$G$29,6,FALSE)</f>
        <v>3</v>
      </c>
      <c r="E35" s="768" t="s">
        <v>738</v>
      </c>
      <c r="F35" s="294" t="s">
        <v>572</v>
      </c>
      <c r="G35" s="294" t="s">
        <v>497</v>
      </c>
      <c r="H35" s="709" t="s">
        <v>973</v>
      </c>
      <c r="I35" s="296" t="str">
        <f t="shared" si="0"/>
        <v>administratieve -,  vergaderruimte</v>
      </c>
      <c r="J35" s="294" t="s">
        <v>48</v>
      </c>
      <c r="K35" s="297">
        <v>67</v>
      </c>
      <c r="L35" s="297"/>
      <c r="M35" s="298">
        <v>1040</v>
      </c>
      <c r="N35" s="299">
        <f t="shared" si="1"/>
        <v>40</v>
      </c>
      <c r="O35" s="483">
        <v>1</v>
      </c>
      <c r="P35" s="483">
        <v>1</v>
      </c>
      <c r="Q35" s="291">
        <f t="shared" si="2"/>
        <v>0</v>
      </c>
      <c r="R35" s="291">
        <f t="shared" si="3"/>
        <v>0</v>
      </c>
      <c r="S35" s="300">
        <f t="shared" si="9"/>
        <v>0</v>
      </c>
      <c r="T35" s="300">
        <f t="shared" si="10"/>
        <v>0</v>
      </c>
      <c r="U35" s="769" t="str">
        <f t="shared" si="6"/>
        <v>V</v>
      </c>
      <c r="V35" s="302" t="s">
        <v>1030</v>
      </c>
      <c r="W35" s="303">
        <f>(Q35+R35)*'1.0-Contractblad'!$L$37</f>
        <v>0</v>
      </c>
      <c r="X35" s="303">
        <f ca="1">VLOOKUP(E35,'1.1a-Jaarprijzen'!$B$32:$Q$51,16,FALSE)*K35</f>
        <v>0</v>
      </c>
      <c r="Z35" s="771">
        <f t="shared" si="7"/>
        <v>2680</v>
      </c>
      <c r="AA35" s="491" t="str">
        <f t="shared" si="8"/>
        <v>1040-40</v>
      </c>
    </row>
    <row r="36" spans="2:27" s="489" customFormat="1" ht="15" hidden="1">
      <c r="B36" s="329"/>
      <c r="C36" s="330"/>
      <c r="D36" s="294">
        <f>VLOOKUP(E36,'1.1a-Jaarprijzen'!$B$13:$G$29,6,FALSE)</f>
        <v>3</v>
      </c>
      <c r="E36" s="768" t="s">
        <v>738</v>
      </c>
      <c r="F36" s="294" t="s">
        <v>572</v>
      </c>
      <c r="G36" s="294" t="s">
        <v>498</v>
      </c>
      <c r="H36" s="709" t="s">
        <v>974</v>
      </c>
      <c r="I36" s="296" t="str">
        <f t="shared" si="0"/>
        <v>administratieve -,  vergaderruimte</v>
      </c>
      <c r="J36" s="294" t="s">
        <v>48</v>
      </c>
      <c r="K36" s="297">
        <v>57</v>
      </c>
      <c r="L36" s="297"/>
      <c r="M36" s="298">
        <v>1200</v>
      </c>
      <c r="N36" s="299">
        <f t="shared" si="1"/>
        <v>200</v>
      </c>
      <c r="O36" s="483">
        <v>1</v>
      </c>
      <c r="P36" s="483">
        <v>1</v>
      </c>
      <c r="Q36" s="291">
        <f t="shared" si="2"/>
        <v>0</v>
      </c>
      <c r="R36" s="291">
        <f t="shared" si="3"/>
        <v>0</v>
      </c>
      <c r="S36" s="300">
        <f t="shared" si="9"/>
        <v>0</v>
      </c>
      <c r="T36" s="300">
        <f t="shared" si="10"/>
        <v>0</v>
      </c>
      <c r="U36" s="769" t="str">
        <f t="shared" si="6"/>
        <v>V</v>
      </c>
      <c r="V36" s="302"/>
      <c r="W36" s="303">
        <f>(Q36+R36)*'1.0-Contractblad'!$L$37</f>
        <v>0</v>
      </c>
      <c r="X36" s="303">
        <f ca="1">VLOOKUP(E36,'1.1a-Jaarprijzen'!$B$32:$Q$51,16,FALSE)*K36</f>
        <v>0</v>
      </c>
      <c r="Z36" s="771">
        <f t="shared" si="7"/>
        <v>11400</v>
      </c>
      <c r="AA36" s="491" t="str">
        <f t="shared" si="8"/>
        <v>1200-200</v>
      </c>
    </row>
    <row r="37" spans="2:27" s="489" customFormat="1" ht="15" hidden="1">
      <c r="B37" s="329"/>
      <c r="C37" s="330"/>
      <c r="D37" s="294">
        <f>VLOOKUP(E37,'1.1a-Jaarprijzen'!$B$13:$G$29,6,FALSE)</f>
        <v>3</v>
      </c>
      <c r="E37" s="768" t="s">
        <v>738</v>
      </c>
      <c r="F37" s="294" t="s">
        <v>572</v>
      </c>
      <c r="G37" s="294" t="s">
        <v>499</v>
      </c>
      <c r="H37" s="709" t="s">
        <v>646</v>
      </c>
      <c r="I37" s="296" t="str">
        <f t="shared" si="0"/>
        <v>leslokaal/leerplein groep 4 t/m 8</v>
      </c>
      <c r="J37" s="294" t="s">
        <v>48</v>
      </c>
      <c r="K37" s="297">
        <v>58</v>
      </c>
      <c r="L37" s="297">
        <v>0</v>
      </c>
      <c r="M37" s="298">
        <v>18200</v>
      </c>
      <c r="N37" s="299">
        <f t="shared" si="1"/>
        <v>200</v>
      </c>
      <c r="O37" s="483">
        <v>1</v>
      </c>
      <c r="P37" s="483">
        <v>1</v>
      </c>
      <c r="Q37" s="291">
        <f t="shared" si="2"/>
        <v>0</v>
      </c>
      <c r="R37" s="291">
        <f t="shared" si="3"/>
        <v>0</v>
      </c>
      <c r="S37" s="300">
        <f t="shared" si="9"/>
        <v>0</v>
      </c>
      <c r="T37" s="300">
        <f t="shared" si="10"/>
        <v>0</v>
      </c>
      <c r="U37" s="769" t="str">
        <f t="shared" ref="U37:U100" si="11">IF(M37="","",VLOOKUP(M37,Kengetal,14,FALSE))</f>
        <v>L</v>
      </c>
      <c r="V37" s="302"/>
      <c r="W37" s="303">
        <f>(Q37+R37)*'1.0-Contractblad'!$L$37</f>
        <v>0</v>
      </c>
      <c r="X37" s="303">
        <f ca="1">VLOOKUP(E37,'1.1a-Jaarprijzen'!$B$32:$Q$51,16,FALSE)*K37</f>
        <v>0</v>
      </c>
      <c r="Z37" s="771">
        <f t="shared" si="7"/>
        <v>11600</v>
      </c>
      <c r="AA37" s="491" t="str">
        <f t="shared" si="8"/>
        <v>18200-200</v>
      </c>
    </row>
    <row r="38" spans="2:27" s="489" customFormat="1" ht="15" hidden="1">
      <c r="B38" s="329"/>
      <c r="C38" s="330"/>
      <c r="D38" s="294">
        <f>VLOOKUP(E38,'1.1a-Jaarprijzen'!$B$13:$G$29,6,FALSE)</f>
        <v>3</v>
      </c>
      <c r="E38" s="768" t="s">
        <v>738</v>
      </c>
      <c r="F38" s="294" t="s">
        <v>572</v>
      </c>
      <c r="G38" s="294" t="s">
        <v>500</v>
      </c>
      <c r="H38" s="709" t="s">
        <v>646</v>
      </c>
      <c r="I38" s="296" t="str">
        <f t="shared" si="0"/>
        <v>leslokaal/leerplein groep 4 t/m 8</v>
      </c>
      <c r="J38" s="294" t="s">
        <v>48</v>
      </c>
      <c r="K38" s="297">
        <v>58</v>
      </c>
      <c r="L38" s="297"/>
      <c r="M38" s="298">
        <v>18200</v>
      </c>
      <c r="N38" s="299">
        <f t="shared" ref="N38:N101" si="12">VLOOKUP(M38,Kengetal,3,FALSE)</f>
        <v>200</v>
      </c>
      <c r="O38" s="483">
        <v>1</v>
      </c>
      <c r="P38" s="483">
        <v>1</v>
      </c>
      <c r="Q38" s="291">
        <f t="shared" ref="Q38:Q101" si="13">S38*K38*O38</f>
        <v>0</v>
      </c>
      <c r="R38" s="291">
        <f t="shared" ref="R38:R101" si="14">T38*K38*P38</f>
        <v>0</v>
      </c>
      <c r="S38" s="300">
        <f t="shared" si="9"/>
        <v>0</v>
      </c>
      <c r="T38" s="300">
        <f t="shared" si="10"/>
        <v>0</v>
      </c>
      <c r="U38" s="769" t="str">
        <f t="shared" si="11"/>
        <v>L</v>
      </c>
      <c r="V38" s="302"/>
      <c r="W38" s="303">
        <f>(Q38+R38)*'1.0-Contractblad'!$L$37</f>
        <v>0</v>
      </c>
      <c r="X38" s="303">
        <f ca="1">VLOOKUP(E38,'1.1a-Jaarprijzen'!$B$32:$Q$51,16,FALSE)*K38</f>
        <v>0</v>
      </c>
      <c r="Z38" s="771">
        <f t="shared" ref="Z38:Z101" si="15">K38*N38</f>
        <v>11600</v>
      </c>
      <c r="AA38" s="491" t="str">
        <f t="shared" ref="AA38:AA101" si="16">CONCATENATE(M38,"-",N38)</f>
        <v>18200-200</v>
      </c>
    </row>
    <row r="39" spans="2:27" s="489" customFormat="1" ht="15" hidden="1">
      <c r="B39" s="329"/>
      <c r="C39" s="330"/>
      <c r="D39" s="294">
        <f>VLOOKUP(E39,'1.1a-Jaarprijzen'!$B$13:$G$29,6,FALSE)</f>
        <v>3</v>
      </c>
      <c r="E39" s="768" t="s">
        <v>738</v>
      </c>
      <c r="F39" s="294" t="s">
        <v>572</v>
      </c>
      <c r="G39" s="294" t="s">
        <v>501</v>
      </c>
      <c r="H39" s="709" t="s">
        <v>646</v>
      </c>
      <c r="I39" s="296" t="str">
        <f t="shared" si="0"/>
        <v>leslokaal/leerplein groep 4 t/m 8</v>
      </c>
      <c r="J39" s="294" t="s">
        <v>48</v>
      </c>
      <c r="K39" s="297">
        <v>61</v>
      </c>
      <c r="L39" s="297"/>
      <c r="M39" s="298">
        <v>18200</v>
      </c>
      <c r="N39" s="299">
        <f t="shared" si="12"/>
        <v>200</v>
      </c>
      <c r="O39" s="483">
        <v>1</v>
      </c>
      <c r="P39" s="483">
        <v>1</v>
      </c>
      <c r="Q39" s="291">
        <f t="shared" si="13"/>
        <v>0</v>
      </c>
      <c r="R39" s="291">
        <f t="shared" si="14"/>
        <v>0</v>
      </c>
      <c r="S39" s="300">
        <f t="shared" si="9"/>
        <v>0</v>
      </c>
      <c r="T39" s="300">
        <f t="shared" si="10"/>
        <v>0</v>
      </c>
      <c r="U39" s="769" t="str">
        <f t="shared" si="11"/>
        <v>L</v>
      </c>
      <c r="V39" s="302"/>
      <c r="W39" s="303">
        <f>(Q39+R39)*'1.0-Contractblad'!$L$37</f>
        <v>0</v>
      </c>
      <c r="X39" s="303">
        <f ca="1">VLOOKUP(E39,'1.1a-Jaarprijzen'!$B$32:$Q$51,16,FALSE)*K39</f>
        <v>0</v>
      </c>
      <c r="Z39" s="771">
        <f t="shared" si="15"/>
        <v>12200</v>
      </c>
      <c r="AA39" s="491" t="str">
        <f t="shared" si="16"/>
        <v>18200-200</v>
      </c>
    </row>
    <row r="40" spans="2:27" s="489" customFormat="1" ht="15" hidden="1">
      <c r="B40" s="329"/>
      <c r="C40" s="330"/>
      <c r="D40" s="294">
        <f>VLOOKUP(E40,'1.1a-Jaarprijzen'!$B$13:$G$29,6,FALSE)</f>
        <v>3</v>
      </c>
      <c r="E40" s="768" t="s">
        <v>738</v>
      </c>
      <c r="F40" s="294" t="s">
        <v>572</v>
      </c>
      <c r="G40" s="294" t="s">
        <v>502</v>
      </c>
      <c r="H40" s="709" t="s">
        <v>646</v>
      </c>
      <c r="I40" s="296" t="str">
        <f t="shared" si="0"/>
        <v>leslokaal/leerplein groep 4 t/m 8</v>
      </c>
      <c r="J40" s="294" t="s">
        <v>48</v>
      </c>
      <c r="K40" s="297">
        <v>57</v>
      </c>
      <c r="L40" s="297"/>
      <c r="M40" s="298">
        <v>18200</v>
      </c>
      <c r="N40" s="299">
        <f t="shared" si="12"/>
        <v>200</v>
      </c>
      <c r="O40" s="483">
        <v>1</v>
      </c>
      <c r="P40" s="483">
        <v>1</v>
      </c>
      <c r="Q40" s="291">
        <f t="shared" si="13"/>
        <v>0</v>
      </c>
      <c r="R40" s="291">
        <f t="shared" si="14"/>
        <v>0</v>
      </c>
      <c r="S40" s="300">
        <f t="shared" si="9"/>
        <v>0</v>
      </c>
      <c r="T40" s="300">
        <f t="shared" si="10"/>
        <v>0</v>
      </c>
      <c r="U40" s="769" t="str">
        <f t="shared" si="11"/>
        <v>L</v>
      </c>
      <c r="V40" s="302"/>
      <c r="W40" s="303">
        <f>(Q40+R40)*'1.0-Contractblad'!$L$37</f>
        <v>0</v>
      </c>
      <c r="X40" s="303">
        <f ca="1">VLOOKUP(E40,'1.1a-Jaarprijzen'!$B$32:$Q$51,16,FALSE)*K40</f>
        <v>0</v>
      </c>
      <c r="Z40" s="771">
        <f t="shared" si="15"/>
        <v>11400</v>
      </c>
      <c r="AA40" s="491" t="str">
        <f t="shared" si="16"/>
        <v>18200-200</v>
      </c>
    </row>
    <row r="41" spans="2:27" s="489" customFormat="1" ht="15" hidden="1">
      <c r="B41" s="329"/>
      <c r="C41" s="330"/>
      <c r="D41" s="294">
        <f>VLOOKUP(E41,'1.1a-Jaarprijzen'!$B$13:$G$29,6,FALSE)</f>
        <v>3</v>
      </c>
      <c r="E41" s="768" t="s">
        <v>738</v>
      </c>
      <c r="F41" s="294" t="s">
        <v>572</v>
      </c>
      <c r="G41" s="294" t="s">
        <v>503</v>
      </c>
      <c r="H41" s="709" t="s">
        <v>646</v>
      </c>
      <c r="I41" s="296" t="str">
        <f t="shared" si="0"/>
        <v>leslokaal/leerplein groep 4 t/m 8</v>
      </c>
      <c r="J41" s="294" t="s">
        <v>48</v>
      </c>
      <c r="K41" s="297">
        <v>57</v>
      </c>
      <c r="L41" s="297"/>
      <c r="M41" s="298">
        <v>18200</v>
      </c>
      <c r="N41" s="299">
        <f t="shared" si="12"/>
        <v>200</v>
      </c>
      <c r="O41" s="483">
        <v>1</v>
      </c>
      <c r="P41" s="483">
        <v>1</v>
      </c>
      <c r="Q41" s="291">
        <f t="shared" si="13"/>
        <v>0</v>
      </c>
      <c r="R41" s="291">
        <f t="shared" si="14"/>
        <v>0</v>
      </c>
      <c r="S41" s="300">
        <f t="shared" si="9"/>
        <v>0</v>
      </c>
      <c r="T41" s="300">
        <f t="shared" si="10"/>
        <v>0</v>
      </c>
      <c r="U41" s="769" t="str">
        <f t="shared" si="11"/>
        <v>L</v>
      </c>
      <c r="V41" s="302"/>
      <c r="W41" s="303">
        <f>(Q41+R41)*'1.0-Contractblad'!$L$37</f>
        <v>0</v>
      </c>
      <c r="X41" s="303">
        <f ca="1">VLOOKUP(E41,'1.1a-Jaarprijzen'!$B$32:$Q$51,16,FALSE)*K41</f>
        <v>0</v>
      </c>
      <c r="Z41" s="771">
        <f t="shared" si="15"/>
        <v>11400</v>
      </c>
      <c r="AA41" s="491" t="str">
        <f t="shared" si="16"/>
        <v>18200-200</v>
      </c>
    </row>
    <row r="42" spans="2:27" s="489" customFormat="1" ht="15" hidden="1">
      <c r="B42" s="329"/>
      <c r="C42" s="330"/>
      <c r="D42" s="294">
        <f>VLOOKUP(E42,'1.1a-Jaarprijzen'!$B$13:$G$29,6,FALSE)</f>
        <v>3</v>
      </c>
      <c r="E42" s="768" t="s">
        <v>738</v>
      </c>
      <c r="F42" s="294" t="s">
        <v>572</v>
      </c>
      <c r="G42" s="294" t="s">
        <v>732</v>
      </c>
      <c r="H42" s="709" t="s">
        <v>646</v>
      </c>
      <c r="I42" s="296" t="str">
        <f t="shared" si="0"/>
        <v>leslokaal/leerplein groep 4 t/m 8</v>
      </c>
      <c r="J42" s="294" t="s">
        <v>48</v>
      </c>
      <c r="K42" s="297">
        <v>61</v>
      </c>
      <c r="L42" s="297"/>
      <c r="M42" s="298">
        <v>18200</v>
      </c>
      <c r="N42" s="299">
        <f t="shared" si="12"/>
        <v>200</v>
      </c>
      <c r="O42" s="483">
        <v>1</v>
      </c>
      <c r="P42" s="483">
        <v>1</v>
      </c>
      <c r="Q42" s="291">
        <f t="shared" si="13"/>
        <v>0</v>
      </c>
      <c r="R42" s="291">
        <f t="shared" si="14"/>
        <v>0</v>
      </c>
      <c r="S42" s="300">
        <f t="shared" si="9"/>
        <v>0</v>
      </c>
      <c r="T42" s="300">
        <f t="shared" si="10"/>
        <v>0</v>
      </c>
      <c r="U42" s="769" t="str">
        <f t="shared" si="11"/>
        <v>L</v>
      </c>
      <c r="V42" s="302"/>
      <c r="W42" s="303">
        <f>(Q42+R42)*'1.0-Contractblad'!$L$37</f>
        <v>0</v>
      </c>
      <c r="X42" s="303">
        <f ca="1">VLOOKUP(E42,'1.1a-Jaarprijzen'!$B$32:$Q$51,16,FALSE)*K42</f>
        <v>0</v>
      </c>
      <c r="Z42" s="771">
        <f t="shared" si="15"/>
        <v>12200</v>
      </c>
      <c r="AA42" s="491" t="str">
        <f t="shared" si="16"/>
        <v>18200-200</v>
      </c>
    </row>
    <row r="43" spans="2:27" s="489" customFormat="1" ht="15" hidden="1">
      <c r="B43" s="329"/>
      <c r="C43" s="330"/>
      <c r="D43" s="294">
        <f>VLOOKUP(E43,'1.1a-Jaarprijzen'!$B$13:$G$29,6,FALSE)</f>
        <v>3</v>
      </c>
      <c r="E43" s="768" t="s">
        <v>738</v>
      </c>
      <c r="F43" s="294" t="s">
        <v>572</v>
      </c>
      <c r="G43" s="294" t="s">
        <v>653</v>
      </c>
      <c r="H43" s="709" t="s">
        <v>975</v>
      </c>
      <c r="I43" s="296" t="str">
        <f t="shared" si="0"/>
        <v>aula, gemeenschappelijke ruimte, bibliotheek</v>
      </c>
      <c r="J43" s="294" t="s">
        <v>657</v>
      </c>
      <c r="K43" s="297">
        <v>17</v>
      </c>
      <c r="L43" s="297"/>
      <c r="M43" s="298">
        <v>2040</v>
      </c>
      <c r="N43" s="299">
        <f t="shared" si="12"/>
        <v>40</v>
      </c>
      <c r="O43" s="483">
        <v>1</v>
      </c>
      <c r="P43" s="483">
        <v>1</v>
      </c>
      <c r="Q43" s="291">
        <f t="shared" si="13"/>
        <v>0</v>
      </c>
      <c r="R43" s="291">
        <f t="shared" si="14"/>
        <v>0</v>
      </c>
      <c r="S43" s="300">
        <f t="shared" si="9"/>
        <v>0</v>
      </c>
      <c r="T43" s="300">
        <f t="shared" si="10"/>
        <v>0</v>
      </c>
      <c r="U43" s="769" t="str">
        <f t="shared" si="11"/>
        <v>V</v>
      </c>
      <c r="V43" s="302"/>
      <c r="W43" s="303">
        <f>(Q43+R43)*'1.0-Contractblad'!$L$37</f>
        <v>0</v>
      </c>
      <c r="X43" s="303">
        <f ca="1">VLOOKUP(E43,'1.1a-Jaarprijzen'!$B$32:$Q$51,16,FALSE)*K43</f>
        <v>0</v>
      </c>
      <c r="Z43" s="771">
        <f t="shared" si="15"/>
        <v>680</v>
      </c>
      <c r="AA43" s="491" t="str">
        <f t="shared" si="16"/>
        <v>2040-40</v>
      </c>
    </row>
    <row r="44" spans="2:27" s="489" customFormat="1" ht="15" hidden="1">
      <c r="B44" s="329"/>
      <c r="C44" s="330"/>
      <c r="D44" s="294">
        <f>VLOOKUP(E44,'1.1a-Jaarprijzen'!$B$13:$G$29,6,FALSE)</f>
        <v>3</v>
      </c>
      <c r="E44" s="768" t="s">
        <v>738</v>
      </c>
      <c r="F44" s="294" t="s">
        <v>572</v>
      </c>
      <c r="G44" s="294" t="s">
        <v>549</v>
      </c>
      <c r="H44" s="709" t="s">
        <v>968</v>
      </c>
      <c r="I44" s="296" t="str">
        <f t="shared" si="0"/>
        <v>niet van toepassing</v>
      </c>
      <c r="J44" s="294" t="s">
        <v>657</v>
      </c>
      <c r="K44" s="297"/>
      <c r="L44" s="297">
        <v>11</v>
      </c>
      <c r="M44" s="298" t="s">
        <v>17</v>
      </c>
      <c r="N44" s="299">
        <f t="shared" si="12"/>
        <v>0</v>
      </c>
      <c r="O44" s="483">
        <v>1</v>
      </c>
      <c r="P44" s="483">
        <v>1</v>
      </c>
      <c r="Q44" s="291">
        <f t="shared" si="13"/>
        <v>0</v>
      </c>
      <c r="R44" s="291">
        <f t="shared" si="14"/>
        <v>0</v>
      </c>
      <c r="S44" s="300">
        <f t="shared" si="9"/>
        <v>0</v>
      </c>
      <c r="T44" s="300">
        <f t="shared" si="10"/>
        <v>0</v>
      </c>
      <c r="U44" s="769">
        <f t="shared" si="11"/>
        <v>0</v>
      </c>
      <c r="V44" s="302"/>
      <c r="W44" s="303">
        <f>(Q44+R44)*'1.0-Contractblad'!$L$37</f>
        <v>0</v>
      </c>
      <c r="X44" s="303">
        <f ca="1">VLOOKUP(E44,'1.1a-Jaarprijzen'!$B$32:$Q$51,16,FALSE)*K44</f>
        <v>0</v>
      </c>
      <c r="Z44" s="771">
        <f t="shared" si="15"/>
        <v>0</v>
      </c>
      <c r="AA44" s="491" t="str">
        <f t="shared" si="16"/>
        <v>nvt-0</v>
      </c>
    </row>
    <row r="45" spans="2:27" s="489" customFormat="1" ht="15" hidden="1">
      <c r="B45" s="329"/>
      <c r="C45" s="330"/>
      <c r="D45" s="294">
        <f>VLOOKUP(E45,'1.1a-Jaarprijzen'!$B$13:$G$29,6,FALSE)</f>
        <v>3</v>
      </c>
      <c r="E45" s="768" t="s">
        <v>738</v>
      </c>
      <c r="F45" s="294" t="s">
        <v>572</v>
      </c>
      <c r="G45" s="294" t="s">
        <v>550</v>
      </c>
      <c r="H45" s="709" t="s">
        <v>976</v>
      </c>
      <c r="I45" s="296" t="str">
        <f t="shared" si="0"/>
        <v>niet van toepassing</v>
      </c>
      <c r="J45" s="294" t="s">
        <v>657</v>
      </c>
      <c r="K45" s="297"/>
      <c r="L45" s="297">
        <v>13</v>
      </c>
      <c r="M45" s="298" t="s">
        <v>17</v>
      </c>
      <c r="N45" s="299">
        <f t="shared" si="12"/>
        <v>0</v>
      </c>
      <c r="O45" s="483">
        <v>1</v>
      </c>
      <c r="P45" s="483">
        <v>1</v>
      </c>
      <c r="Q45" s="291">
        <f t="shared" si="13"/>
        <v>0</v>
      </c>
      <c r="R45" s="291">
        <f t="shared" si="14"/>
        <v>0</v>
      </c>
      <c r="S45" s="300">
        <f t="shared" si="9"/>
        <v>0</v>
      </c>
      <c r="T45" s="300">
        <f t="shared" si="10"/>
        <v>0</v>
      </c>
      <c r="U45" s="769">
        <f t="shared" si="11"/>
        <v>0</v>
      </c>
      <c r="V45" s="302"/>
      <c r="W45" s="303">
        <f>(Q45+R45)*'1.0-Contractblad'!$L$37</f>
        <v>0</v>
      </c>
      <c r="X45" s="303">
        <f ca="1">VLOOKUP(E45,'1.1a-Jaarprijzen'!$B$32:$Q$51,16,FALSE)*K45</f>
        <v>0</v>
      </c>
      <c r="Z45" s="771">
        <f t="shared" si="15"/>
        <v>0</v>
      </c>
      <c r="AA45" s="491" t="str">
        <f t="shared" si="16"/>
        <v>nvt-0</v>
      </c>
    </row>
    <row r="46" spans="2:27" s="489" customFormat="1" ht="15" hidden="1">
      <c r="B46" s="329"/>
      <c r="C46" s="330"/>
      <c r="D46" s="294">
        <f>VLOOKUP(E46,'1.1a-Jaarprijzen'!$B$13:$G$29,6,FALSE)</f>
        <v>3</v>
      </c>
      <c r="E46" s="768" t="s">
        <v>738</v>
      </c>
      <c r="F46" s="294" t="s">
        <v>572</v>
      </c>
      <c r="G46" s="294" t="s">
        <v>654</v>
      </c>
      <c r="H46" s="709" t="s">
        <v>968</v>
      </c>
      <c r="I46" s="296" t="str">
        <f t="shared" si="0"/>
        <v>niet van toepassing</v>
      </c>
      <c r="J46" s="294" t="s">
        <v>657</v>
      </c>
      <c r="K46" s="297"/>
      <c r="L46" s="297">
        <v>13</v>
      </c>
      <c r="M46" s="298" t="s">
        <v>17</v>
      </c>
      <c r="N46" s="299">
        <f t="shared" si="12"/>
        <v>0</v>
      </c>
      <c r="O46" s="483">
        <v>1</v>
      </c>
      <c r="P46" s="483">
        <v>1</v>
      </c>
      <c r="Q46" s="291">
        <f t="shared" si="13"/>
        <v>0</v>
      </c>
      <c r="R46" s="291">
        <f t="shared" si="14"/>
        <v>0</v>
      </c>
      <c r="S46" s="300">
        <f t="shared" si="9"/>
        <v>0</v>
      </c>
      <c r="T46" s="300">
        <f t="shared" si="10"/>
        <v>0</v>
      </c>
      <c r="U46" s="769">
        <f t="shared" si="11"/>
        <v>0</v>
      </c>
      <c r="V46" s="302" t="s">
        <v>1030</v>
      </c>
      <c r="W46" s="303">
        <f>(Q46+R46)*'1.0-Contractblad'!$L$37</f>
        <v>0</v>
      </c>
      <c r="X46" s="303">
        <f ca="1">VLOOKUP(E46,'1.1a-Jaarprijzen'!$B$32:$Q$51,16,FALSE)*K46</f>
        <v>0</v>
      </c>
      <c r="Z46" s="771">
        <f t="shared" si="15"/>
        <v>0</v>
      </c>
      <c r="AA46" s="491" t="str">
        <f t="shared" si="16"/>
        <v>nvt-0</v>
      </c>
    </row>
    <row r="47" spans="2:27" s="489" customFormat="1" ht="15" hidden="1">
      <c r="B47" s="329"/>
      <c r="C47" s="330"/>
      <c r="D47" s="294">
        <f>VLOOKUP(E47,'1.1a-Jaarprijzen'!$B$13:$G$29,6,FALSE)</f>
        <v>3</v>
      </c>
      <c r="E47" s="785" t="s">
        <v>738</v>
      </c>
      <c r="F47" s="294" t="s">
        <v>572</v>
      </c>
      <c r="G47" s="294" t="s">
        <v>535</v>
      </c>
      <c r="H47" s="709" t="s">
        <v>977</v>
      </c>
      <c r="I47" s="296" t="str">
        <f t="shared" si="0"/>
        <v>speellokaal</v>
      </c>
      <c r="J47" s="294" t="s">
        <v>48</v>
      </c>
      <c r="K47" s="297">
        <v>53</v>
      </c>
      <c r="L47" s="297"/>
      <c r="M47" s="298">
        <v>8260</v>
      </c>
      <c r="N47" s="299">
        <f t="shared" si="12"/>
        <v>260</v>
      </c>
      <c r="O47" s="483">
        <v>1</v>
      </c>
      <c r="P47" s="483">
        <v>1</v>
      </c>
      <c r="Q47" s="291">
        <f t="shared" si="13"/>
        <v>0</v>
      </c>
      <c r="R47" s="291">
        <f t="shared" si="14"/>
        <v>0</v>
      </c>
      <c r="S47" s="300">
        <f t="shared" si="9"/>
        <v>0</v>
      </c>
      <c r="T47" s="300">
        <f t="shared" si="10"/>
        <v>0</v>
      </c>
      <c r="U47" s="769" t="str">
        <f t="shared" si="11"/>
        <v>L</v>
      </c>
      <c r="V47" s="302" t="s">
        <v>1031</v>
      </c>
      <c r="W47" s="303">
        <f>(Q47+R47)*'1.0-Contractblad'!$L$37</f>
        <v>0</v>
      </c>
      <c r="X47" s="303">
        <f ca="1">VLOOKUP(E47,'1.1a-Jaarprijzen'!$B$32:$Q$51,16,FALSE)*K47</f>
        <v>0</v>
      </c>
      <c r="Z47" s="771">
        <f t="shared" si="15"/>
        <v>13780</v>
      </c>
      <c r="AA47" s="491" t="str">
        <f t="shared" si="16"/>
        <v>8260-260</v>
      </c>
    </row>
    <row r="48" spans="2:27" s="489" customFormat="1" ht="15" hidden="1">
      <c r="B48" s="329"/>
      <c r="C48" s="330"/>
      <c r="D48" s="294">
        <f>VLOOKUP(E48,'1.1a-Jaarprijzen'!$B$13:$G$29,6,FALSE)</f>
        <v>3</v>
      </c>
      <c r="E48" s="768" t="s">
        <v>738</v>
      </c>
      <c r="F48" s="294" t="s">
        <v>572</v>
      </c>
      <c r="G48" s="294" t="s">
        <v>537</v>
      </c>
      <c r="H48" s="709" t="s">
        <v>978</v>
      </c>
      <c r="I48" s="296" t="str">
        <f t="shared" si="0"/>
        <v>administratieve -,  vergaderruimte</v>
      </c>
      <c r="J48" s="294" t="s">
        <v>48</v>
      </c>
      <c r="K48" s="297">
        <v>12</v>
      </c>
      <c r="L48" s="297"/>
      <c r="M48" s="298">
        <v>1040</v>
      </c>
      <c r="N48" s="299">
        <f t="shared" si="12"/>
        <v>40</v>
      </c>
      <c r="O48" s="483">
        <v>1</v>
      </c>
      <c r="P48" s="483">
        <v>1</v>
      </c>
      <c r="Q48" s="291">
        <f t="shared" si="13"/>
        <v>0</v>
      </c>
      <c r="R48" s="291">
        <f t="shared" si="14"/>
        <v>0</v>
      </c>
      <c r="S48" s="300">
        <f t="shared" si="9"/>
        <v>0</v>
      </c>
      <c r="T48" s="300">
        <f t="shared" si="10"/>
        <v>0</v>
      </c>
      <c r="U48" s="769" t="str">
        <f t="shared" si="11"/>
        <v>V</v>
      </c>
      <c r="V48" s="302" t="s">
        <v>1030</v>
      </c>
      <c r="W48" s="303">
        <f>(Q48+R48)*'1.0-Contractblad'!$L$37</f>
        <v>0</v>
      </c>
      <c r="X48" s="303">
        <f ca="1">VLOOKUP(E48,'1.1a-Jaarprijzen'!$B$32:$Q$51,16,FALSE)*K48</f>
        <v>0</v>
      </c>
      <c r="Z48" s="771">
        <f t="shared" si="15"/>
        <v>480</v>
      </c>
      <c r="AA48" s="491" t="str">
        <f t="shared" si="16"/>
        <v>1040-40</v>
      </c>
    </row>
    <row r="49" spans="2:27" s="489" customFormat="1" ht="15" hidden="1">
      <c r="B49" s="329"/>
      <c r="C49" s="330"/>
      <c r="D49" s="294">
        <f>VLOOKUP(E49,'1.1a-Jaarprijzen'!$B$13:$G$29,6,FALSE)</f>
        <v>3</v>
      </c>
      <c r="E49" s="768" t="s">
        <v>738</v>
      </c>
      <c r="F49" s="294" t="s">
        <v>572</v>
      </c>
      <c r="G49" s="294" t="s">
        <v>539</v>
      </c>
      <c r="H49" s="709" t="s">
        <v>390</v>
      </c>
      <c r="I49" s="296" t="str">
        <f t="shared" si="0"/>
        <v>administratieve -,  vergaderruimte</v>
      </c>
      <c r="J49" s="294" t="s">
        <v>48</v>
      </c>
      <c r="K49" s="297">
        <v>28</v>
      </c>
      <c r="L49" s="297"/>
      <c r="M49" s="298">
        <v>1040</v>
      </c>
      <c r="N49" s="299">
        <f t="shared" si="12"/>
        <v>40</v>
      </c>
      <c r="O49" s="483">
        <v>1</v>
      </c>
      <c r="P49" s="483">
        <v>1</v>
      </c>
      <c r="Q49" s="291">
        <f t="shared" si="13"/>
        <v>0</v>
      </c>
      <c r="R49" s="291">
        <f t="shared" si="14"/>
        <v>0</v>
      </c>
      <c r="S49" s="300">
        <f t="shared" si="9"/>
        <v>0</v>
      </c>
      <c r="T49" s="300">
        <f t="shared" si="10"/>
        <v>0</v>
      </c>
      <c r="U49" s="769" t="str">
        <f t="shared" si="11"/>
        <v>V</v>
      </c>
      <c r="V49" s="302"/>
      <c r="W49" s="303">
        <f>(Q49+R49)*'1.0-Contractblad'!$L$37</f>
        <v>0</v>
      </c>
      <c r="X49" s="303">
        <f ca="1">VLOOKUP(E49,'1.1a-Jaarprijzen'!$B$32:$Q$51,16,FALSE)*K49</f>
        <v>0</v>
      </c>
      <c r="Z49" s="771">
        <f t="shared" si="15"/>
        <v>1120</v>
      </c>
      <c r="AA49" s="491" t="str">
        <f t="shared" si="16"/>
        <v>1040-40</v>
      </c>
    </row>
    <row r="50" spans="2:27" s="489" customFormat="1" ht="15" hidden="1">
      <c r="B50" s="329"/>
      <c r="C50" s="330"/>
      <c r="D50" s="294">
        <f>VLOOKUP(E50,'1.1a-Jaarprijzen'!$B$13:$G$29,6,FALSE)</f>
        <v>3</v>
      </c>
      <c r="E50" s="768" t="s">
        <v>738</v>
      </c>
      <c r="F50" s="294" t="s">
        <v>572</v>
      </c>
      <c r="G50" s="294" t="s">
        <v>541</v>
      </c>
      <c r="H50" s="709" t="s">
        <v>390</v>
      </c>
      <c r="I50" s="296" t="str">
        <f t="shared" si="0"/>
        <v>administratieve -,  vergaderruimte</v>
      </c>
      <c r="J50" s="294" t="s">
        <v>48</v>
      </c>
      <c r="K50" s="297">
        <v>28</v>
      </c>
      <c r="L50" s="297"/>
      <c r="M50" s="298">
        <v>1040</v>
      </c>
      <c r="N50" s="299">
        <f t="shared" si="12"/>
        <v>40</v>
      </c>
      <c r="O50" s="483">
        <v>1</v>
      </c>
      <c r="P50" s="483">
        <v>1</v>
      </c>
      <c r="Q50" s="291">
        <f t="shared" si="13"/>
        <v>0</v>
      </c>
      <c r="R50" s="291">
        <f t="shared" si="14"/>
        <v>0</v>
      </c>
      <c r="S50" s="300">
        <f t="shared" si="9"/>
        <v>0</v>
      </c>
      <c r="T50" s="300">
        <f t="shared" si="10"/>
        <v>0</v>
      </c>
      <c r="U50" s="769" t="str">
        <f t="shared" si="11"/>
        <v>V</v>
      </c>
      <c r="V50" s="302"/>
      <c r="W50" s="303">
        <f>(Q50+R50)*'1.0-Contractblad'!$L$37</f>
        <v>0</v>
      </c>
      <c r="X50" s="303">
        <f ca="1">VLOOKUP(E50,'1.1a-Jaarprijzen'!$B$32:$Q$51,16,FALSE)*K50</f>
        <v>0</v>
      </c>
      <c r="Z50" s="771">
        <f t="shared" si="15"/>
        <v>1120</v>
      </c>
      <c r="AA50" s="491" t="str">
        <f t="shared" si="16"/>
        <v>1040-40</v>
      </c>
    </row>
    <row r="51" spans="2:27" s="489" customFormat="1" ht="15" hidden="1">
      <c r="B51" s="329"/>
      <c r="C51" s="330"/>
      <c r="D51" s="294">
        <f>VLOOKUP(E51,'1.1a-Jaarprijzen'!$B$13:$G$29,6,FALSE)</f>
        <v>3</v>
      </c>
      <c r="E51" s="768" t="s">
        <v>738</v>
      </c>
      <c r="F51" s="294" t="s">
        <v>572</v>
      </c>
      <c r="G51" s="294" t="s">
        <v>506</v>
      </c>
      <c r="H51" s="709" t="s">
        <v>391</v>
      </c>
      <c r="I51" s="296" t="str">
        <f t="shared" si="0"/>
        <v>speellokaal</v>
      </c>
      <c r="J51" s="294" t="s">
        <v>657</v>
      </c>
      <c r="K51" s="297">
        <v>47</v>
      </c>
      <c r="L51" s="297"/>
      <c r="M51" s="298">
        <v>8200</v>
      </c>
      <c r="N51" s="299">
        <f t="shared" si="12"/>
        <v>200</v>
      </c>
      <c r="O51" s="483">
        <v>1</v>
      </c>
      <c r="P51" s="483">
        <v>1</v>
      </c>
      <c r="Q51" s="291">
        <f t="shared" si="13"/>
        <v>0</v>
      </c>
      <c r="R51" s="291">
        <f t="shared" si="14"/>
        <v>0</v>
      </c>
      <c r="S51" s="300">
        <f t="shared" si="9"/>
        <v>0</v>
      </c>
      <c r="T51" s="300">
        <f t="shared" si="10"/>
        <v>0</v>
      </c>
      <c r="U51" s="769" t="str">
        <f t="shared" si="11"/>
        <v>L</v>
      </c>
      <c r="V51" s="302" t="s">
        <v>1032</v>
      </c>
      <c r="W51" s="303">
        <f>(Q51+R51)*'1.0-Contractblad'!$L$37</f>
        <v>0</v>
      </c>
      <c r="X51" s="303">
        <f ca="1">VLOOKUP(E51,'1.1a-Jaarprijzen'!$B$32:$Q$51,16,FALSE)*K51</f>
        <v>0</v>
      </c>
      <c r="Z51" s="771">
        <f t="shared" si="15"/>
        <v>9400</v>
      </c>
      <c r="AA51" s="491" t="str">
        <f t="shared" si="16"/>
        <v>8200-200</v>
      </c>
    </row>
    <row r="52" spans="2:27" s="489" customFormat="1" ht="15" hidden="1">
      <c r="B52" s="329"/>
      <c r="C52" s="330"/>
      <c r="D52" s="294">
        <f>VLOOKUP(E52,'1.1a-Jaarprijzen'!$B$13:$G$29,6,FALSE)</f>
        <v>3</v>
      </c>
      <c r="E52" s="768" t="s">
        <v>738</v>
      </c>
      <c r="F52" s="294" t="s">
        <v>572</v>
      </c>
      <c r="G52" s="294" t="s">
        <v>506</v>
      </c>
      <c r="H52" s="709" t="s">
        <v>391</v>
      </c>
      <c r="I52" s="296" t="str">
        <f t="shared" si="0"/>
        <v>speellokaal</v>
      </c>
      <c r="J52" s="294" t="s">
        <v>657</v>
      </c>
      <c r="K52" s="297">
        <v>47</v>
      </c>
      <c r="L52" s="297"/>
      <c r="M52" s="298">
        <v>8200</v>
      </c>
      <c r="N52" s="299">
        <f t="shared" si="12"/>
        <v>200</v>
      </c>
      <c r="O52" s="483">
        <v>1</v>
      </c>
      <c r="P52" s="483">
        <v>1</v>
      </c>
      <c r="Q52" s="291">
        <f t="shared" si="13"/>
        <v>0</v>
      </c>
      <c r="R52" s="291">
        <f t="shared" si="14"/>
        <v>0</v>
      </c>
      <c r="S52" s="300">
        <f t="shared" si="9"/>
        <v>0</v>
      </c>
      <c r="T52" s="300">
        <f t="shared" si="10"/>
        <v>0</v>
      </c>
      <c r="U52" s="769" t="str">
        <f t="shared" si="11"/>
        <v>L</v>
      </c>
      <c r="V52" s="302" t="s">
        <v>1033</v>
      </c>
      <c r="W52" s="303">
        <f>(Q52+R52)*'1.0-Contractblad'!$L$37</f>
        <v>0</v>
      </c>
      <c r="X52" s="303">
        <f ca="1">VLOOKUP(E52,'1.1a-Jaarprijzen'!$B$32:$Q$51,16,FALSE)*K52</f>
        <v>0</v>
      </c>
      <c r="Z52" s="771">
        <f t="shared" si="15"/>
        <v>9400</v>
      </c>
      <c r="AA52" s="491" t="str">
        <f t="shared" si="16"/>
        <v>8200-200</v>
      </c>
    </row>
    <row r="53" spans="2:27" s="489" customFormat="1" ht="15" hidden="1">
      <c r="B53" s="329"/>
      <c r="C53" s="330"/>
      <c r="D53" s="294">
        <f>VLOOKUP(E53,'1.1a-Jaarprijzen'!$B$13:$G$29,6,FALSE)</f>
        <v>3</v>
      </c>
      <c r="E53" s="785" t="s">
        <v>738</v>
      </c>
      <c r="F53" s="294" t="s">
        <v>572</v>
      </c>
      <c r="G53" s="294" t="s">
        <v>505</v>
      </c>
      <c r="H53" s="709" t="s">
        <v>979</v>
      </c>
      <c r="I53" s="296" t="str">
        <f t="shared" si="0"/>
        <v>speellokaal</v>
      </c>
      <c r="J53" s="294" t="s">
        <v>657</v>
      </c>
      <c r="K53" s="297">
        <v>64.400000000000006</v>
      </c>
      <c r="L53" s="297"/>
      <c r="M53" s="298">
        <v>8260</v>
      </c>
      <c r="N53" s="299">
        <f t="shared" si="12"/>
        <v>260</v>
      </c>
      <c r="O53" s="483">
        <v>1</v>
      </c>
      <c r="P53" s="483">
        <v>1</v>
      </c>
      <c r="Q53" s="291">
        <f t="shared" si="13"/>
        <v>0</v>
      </c>
      <c r="R53" s="291">
        <f t="shared" si="14"/>
        <v>0</v>
      </c>
      <c r="S53" s="300">
        <f t="shared" si="9"/>
        <v>0</v>
      </c>
      <c r="T53" s="300">
        <f t="shared" si="10"/>
        <v>0</v>
      </c>
      <c r="U53" s="769" t="str">
        <f t="shared" si="11"/>
        <v>L</v>
      </c>
      <c r="V53" s="302" t="s">
        <v>1034</v>
      </c>
      <c r="W53" s="303">
        <f>(Q53+R53)*'1.0-Contractblad'!$L$37</f>
        <v>0</v>
      </c>
      <c r="X53" s="303">
        <f ca="1">VLOOKUP(E53,'1.1a-Jaarprijzen'!$B$32:$Q$51,16,FALSE)*K53</f>
        <v>0</v>
      </c>
      <c r="Z53" s="771">
        <f t="shared" si="15"/>
        <v>16744</v>
      </c>
      <c r="AA53" s="491" t="str">
        <f t="shared" si="16"/>
        <v>8260-260</v>
      </c>
    </row>
    <row r="54" spans="2:27" s="489" customFormat="1" ht="15" hidden="1">
      <c r="B54" s="329"/>
      <c r="C54" s="330"/>
      <c r="D54" s="294">
        <f>VLOOKUP(E54,'1.1a-Jaarprijzen'!$B$13:$G$29,6,FALSE)</f>
        <v>3</v>
      </c>
      <c r="E54" s="785" t="s">
        <v>738</v>
      </c>
      <c r="F54" s="294" t="s">
        <v>572</v>
      </c>
      <c r="G54" s="294" t="s">
        <v>519</v>
      </c>
      <c r="H54" s="709" t="s">
        <v>477</v>
      </c>
      <c r="I54" s="296" t="str">
        <f t="shared" si="0"/>
        <v>sanitaire ruimte (toilet-/doucheruimte)</v>
      </c>
      <c r="J54" s="294" t="s">
        <v>658</v>
      </c>
      <c r="K54" s="297">
        <v>5</v>
      </c>
      <c r="L54" s="297"/>
      <c r="M54" s="298">
        <v>4260</v>
      </c>
      <c r="N54" s="299">
        <f t="shared" si="12"/>
        <v>260</v>
      </c>
      <c r="O54" s="483">
        <v>1</v>
      </c>
      <c r="P54" s="483">
        <v>1</v>
      </c>
      <c r="Q54" s="291">
        <f t="shared" si="13"/>
        <v>0</v>
      </c>
      <c r="R54" s="291">
        <f t="shared" si="14"/>
        <v>0</v>
      </c>
      <c r="S54" s="300">
        <f t="shared" si="9"/>
        <v>0</v>
      </c>
      <c r="T54" s="300">
        <f t="shared" si="10"/>
        <v>0</v>
      </c>
      <c r="U54" s="769" t="str">
        <f t="shared" si="11"/>
        <v>S</v>
      </c>
      <c r="V54" s="302" t="s">
        <v>1029</v>
      </c>
      <c r="W54" s="303">
        <f>(Q54+R54)*'1.0-Contractblad'!$L$37</f>
        <v>0</v>
      </c>
      <c r="X54" s="303">
        <f ca="1">VLOOKUP(E54,'1.1a-Jaarprijzen'!$B$32:$Q$51,16,FALSE)*K54</f>
        <v>0</v>
      </c>
      <c r="Z54" s="771">
        <f t="shared" si="15"/>
        <v>1300</v>
      </c>
      <c r="AA54" s="491" t="str">
        <f t="shared" si="16"/>
        <v>4260-260</v>
      </c>
    </row>
    <row r="55" spans="2:27" s="489" customFormat="1" ht="15" hidden="1">
      <c r="B55" s="329"/>
      <c r="C55" s="330"/>
      <c r="D55" s="294">
        <f>VLOOKUP(E55,'1.1a-Jaarprijzen'!$B$13:$G$29,6,FALSE)</f>
        <v>3</v>
      </c>
      <c r="E55" s="785" t="s">
        <v>738</v>
      </c>
      <c r="F55" s="294" t="s">
        <v>572</v>
      </c>
      <c r="G55" s="294" t="s">
        <v>521</v>
      </c>
      <c r="H55" s="709" t="s">
        <v>477</v>
      </c>
      <c r="I55" s="296" t="str">
        <f t="shared" si="0"/>
        <v>sanitaire ruimte (toilet-/doucheruimte)</v>
      </c>
      <c r="J55" s="294" t="s">
        <v>658</v>
      </c>
      <c r="K55" s="297">
        <v>11</v>
      </c>
      <c r="L55" s="297"/>
      <c r="M55" s="298">
        <v>4260</v>
      </c>
      <c r="N55" s="299">
        <f t="shared" si="12"/>
        <v>260</v>
      </c>
      <c r="O55" s="483">
        <v>1</v>
      </c>
      <c r="P55" s="483">
        <v>1</v>
      </c>
      <c r="Q55" s="291">
        <f t="shared" si="13"/>
        <v>0</v>
      </c>
      <c r="R55" s="291">
        <f t="shared" si="14"/>
        <v>0</v>
      </c>
      <c r="S55" s="300">
        <f t="shared" si="9"/>
        <v>0</v>
      </c>
      <c r="T55" s="300">
        <f t="shared" si="10"/>
        <v>0</v>
      </c>
      <c r="U55" s="769" t="str">
        <f t="shared" si="11"/>
        <v>S</v>
      </c>
      <c r="V55" s="302" t="s">
        <v>1029</v>
      </c>
      <c r="W55" s="303">
        <f>(Q55+R55)*'1.0-Contractblad'!$L$37</f>
        <v>0</v>
      </c>
      <c r="X55" s="303">
        <f ca="1">VLOOKUP(E55,'1.1a-Jaarprijzen'!$B$32:$Q$51,16,FALSE)*K55</f>
        <v>0</v>
      </c>
      <c r="Z55" s="771">
        <f t="shared" si="15"/>
        <v>2860</v>
      </c>
      <c r="AA55" s="491" t="str">
        <f t="shared" si="16"/>
        <v>4260-260</v>
      </c>
    </row>
    <row r="56" spans="2:27" s="489" customFormat="1" ht="15" hidden="1">
      <c r="B56" s="329"/>
      <c r="C56" s="330"/>
      <c r="D56" s="294">
        <f>VLOOKUP(E56,'1.1a-Jaarprijzen'!$B$13:$G$29,6,FALSE)</f>
        <v>3</v>
      </c>
      <c r="E56" s="768" t="s">
        <v>738</v>
      </c>
      <c r="F56" s="294" t="s">
        <v>572</v>
      </c>
      <c r="G56" s="294" t="s">
        <v>522</v>
      </c>
      <c r="H56" s="709" t="s">
        <v>392</v>
      </c>
      <c r="I56" s="296" t="str">
        <f t="shared" si="0"/>
        <v>niet van toepassing</v>
      </c>
      <c r="J56" s="294" t="s">
        <v>658</v>
      </c>
      <c r="K56" s="297"/>
      <c r="L56" s="297">
        <v>5</v>
      </c>
      <c r="M56" s="298" t="s">
        <v>17</v>
      </c>
      <c r="N56" s="299">
        <f t="shared" si="12"/>
        <v>0</v>
      </c>
      <c r="O56" s="483">
        <v>1</v>
      </c>
      <c r="P56" s="483">
        <v>1</v>
      </c>
      <c r="Q56" s="291">
        <f t="shared" si="13"/>
        <v>0</v>
      </c>
      <c r="R56" s="291">
        <f t="shared" si="14"/>
        <v>0</v>
      </c>
      <c r="S56" s="300">
        <f t="shared" si="9"/>
        <v>0</v>
      </c>
      <c r="T56" s="300">
        <f t="shared" si="10"/>
        <v>0</v>
      </c>
      <c r="U56" s="769">
        <f t="shared" si="11"/>
        <v>0</v>
      </c>
      <c r="V56" s="302"/>
      <c r="W56" s="303">
        <f>(Q56+R56)*'1.0-Contractblad'!$L$37</f>
        <v>0</v>
      </c>
      <c r="X56" s="303">
        <f ca="1">VLOOKUP(E56,'1.1a-Jaarprijzen'!$B$32:$Q$51,16,FALSE)*K56</f>
        <v>0</v>
      </c>
      <c r="Z56" s="771">
        <f t="shared" si="15"/>
        <v>0</v>
      </c>
      <c r="AA56" s="491" t="str">
        <f t="shared" si="16"/>
        <v>nvt-0</v>
      </c>
    </row>
    <row r="57" spans="2:27" s="489" customFormat="1" ht="15" hidden="1">
      <c r="B57" s="329"/>
      <c r="C57" s="330"/>
      <c r="D57" s="294">
        <f>VLOOKUP(E57,'1.1a-Jaarprijzen'!$B$13:$G$29,6,FALSE)</f>
        <v>3</v>
      </c>
      <c r="E57" s="293" t="s">
        <v>738</v>
      </c>
      <c r="F57" s="294" t="s">
        <v>572</v>
      </c>
      <c r="G57" s="294" t="s">
        <v>523</v>
      </c>
      <c r="H57" s="709" t="s">
        <v>637</v>
      </c>
      <c r="I57" s="296" t="str">
        <f t="shared" si="0"/>
        <v>sanitaire ruimte (toilet-/doucheruimte)</v>
      </c>
      <c r="J57" s="294" t="s">
        <v>658</v>
      </c>
      <c r="K57" s="297">
        <v>5</v>
      </c>
      <c r="L57" s="297"/>
      <c r="M57" s="298">
        <v>4200</v>
      </c>
      <c r="N57" s="299">
        <f t="shared" si="12"/>
        <v>200</v>
      </c>
      <c r="O57" s="483">
        <v>1</v>
      </c>
      <c r="P57" s="483">
        <v>1</v>
      </c>
      <c r="Q57" s="291">
        <f t="shared" si="13"/>
        <v>0</v>
      </c>
      <c r="R57" s="291">
        <f t="shared" si="14"/>
        <v>0</v>
      </c>
      <c r="S57" s="300">
        <f t="shared" si="9"/>
        <v>0</v>
      </c>
      <c r="T57" s="300">
        <f t="shared" si="10"/>
        <v>0</v>
      </c>
      <c r="U57" s="769" t="str">
        <f t="shared" si="11"/>
        <v>S</v>
      </c>
      <c r="V57" s="302"/>
      <c r="W57" s="303">
        <f>(Q57+R57)*'1.0-Contractblad'!$L$37</f>
        <v>0</v>
      </c>
      <c r="X57" s="303">
        <f ca="1">VLOOKUP(E57,'1.1a-Jaarprijzen'!$B$32:$Q$51,16,FALSE)*K57</f>
        <v>0</v>
      </c>
      <c r="Z57" s="771">
        <f t="shared" si="15"/>
        <v>1000</v>
      </c>
      <c r="AA57" s="491" t="str">
        <f t="shared" si="16"/>
        <v>4200-200</v>
      </c>
    </row>
    <row r="58" spans="2:27" s="489" customFormat="1" ht="15" hidden="1">
      <c r="B58" s="329"/>
      <c r="C58" s="330"/>
      <c r="D58" s="294">
        <f>VLOOKUP(E58,'1.1a-Jaarprijzen'!$B$13:$G$29,6,FALSE)</f>
        <v>3</v>
      </c>
      <c r="E58" s="293" t="s">
        <v>738</v>
      </c>
      <c r="F58" s="294" t="s">
        <v>572</v>
      </c>
      <c r="G58" s="294" t="s">
        <v>524</v>
      </c>
      <c r="H58" s="709" t="s">
        <v>980</v>
      </c>
      <c r="I58" s="296" t="str">
        <f t="shared" si="0"/>
        <v>sanitaire ruimte (toilet-/doucheruimte)</v>
      </c>
      <c r="J58" s="294" t="s">
        <v>658</v>
      </c>
      <c r="K58" s="297">
        <v>3</v>
      </c>
      <c r="L58" s="297"/>
      <c r="M58" s="298">
        <v>4200</v>
      </c>
      <c r="N58" s="299">
        <f t="shared" si="12"/>
        <v>200</v>
      </c>
      <c r="O58" s="483">
        <v>1</v>
      </c>
      <c r="P58" s="483">
        <v>1</v>
      </c>
      <c r="Q58" s="291">
        <f t="shared" si="13"/>
        <v>0</v>
      </c>
      <c r="R58" s="291">
        <f t="shared" si="14"/>
        <v>0</v>
      </c>
      <c r="S58" s="300">
        <f t="shared" si="9"/>
        <v>0</v>
      </c>
      <c r="T58" s="300">
        <f t="shared" si="10"/>
        <v>0</v>
      </c>
      <c r="U58" s="769" t="str">
        <f t="shared" si="11"/>
        <v>S</v>
      </c>
      <c r="V58" s="302" t="s">
        <v>1030</v>
      </c>
      <c r="W58" s="303">
        <f>(Q58+R58)*'1.0-Contractblad'!$L$37</f>
        <v>0</v>
      </c>
      <c r="X58" s="303">
        <f ca="1">VLOOKUP(E58,'1.1a-Jaarprijzen'!$B$32:$Q$51,16,FALSE)*K58</f>
        <v>0</v>
      </c>
      <c r="Z58" s="771">
        <f t="shared" si="15"/>
        <v>600</v>
      </c>
      <c r="AA58" s="491" t="str">
        <f t="shared" si="16"/>
        <v>4200-200</v>
      </c>
    </row>
    <row r="59" spans="2:27" s="489" customFormat="1" ht="15" hidden="1">
      <c r="B59" s="329"/>
      <c r="C59" s="330"/>
      <c r="D59" s="294">
        <f>VLOOKUP(E59,'1.1a-Jaarprijzen'!$B$13:$G$29,6,FALSE)</f>
        <v>3</v>
      </c>
      <c r="E59" s="293" t="s">
        <v>738</v>
      </c>
      <c r="F59" s="294" t="s">
        <v>572</v>
      </c>
      <c r="G59" s="294" t="s">
        <v>526</v>
      </c>
      <c r="H59" s="709" t="s">
        <v>980</v>
      </c>
      <c r="I59" s="296" t="str">
        <f t="shared" si="0"/>
        <v>sanitaire ruimte (toilet-/doucheruimte)</v>
      </c>
      <c r="J59" s="294" t="s">
        <v>658</v>
      </c>
      <c r="K59" s="297">
        <v>11</v>
      </c>
      <c r="L59" s="297"/>
      <c r="M59" s="298">
        <v>4200</v>
      </c>
      <c r="N59" s="299">
        <f t="shared" si="12"/>
        <v>200</v>
      </c>
      <c r="O59" s="483">
        <v>1</v>
      </c>
      <c r="P59" s="483">
        <v>1</v>
      </c>
      <c r="Q59" s="291">
        <f t="shared" si="13"/>
        <v>0</v>
      </c>
      <c r="R59" s="291">
        <f t="shared" si="14"/>
        <v>0</v>
      </c>
      <c r="S59" s="300">
        <f t="shared" si="9"/>
        <v>0</v>
      </c>
      <c r="T59" s="300">
        <f t="shared" si="10"/>
        <v>0</v>
      </c>
      <c r="U59" s="769" t="str">
        <f t="shared" si="11"/>
        <v>S</v>
      </c>
      <c r="V59" s="302" t="s">
        <v>1030</v>
      </c>
      <c r="W59" s="303">
        <f>(Q59+R59)*'1.0-Contractblad'!$L$37</f>
        <v>0</v>
      </c>
      <c r="X59" s="303">
        <f ca="1">VLOOKUP(E59,'1.1a-Jaarprijzen'!$B$32:$Q$51,16,FALSE)*K59</f>
        <v>0</v>
      </c>
      <c r="Z59" s="771">
        <f t="shared" si="15"/>
        <v>2200</v>
      </c>
      <c r="AA59" s="491" t="str">
        <f t="shared" si="16"/>
        <v>4200-200</v>
      </c>
    </row>
    <row r="60" spans="2:27" s="489" customFormat="1" ht="15" hidden="1">
      <c r="B60" s="329"/>
      <c r="C60" s="330"/>
      <c r="D60" s="294">
        <f>VLOOKUP(E60,'1.1a-Jaarprijzen'!$B$13:$G$29,6,FALSE)</f>
        <v>3</v>
      </c>
      <c r="E60" s="293" t="s">
        <v>738</v>
      </c>
      <c r="F60" s="294" t="s">
        <v>572</v>
      </c>
      <c r="G60" s="294" t="s">
        <v>527</v>
      </c>
      <c r="H60" s="709" t="s">
        <v>980</v>
      </c>
      <c r="I60" s="296" t="str">
        <f t="shared" si="0"/>
        <v>sanitaire ruimte (toilet-/doucheruimte)</v>
      </c>
      <c r="J60" s="294" t="s">
        <v>658</v>
      </c>
      <c r="K60" s="297">
        <v>5</v>
      </c>
      <c r="L60" s="297"/>
      <c r="M60" s="298">
        <v>4200</v>
      </c>
      <c r="N60" s="299">
        <f t="shared" si="12"/>
        <v>200</v>
      </c>
      <c r="O60" s="483">
        <v>1</v>
      </c>
      <c r="P60" s="483">
        <v>1</v>
      </c>
      <c r="Q60" s="291">
        <f t="shared" si="13"/>
        <v>0</v>
      </c>
      <c r="R60" s="291">
        <f t="shared" si="14"/>
        <v>0</v>
      </c>
      <c r="S60" s="300">
        <f t="shared" si="9"/>
        <v>0</v>
      </c>
      <c r="T60" s="300">
        <f t="shared" si="10"/>
        <v>0</v>
      </c>
      <c r="U60" s="769" t="str">
        <f t="shared" si="11"/>
        <v>S</v>
      </c>
      <c r="V60" s="302" t="s">
        <v>1030</v>
      </c>
      <c r="W60" s="303">
        <f>(Q60+R60)*'1.0-Contractblad'!$L$37</f>
        <v>0</v>
      </c>
      <c r="X60" s="303">
        <f ca="1">VLOOKUP(E60,'1.1a-Jaarprijzen'!$B$32:$Q$51,16,FALSE)*K60</f>
        <v>0</v>
      </c>
      <c r="Z60" s="771">
        <f t="shared" si="15"/>
        <v>1000</v>
      </c>
      <c r="AA60" s="491" t="str">
        <f t="shared" si="16"/>
        <v>4200-200</v>
      </c>
    </row>
    <row r="61" spans="2:27" s="489" customFormat="1" ht="15" hidden="1">
      <c r="B61" s="329"/>
      <c r="C61" s="330"/>
      <c r="D61" s="294">
        <f>VLOOKUP(E61,'1.1a-Jaarprijzen'!$B$13:$G$29,6,FALSE)</f>
        <v>3</v>
      </c>
      <c r="E61" s="293" t="s">
        <v>738</v>
      </c>
      <c r="F61" s="294" t="s">
        <v>572</v>
      </c>
      <c r="G61" s="294" t="s">
        <v>528</v>
      </c>
      <c r="H61" s="709" t="s">
        <v>477</v>
      </c>
      <c r="I61" s="296" t="str">
        <f t="shared" si="0"/>
        <v>sanitaire ruimte (toilet-/doucheruimte)</v>
      </c>
      <c r="J61" s="294" t="s">
        <v>658</v>
      </c>
      <c r="K61" s="297">
        <v>11</v>
      </c>
      <c r="L61" s="297"/>
      <c r="M61" s="298">
        <v>4200</v>
      </c>
      <c r="N61" s="299">
        <f t="shared" si="12"/>
        <v>200</v>
      </c>
      <c r="O61" s="483">
        <v>1</v>
      </c>
      <c r="P61" s="483">
        <v>1</v>
      </c>
      <c r="Q61" s="291">
        <f t="shared" si="13"/>
        <v>0</v>
      </c>
      <c r="R61" s="291">
        <f t="shared" si="14"/>
        <v>0</v>
      </c>
      <c r="S61" s="300">
        <f t="shared" si="9"/>
        <v>0</v>
      </c>
      <c r="T61" s="300">
        <f t="shared" si="10"/>
        <v>0</v>
      </c>
      <c r="U61" s="769" t="str">
        <f t="shared" si="11"/>
        <v>S</v>
      </c>
      <c r="V61" s="302"/>
      <c r="W61" s="303">
        <f>(Q61+R61)*'1.0-Contractblad'!$L$37</f>
        <v>0</v>
      </c>
      <c r="X61" s="303">
        <f ca="1">VLOOKUP(E61,'1.1a-Jaarprijzen'!$B$32:$Q$51,16,FALSE)*K61</f>
        <v>0</v>
      </c>
      <c r="Z61" s="771">
        <f t="shared" si="15"/>
        <v>2200</v>
      </c>
      <c r="AA61" s="491" t="str">
        <f t="shared" si="16"/>
        <v>4200-200</v>
      </c>
    </row>
    <row r="62" spans="2:27" s="489" customFormat="1" ht="15" hidden="1">
      <c r="B62" s="329"/>
      <c r="C62" s="330"/>
      <c r="D62" s="294">
        <f>VLOOKUP(E62,'1.1a-Jaarprijzen'!$B$13:$G$29,6,FALSE)</f>
        <v>3</v>
      </c>
      <c r="E62" s="293" t="s">
        <v>738</v>
      </c>
      <c r="F62" s="294" t="s">
        <v>572</v>
      </c>
      <c r="G62" s="294" t="s">
        <v>529</v>
      </c>
      <c r="H62" s="709" t="s">
        <v>477</v>
      </c>
      <c r="I62" s="296" t="str">
        <f t="shared" si="0"/>
        <v>sanitaire ruimte (toilet-/doucheruimte)</v>
      </c>
      <c r="J62" s="294" t="s">
        <v>658</v>
      </c>
      <c r="K62" s="297">
        <v>5</v>
      </c>
      <c r="L62" s="297"/>
      <c r="M62" s="298">
        <v>4200</v>
      </c>
      <c r="N62" s="299">
        <f t="shared" si="12"/>
        <v>200</v>
      </c>
      <c r="O62" s="483">
        <v>1</v>
      </c>
      <c r="P62" s="483">
        <v>1</v>
      </c>
      <c r="Q62" s="291">
        <f t="shared" si="13"/>
        <v>0</v>
      </c>
      <c r="R62" s="291">
        <f t="shared" si="14"/>
        <v>0</v>
      </c>
      <c r="S62" s="300">
        <f t="shared" si="9"/>
        <v>0</v>
      </c>
      <c r="T62" s="300">
        <f t="shared" si="10"/>
        <v>0</v>
      </c>
      <c r="U62" s="769" t="str">
        <f t="shared" si="11"/>
        <v>S</v>
      </c>
      <c r="V62" s="302"/>
      <c r="W62" s="303">
        <f>(Q62+R62)*'1.0-Contractblad'!$L$37</f>
        <v>0</v>
      </c>
      <c r="X62" s="303">
        <f ca="1">VLOOKUP(E62,'1.1a-Jaarprijzen'!$B$32:$Q$51,16,FALSE)*K62</f>
        <v>0</v>
      </c>
      <c r="Z62" s="771">
        <f t="shared" si="15"/>
        <v>1000</v>
      </c>
      <c r="AA62" s="491" t="str">
        <f t="shared" si="16"/>
        <v>4200-200</v>
      </c>
    </row>
    <row r="63" spans="2:27" s="489" customFormat="1" ht="15" hidden="1">
      <c r="B63" s="329"/>
      <c r="C63" s="330"/>
      <c r="D63" s="294">
        <f>VLOOKUP(E63,'1.1a-Jaarprijzen'!$B$13:$G$29,6,FALSE)</f>
        <v>3</v>
      </c>
      <c r="E63" s="293" t="s">
        <v>738</v>
      </c>
      <c r="F63" s="294" t="s">
        <v>572</v>
      </c>
      <c r="G63" s="294" t="s">
        <v>530</v>
      </c>
      <c r="H63" s="709" t="s">
        <v>477</v>
      </c>
      <c r="I63" s="296" t="str">
        <f t="shared" si="0"/>
        <v>sanitaire ruimte (toilet-/doucheruimte)</v>
      </c>
      <c r="J63" s="294" t="s">
        <v>658</v>
      </c>
      <c r="K63" s="297">
        <v>6</v>
      </c>
      <c r="L63" s="297"/>
      <c r="M63" s="298">
        <v>4200</v>
      </c>
      <c r="N63" s="299">
        <f t="shared" si="12"/>
        <v>200</v>
      </c>
      <c r="O63" s="483">
        <v>1</v>
      </c>
      <c r="P63" s="483">
        <v>1</v>
      </c>
      <c r="Q63" s="291">
        <f t="shared" si="13"/>
        <v>0</v>
      </c>
      <c r="R63" s="291">
        <f t="shared" si="14"/>
        <v>0</v>
      </c>
      <c r="S63" s="300">
        <f t="shared" si="9"/>
        <v>0</v>
      </c>
      <c r="T63" s="300">
        <f t="shared" si="10"/>
        <v>0</v>
      </c>
      <c r="U63" s="769" t="str">
        <f t="shared" si="11"/>
        <v>S</v>
      </c>
      <c r="V63" s="302"/>
      <c r="W63" s="303">
        <f>(Q63+R63)*'1.0-Contractblad'!$L$37</f>
        <v>0</v>
      </c>
      <c r="X63" s="303">
        <f ca="1">VLOOKUP(E63,'1.1a-Jaarprijzen'!$B$32:$Q$51,16,FALSE)*K63</f>
        <v>0</v>
      </c>
      <c r="Z63" s="771">
        <f t="shared" si="15"/>
        <v>1200</v>
      </c>
      <c r="AA63" s="491" t="str">
        <f t="shared" si="16"/>
        <v>4200-200</v>
      </c>
    </row>
    <row r="64" spans="2:27" s="489" customFormat="1" ht="15" hidden="1">
      <c r="B64" s="329"/>
      <c r="C64" s="330"/>
      <c r="D64" s="294">
        <f>VLOOKUP(E64,'1.1a-Jaarprijzen'!$B$13:$G$29,6,FALSE)</f>
        <v>3</v>
      </c>
      <c r="E64" s="293" t="s">
        <v>738</v>
      </c>
      <c r="F64" s="294" t="s">
        <v>572</v>
      </c>
      <c r="G64" s="294" t="s">
        <v>531</v>
      </c>
      <c r="H64" s="709" t="s">
        <v>477</v>
      </c>
      <c r="I64" s="296" t="str">
        <f t="shared" si="0"/>
        <v>sanitaire ruimte (toilet-/doucheruimte)</v>
      </c>
      <c r="J64" s="294" t="s">
        <v>658</v>
      </c>
      <c r="K64" s="297">
        <v>11</v>
      </c>
      <c r="L64" s="297"/>
      <c r="M64" s="298">
        <v>4200</v>
      </c>
      <c r="N64" s="299">
        <f t="shared" si="12"/>
        <v>200</v>
      </c>
      <c r="O64" s="483">
        <v>1</v>
      </c>
      <c r="P64" s="483">
        <v>1</v>
      </c>
      <c r="Q64" s="291">
        <f t="shared" si="13"/>
        <v>0</v>
      </c>
      <c r="R64" s="291">
        <f t="shared" si="14"/>
        <v>0</v>
      </c>
      <c r="S64" s="300">
        <f t="shared" si="9"/>
        <v>0</v>
      </c>
      <c r="T64" s="300">
        <f t="shared" si="10"/>
        <v>0</v>
      </c>
      <c r="U64" s="769" t="str">
        <f t="shared" si="11"/>
        <v>S</v>
      </c>
      <c r="V64" s="302"/>
      <c r="W64" s="303">
        <f>(Q64+R64)*'1.0-Contractblad'!$L$37</f>
        <v>0</v>
      </c>
      <c r="X64" s="303">
        <f ca="1">VLOOKUP(E64,'1.1a-Jaarprijzen'!$B$32:$Q$51,16,FALSE)*K64</f>
        <v>0</v>
      </c>
      <c r="Z64" s="771">
        <f t="shared" si="15"/>
        <v>2200</v>
      </c>
      <c r="AA64" s="491" t="str">
        <f t="shared" si="16"/>
        <v>4200-200</v>
      </c>
    </row>
    <row r="65" spans="2:27" s="489" customFormat="1" ht="15" hidden="1">
      <c r="B65" s="329"/>
      <c r="C65" s="330"/>
      <c r="D65" s="294">
        <f>VLOOKUP(E65,'1.1a-Jaarprijzen'!$B$13:$G$29,6,FALSE)</f>
        <v>3</v>
      </c>
      <c r="E65" s="293" t="s">
        <v>738</v>
      </c>
      <c r="F65" s="294" t="s">
        <v>572</v>
      </c>
      <c r="G65" s="294" t="s">
        <v>532</v>
      </c>
      <c r="H65" s="709" t="s">
        <v>477</v>
      </c>
      <c r="I65" s="296" t="str">
        <f t="shared" si="0"/>
        <v>sanitaire ruimte (toilet-/doucheruimte)</v>
      </c>
      <c r="J65" s="294" t="s">
        <v>658</v>
      </c>
      <c r="K65" s="297">
        <v>11</v>
      </c>
      <c r="L65" s="297"/>
      <c r="M65" s="298">
        <v>4200</v>
      </c>
      <c r="N65" s="299">
        <f t="shared" si="12"/>
        <v>200</v>
      </c>
      <c r="O65" s="483">
        <v>1</v>
      </c>
      <c r="P65" s="483">
        <v>1</v>
      </c>
      <c r="Q65" s="291">
        <f t="shared" si="13"/>
        <v>0</v>
      </c>
      <c r="R65" s="291">
        <f t="shared" si="14"/>
        <v>0</v>
      </c>
      <c r="S65" s="300">
        <f t="shared" si="9"/>
        <v>0</v>
      </c>
      <c r="T65" s="300">
        <f t="shared" si="10"/>
        <v>0</v>
      </c>
      <c r="U65" s="769" t="str">
        <f t="shared" si="11"/>
        <v>S</v>
      </c>
      <c r="V65" s="302"/>
      <c r="W65" s="303">
        <f>(Q65+R65)*'1.0-Contractblad'!$L$37</f>
        <v>0</v>
      </c>
      <c r="X65" s="303">
        <f ca="1">VLOOKUP(E65,'1.1a-Jaarprijzen'!$B$32:$Q$51,16,FALSE)*K65</f>
        <v>0</v>
      </c>
      <c r="Z65" s="771">
        <f t="shared" si="15"/>
        <v>2200</v>
      </c>
      <c r="AA65" s="491" t="str">
        <f t="shared" si="16"/>
        <v>4200-200</v>
      </c>
    </row>
    <row r="66" spans="2:27" s="489" customFormat="1" ht="15" hidden="1">
      <c r="B66" s="329"/>
      <c r="C66" s="330"/>
      <c r="D66" s="294">
        <f>VLOOKUP(E66,'1.1a-Jaarprijzen'!$B$13:$G$29,6,FALSE)</f>
        <v>3</v>
      </c>
      <c r="E66" s="293" t="s">
        <v>738</v>
      </c>
      <c r="F66" s="294" t="s">
        <v>572</v>
      </c>
      <c r="G66" s="294" t="s">
        <v>533</v>
      </c>
      <c r="H66" s="709" t="s">
        <v>477</v>
      </c>
      <c r="I66" s="296" t="str">
        <f t="shared" si="0"/>
        <v>sanitaire ruimte (toilet-/doucheruimte)</v>
      </c>
      <c r="J66" s="294" t="s">
        <v>658</v>
      </c>
      <c r="K66" s="297">
        <v>11</v>
      </c>
      <c r="L66" s="297"/>
      <c r="M66" s="298">
        <v>4200</v>
      </c>
      <c r="N66" s="299">
        <f t="shared" si="12"/>
        <v>200</v>
      </c>
      <c r="O66" s="483">
        <v>1</v>
      </c>
      <c r="P66" s="483">
        <v>1</v>
      </c>
      <c r="Q66" s="291">
        <f t="shared" si="13"/>
        <v>0</v>
      </c>
      <c r="R66" s="291">
        <f t="shared" si="14"/>
        <v>0</v>
      </c>
      <c r="S66" s="300">
        <f t="shared" si="9"/>
        <v>0</v>
      </c>
      <c r="T66" s="300">
        <f t="shared" si="10"/>
        <v>0</v>
      </c>
      <c r="U66" s="769" t="str">
        <f t="shared" si="11"/>
        <v>S</v>
      </c>
      <c r="V66" s="302"/>
      <c r="W66" s="303">
        <f>(Q66+R66)*'1.0-Contractblad'!$L$37</f>
        <v>0</v>
      </c>
      <c r="X66" s="303">
        <f ca="1">VLOOKUP(E66,'1.1a-Jaarprijzen'!$B$32:$Q$51,16,FALSE)*K66</f>
        <v>0</v>
      </c>
      <c r="Z66" s="771">
        <f t="shared" si="15"/>
        <v>2200</v>
      </c>
      <c r="AA66" s="491" t="str">
        <f t="shared" si="16"/>
        <v>4200-200</v>
      </c>
    </row>
    <row r="67" spans="2:27" s="489" customFormat="1" ht="15" hidden="1">
      <c r="B67" s="329"/>
      <c r="C67" s="330"/>
      <c r="D67" s="294">
        <f>VLOOKUP(E67,'1.1a-Jaarprijzen'!$B$13:$G$29,6,FALSE)</f>
        <v>3</v>
      </c>
      <c r="E67" s="293" t="s">
        <v>738</v>
      </c>
      <c r="F67" s="294" t="s">
        <v>572</v>
      </c>
      <c r="G67" s="294" t="s">
        <v>696</v>
      </c>
      <c r="H67" s="709" t="s">
        <v>981</v>
      </c>
      <c r="I67" s="296" t="str">
        <f t="shared" si="0"/>
        <v>trappenhuis</v>
      </c>
      <c r="J67" s="294" t="s">
        <v>748</v>
      </c>
      <c r="K67" s="297">
        <v>6</v>
      </c>
      <c r="L67" s="297"/>
      <c r="M67" s="298">
        <v>9200</v>
      </c>
      <c r="N67" s="299">
        <f t="shared" si="12"/>
        <v>200</v>
      </c>
      <c r="O67" s="483">
        <v>1</v>
      </c>
      <c r="P67" s="483">
        <v>1</v>
      </c>
      <c r="Q67" s="291">
        <f t="shared" si="13"/>
        <v>0</v>
      </c>
      <c r="R67" s="291">
        <f t="shared" si="14"/>
        <v>0</v>
      </c>
      <c r="S67" s="300">
        <f t="shared" si="9"/>
        <v>0</v>
      </c>
      <c r="T67" s="300">
        <f t="shared" si="10"/>
        <v>0</v>
      </c>
      <c r="U67" s="769" t="str">
        <f t="shared" si="11"/>
        <v>V</v>
      </c>
      <c r="V67" s="302"/>
      <c r="W67" s="303">
        <f>(Q67+R67)*'1.0-Contractblad'!$L$37</f>
        <v>0</v>
      </c>
      <c r="X67" s="303">
        <f ca="1">VLOOKUP(E67,'1.1a-Jaarprijzen'!$B$32:$Q$51,16,FALSE)*K67</f>
        <v>0</v>
      </c>
      <c r="Z67" s="771">
        <f t="shared" si="15"/>
        <v>1200</v>
      </c>
      <c r="AA67" s="491" t="str">
        <f t="shared" si="16"/>
        <v>9200-200</v>
      </c>
    </row>
    <row r="68" spans="2:27" s="489" customFormat="1" ht="15" hidden="1">
      <c r="B68" s="329"/>
      <c r="C68" s="330"/>
      <c r="D68" s="294">
        <f>VLOOKUP(E68,'1.1a-Jaarprijzen'!$B$13:$G$29,6,FALSE)</f>
        <v>3</v>
      </c>
      <c r="E68" s="293" t="s">
        <v>738</v>
      </c>
      <c r="F68" s="294" t="s">
        <v>572</v>
      </c>
      <c r="G68" s="294" t="s">
        <v>697</v>
      </c>
      <c r="H68" s="709" t="s">
        <v>982</v>
      </c>
      <c r="I68" s="296" t="str">
        <f t="shared" si="0"/>
        <v>trappenhuis</v>
      </c>
      <c r="J68" s="294" t="s">
        <v>657</v>
      </c>
      <c r="K68" s="297">
        <v>8</v>
      </c>
      <c r="L68" s="297"/>
      <c r="M68" s="298">
        <v>9200</v>
      </c>
      <c r="N68" s="299">
        <f t="shared" si="12"/>
        <v>200</v>
      </c>
      <c r="O68" s="483">
        <v>1</v>
      </c>
      <c r="P68" s="483">
        <v>1</v>
      </c>
      <c r="Q68" s="291">
        <f t="shared" si="13"/>
        <v>0</v>
      </c>
      <c r="R68" s="291">
        <f t="shared" si="14"/>
        <v>0</v>
      </c>
      <c r="S68" s="300">
        <f t="shared" si="9"/>
        <v>0</v>
      </c>
      <c r="T68" s="300">
        <f t="shared" si="10"/>
        <v>0</v>
      </c>
      <c r="U68" s="769" t="str">
        <f t="shared" si="11"/>
        <v>V</v>
      </c>
      <c r="V68" s="302"/>
      <c r="W68" s="303">
        <f>(Q68+R68)*'1.0-Contractblad'!$L$37</f>
        <v>0</v>
      </c>
      <c r="X68" s="303">
        <f ca="1">VLOOKUP(E68,'1.1a-Jaarprijzen'!$B$32:$Q$51,16,FALSE)*K68</f>
        <v>0</v>
      </c>
      <c r="Z68" s="771">
        <f t="shared" si="15"/>
        <v>1600</v>
      </c>
      <c r="AA68" s="491" t="str">
        <f t="shared" si="16"/>
        <v>9200-200</v>
      </c>
    </row>
    <row r="69" spans="2:27" s="489" customFormat="1" ht="15" hidden="1">
      <c r="B69" s="329"/>
      <c r="C69" s="330"/>
      <c r="D69" s="294">
        <f>VLOOKUP(E69,'1.1a-Jaarprijzen'!$B$13:$G$29,6,FALSE)</f>
        <v>3</v>
      </c>
      <c r="E69" s="768" t="s">
        <v>736</v>
      </c>
      <c r="F69" s="294" t="s">
        <v>572</v>
      </c>
      <c r="G69" s="294" t="s">
        <v>652</v>
      </c>
      <c r="H69" s="709" t="s">
        <v>397</v>
      </c>
      <c r="I69" s="296" t="str">
        <f t="shared" si="0"/>
        <v>aula, gemeenschappelijke ruimte, bibliotheek</v>
      </c>
      <c r="J69" s="294" t="s">
        <v>655</v>
      </c>
      <c r="K69" s="297">
        <v>57.12</v>
      </c>
      <c r="L69" s="297"/>
      <c r="M69" s="298">
        <v>2200</v>
      </c>
      <c r="N69" s="299">
        <f t="shared" si="12"/>
        <v>200</v>
      </c>
      <c r="O69" s="483">
        <v>1</v>
      </c>
      <c r="P69" s="483">
        <v>1</v>
      </c>
      <c r="Q69" s="291">
        <f t="shared" si="13"/>
        <v>0</v>
      </c>
      <c r="R69" s="291">
        <f t="shared" si="14"/>
        <v>0</v>
      </c>
      <c r="S69" s="300">
        <f t="shared" si="9"/>
        <v>0</v>
      </c>
      <c r="T69" s="300">
        <f t="shared" si="10"/>
        <v>0</v>
      </c>
      <c r="U69" s="769" t="str">
        <f t="shared" si="11"/>
        <v>V</v>
      </c>
      <c r="V69" s="302"/>
      <c r="W69" s="303">
        <f>(Q69+R69)*'1.0-Contractblad'!$L$37</f>
        <v>0</v>
      </c>
      <c r="X69" s="303">
        <f ca="1">VLOOKUP(E69,'1.1a-Jaarprijzen'!$B$32:$Q$51,16,FALSE)*K69</f>
        <v>0</v>
      </c>
      <c r="Z69" s="771">
        <f t="shared" si="15"/>
        <v>11424</v>
      </c>
      <c r="AA69" s="491" t="str">
        <f t="shared" si="16"/>
        <v>2200-200</v>
      </c>
    </row>
    <row r="70" spans="2:27" s="489" customFormat="1" ht="15" hidden="1">
      <c r="B70" s="329"/>
      <c r="C70" s="330"/>
      <c r="D70" s="294">
        <f>VLOOKUP(E70,'1.1a-Jaarprijzen'!$B$13:$G$29,6,FALSE)</f>
        <v>3</v>
      </c>
      <c r="E70" s="768" t="s">
        <v>736</v>
      </c>
      <c r="F70" s="294" t="s">
        <v>572</v>
      </c>
      <c r="G70" s="295" t="s">
        <v>510</v>
      </c>
      <c r="H70" s="293" t="s">
        <v>394</v>
      </c>
      <c r="I70" s="296" t="str">
        <f t="shared" si="0"/>
        <v>entree, gang, hal, repro</v>
      </c>
      <c r="J70" s="294" t="s">
        <v>656</v>
      </c>
      <c r="K70" s="297">
        <v>17.75</v>
      </c>
      <c r="L70" s="297"/>
      <c r="M70" s="298">
        <v>3200</v>
      </c>
      <c r="N70" s="299">
        <f t="shared" si="12"/>
        <v>200</v>
      </c>
      <c r="O70" s="483">
        <v>1</v>
      </c>
      <c r="P70" s="483">
        <v>1</v>
      </c>
      <c r="Q70" s="291">
        <f t="shared" si="13"/>
        <v>0</v>
      </c>
      <c r="R70" s="291">
        <f t="shared" si="14"/>
        <v>0</v>
      </c>
      <c r="S70" s="300">
        <f t="shared" si="9"/>
        <v>0</v>
      </c>
      <c r="T70" s="300">
        <f t="shared" si="10"/>
        <v>0</v>
      </c>
      <c r="U70" s="769" t="str">
        <f t="shared" si="11"/>
        <v>V</v>
      </c>
      <c r="V70" s="302"/>
      <c r="W70" s="303">
        <f>(Q70+R70)*'1.0-Contractblad'!$L$37</f>
        <v>0</v>
      </c>
      <c r="X70" s="303">
        <f ca="1">VLOOKUP(E70,'1.1a-Jaarprijzen'!$B$32:$Q$51,16,FALSE)*K70</f>
        <v>0</v>
      </c>
      <c r="Z70" s="771">
        <f t="shared" si="15"/>
        <v>3550</v>
      </c>
      <c r="AA70" s="491" t="str">
        <f t="shared" si="16"/>
        <v>3200-200</v>
      </c>
    </row>
    <row r="71" spans="2:27" s="489" customFormat="1" ht="15" hidden="1">
      <c r="B71" s="329"/>
      <c r="C71" s="330"/>
      <c r="D71" s="294">
        <f>VLOOKUP(E71,'1.1a-Jaarprijzen'!$B$13:$G$29,6,FALSE)</f>
        <v>3</v>
      </c>
      <c r="E71" s="768" t="s">
        <v>736</v>
      </c>
      <c r="F71" s="294" t="s">
        <v>572</v>
      </c>
      <c r="G71" s="295" t="s">
        <v>513</v>
      </c>
      <c r="H71" s="293" t="s">
        <v>388</v>
      </c>
      <c r="I71" s="296" t="str">
        <f t="shared" si="0"/>
        <v>entree, gang, hal, repro</v>
      </c>
      <c r="J71" s="294" t="s">
        <v>655</v>
      </c>
      <c r="K71" s="297">
        <v>62.45</v>
      </c>
      <c r="L71" s="297"/>
      <c r="M71" s="298">
        <v>3200</v>
      </c>
      <c r="N71" s="299">
        <f t="shared" si="12"/>
        <v>200</v>
      </c>
      <c r="O71" s="483">
        <v>1</v>
      </c>
      <c r="P71" s="483">
        <v>1</v>
      </c>
      <c r="Q71" s="291">
        <f t="shared" si="13"/>
        <v>0</v>
      </c>
      <c r="R71" s="291">
        <f t="shared" si="14"/>
        <v>0</v>
      </c>
      <c r="S71" s="300">
        <f t="shared" si="9"/>
        <v>0</v>
      </c>
      <c r="T71" s="300">
        <f t="shared" si="10"/>
        <v>0</v>
      </c>
      <c r="U71" s="769" t="str">
        <f t="shared" si="11"/>
        <v>V</v>
      </c>
      <c r="V71" s="302"/>
      <c r="W71" s="303">
        <f>(Q71+R71)*'1.0-Contractblad'!$L$37</f>
        <v>0</v>
      </c>
      <c r="X71" s="303">
        <f ca="1">VLOOKUP(E71,'1.1a-Jaarprijzen'!$B$32:$Q$51,16,FALSE)*K71</f>
        <v>0</v>
      </c>
      <c r="Z71" s="771">
        <f t="shared" si="15"/>
        <v>12490</v>
      </c>
      <c r="AA71" s="491" t="str">
        <f t="shared" si="16"/>
        <v>3200-200</v>
      </c>
    </row>
    <row r="72" spans="2:27" s="489" customFormat="1" ht="15" hidden="1">
      <c r="B72" s="329"/>
      <c r="C72" s="330"/>
      <c r="D72" s="294">
        <f>VLOOKUP(E72,'1.1a-Jaarprijzen'!$B$13:$G$29,6,FALSE)</f>
        <v>3</v>
      </c>
      <c r="E72" s="768" t="s">
        <v>736</v>
      </c>
      <c r="F72" s="294" t="s">
        <v>572</v>
      </c>
      <c r="G72" s="295" t="s">
        <v>514</v>
      </c>
      <c r="H72" s="293" t="s">
        <v>388</v>
      </c>
      <c r="I72" s="296" t="str">
        <f t="shared" si="0"/>
        <v>entree, gang, hal, repro</v>
      </c>
      <c r="J72" s="294" t="s">
        <v>655</v>
      </c>
      <c r="K72" s="297">
        <v>46.8</v>
      </c>
      <c r="L72" s="297"/>
      <c r="M72" s="298">
        <v>3200</v>
      </c>
      <c r="N72" s="299">
        <f t="shared" si="12"/>
        <v>200</v>
      </c>
      <c r="O72" s="483">
        <v>1</v>
      </c>
      <c r="P72" s="483">
        <v>1</v>
      </c>
      <c r="Q72" s="291">
        <f t="shared" si="13"/>
        <v>0</v>
      </c>
      <c r="R72" s="291">
        <f t="shared" si="14"/>
        <v>0</v>
      </c>
      <c r="S72" s="300">
        <f t="shared" si="9"/>
        <v>0</v>
      </c>
      <c r="T72" s="300">
        <f t="shared" si="10"/>
        <v>0</v>
      </c>
      <c r="U72" s="769" t="str">
        <f t="shared" si="11"/>
        <v>V</v>
      </c>
      <c r="V72" s="302"/>
      <c r="W72" s="303">
        <f>(Q72+R72)*'1.0-Contractblad'!$L$37</f>
        <v>0</v>
      </c>
      <c r="X72" s="303">
        <f ca="1">VLOOKUP(E72,'1.1a-Jaarprijzen'!$B$32:$Q$51,16,FALSE)*K72</f>
        <v>0</v>
      </c>
      <c r="Z72" s="771">
        <f t="shared" si="15"/>
        <v>9360</v>
      </c>
      <c r="AA72" s="491" t="str">
        <f t="shared" si="16"/>
        <v>3200-200</v>
      </c>
    </row>
    <row r="73" spans="2:27" s="489" customFormat="1" ht="15" hidden="1">
      <c r="B73" s="329"/>
      <c r="C73" s="330"/>
      <c r="D73" s="294">
        <f>VLOOKUP(E73,'1.1a-Jaarprijzen'!$B$13:$G$29,6,FALSE)</f>
        <v>3</v>
      </c>
      <c r="E73" s="768" t="s">
        <v>736</v>
      </c>
      <c r="F73" s="294" t="s">
        <v>572</v>
      </c>
      <c r="G73" s="295" t="s">
        <v>515</v>
      </c>
      <c r="H73" s="293" t="s">
        <v>388</v>
      </c>
      <c r="I73" s="296" t="str">
        <f t="shared" si="0"/>
        <v>entree, gang, hal, repro</v>
      </c>
      <c r="J73" s="294" t="s">
        <v>655</v>
      </c>
      <c r="K73" s="297">
        <v>186.53</v>
      </c>
      <c r="L73" s="297"/>
      <c r="M73" s="298">
        <v>3200</v>
      </c>
      <c r="N73" s="299">
        <f t="shared" si="12"/>
        <v>200</v>
      </c>
      <c r="O73" s="483">
        <v>1</v>
      </c>
      <c r="P73" s="483">
        <v>1</v>
      </c>
      <c r="Q73" s="291">
        <f t="shared" si="13"/>
        <v>0</v>
      </c>
      <c r="R73" s="291">
        <f t="shared" si="14"/>
        <v>0</v>
      </c>
      <c r="S73" s="300">
        <f t="shared" si="9"/>
        <v>0</v>
      </c>
      <c r="T73" s="300">
        <f t="shared" si="10"/>
        <v>0</v>
      </c>
      <c r="U73" s="769" t="str">
        <f t="shared" si="11"/>
        <v>V</v>
      </c>
      <c r="V73" s="302"/>
      <c r="W73" s="303">
        <f>(Q73+R73)*'1.0-Contractblad'!$L$37</f>
        <v>0</v>
      </c>
      <c r="X73" s="303">
        <f ca="1">VLOOKUP(E73,'1.1a-Jaarprijzen'!$B$32:$Q$51,16,FALSE)*K73</f>
        <v>0</v>
      </c>
      <c r="Z73" s="771">
        <f t="shared" si="15"/>
        <v>37306</v>
      </c>
      <c r="AA73" s="491" t="str">
        <f t="shared" si="16"/>
        <v>3200-200</v>
      </c>
    </row>
    <row r="74" spans="2:27" s="489" customFormat="1" ht="15" hidden="1">
      <c r="B74" s="329"/>
      <c r="C74" s="330"/>
      <c r="D74" s="294">
        <f>VLOOKUP(E74,'1.1a-Jaarprijzen'!$B$13:$G$29,6,FALSE)</f>
        <v>3</v>
      </c>
      <c r="E74" s="768" t="s">
        <v>736</v>
      </c>
      <c r="F74" s="294" t="s">
        <v>572</v>
      </c>
      <c r="G74" s="295" t="s">
        <v>516</v>
      </c>
      <c r="H74" s="293" t="s">
        <v>388</v>
      </c>
      <c r="I74" s="296" t="str">
        <f t="shared" si="0"/>
        <v>entree, gang, hal, repro</v>
      </c>
      <c r="J74" s="294" t="s">
        <v>655</v>
      </c>
      <c r="K74" s="297">
        <v>33.47</v>
      </c>
      <c r="L74" s="297"/>
      <c r="M74" s="298">
        <v>3200</v>
      </c>
      <c r="N74" s="299">
        <f t="shared" si="12"/>
        <v>200</v>
      </c>
      <c r="O74" s="483">
        <v>1</v>
      </c>
      <c r="P74" s="483">
        <v>1</v>
      </c>
      <c r="Q74" s="291">
        <f t="shared" si="13"/>
        <v>0</v>
      </c>
      <c r="R74" s="291">
        <f t="shared" si="14"/>
        <v>0</v>
      </c>
      <c r="S74" s="300">
        <f t="shared" si="9"/>
        <v>0</v>
      </c>
      <c r="T74" s="300">
        <f t="shared" si="10"/>
        <v>0</v>
      </c>
      <c r="U74" s="769" t="str">
        <f t="shared" si="11"/>
        <v>V</v>
      </c>
      <c r="V74" s="302"/>
      <c r="W74" s="303">
        <f>(Q74+R74)*'1.0-Contractblad'!$L$37</f>
        <v>0</v>
      </c>
      <c r="X74" s="303">
        <f ca="1">VLOOKUP(E74,'1.1a-Jaarprijzen'!$B$32:$Q$51,16,FALSE)*K74</f>
        <v>0</v>
      </c>
      <c r="Z74" s="771">
        <f t="shared" si="15"/>
        <v>6694</v>
      </c>
      <c r="AA74" s="491" t="str">
        <f t="shared" si="16"/>
        <v>3200-200</v>
      </c>
    </row>
    <row r="75" spans="2:27" s="489" customFormat="1" ht="15" hidden="1">
      <c r="B75" s="329"/>
      <c r="C75" s="330"/>
      <c r="D75" s="294">
        <f>VLOOKUP(E75,'1.1a-Jaarprijzen'!$B$13:$G$29,6,FALSE)</f>
        <v>3</v>
      </c>
      <c r="E75" s="768" t="s">
        <v>736</v>
      </c>
      <c r="F75" s="294" t="s">
        <v>734</v>
      </c>
      <c r="G75" s="295" t="s">
        <v>517</v>
      </c>
      <c r="H75" s="293" t="s">
        <v>388</v>
      </c>
      <c r="I75" s="296" t="str">
        <f t="shared" si="0"/>
        <v>entree, gang, hal, repro</v>
      </c>
      <c r="J75" s="294" t="s">
        <v>655</v>
      </c>
      <c r="K75" s="297">
        <v>47.57</v>
      </c>
      <c r="L75" s="297"/>
      <c r="M75" s="298">
        <v>3200</v>
      </c>
      <c r="N75" s="299">
        <f t="shared" si="12"/>
        <v>200</v>
      </c>
      <c r="O75" s="483">
        <v>1</v>
      </c>
      <c r="P75" s="483">
        <v>1</v>
      </c>
      <c r="Q75" s="291">
        <f t="shared" si="13"/>
        <v>0</v>
      </c>
      <c r="R75" s="291">
        <f t="shared" si="14"/>
        <v>0</v>
      </c>
      <c r="S75" s="300">
        <f t="shared" si="9"/>
        <v>0</v>
      </c>
      <c r="T75" s="300">
        <f t="shared" si="10"/>
        <v>0</v>
      </c>
      <c r="U75" s="769" t="str">
        <f t="shared" si="11"/>
        <v>V</v>
      </c>
      <c r="V75" s="302"/>
      <c r="W75" s="303">
        <f>(Q75+R75)*'1.0-Contractblad'!$L$37</f>
        <v>0</v>
      </c>
      <c r="X75" s="303">
        <f ca="1">VLOOKUP(E75,'1.1a-Jaarprijzen'!$B$32:$Q$51,16,FALSE)*K75</f>
        <v>0</v>
      </c>
      <c r="Z75" s="771">
        <f t="shared" si="15"/>
        <v>9514</v>
      </c>
      <c r="AA75" s="491" t="str">
        <f t="shared" si="16"/>
        <v>3200-200</v>
      </c>
    </row>
    <row r="76" spans="2:27" s="489" customFormat="1" ht="15" hidden="1">
      <c r="B76" s="329"/>
      <c r="C76" s="330"/>
      <c r="D76" s="294">
        <f>VLOOKUP(E76,'1.1a-Jaarprijzen'!$B$13:$G$29,6,FALSE)</f>
        <v>3</v>
      </c>
      <c r="E76" s="768" t="s">
        <v>736</v>
      </c>
      <c r="F76" s="294" t="s">
        <v>734</v>
      </c>
      <c r="G76" s="295" t="s">
        <v>518</v>
      </c>
      <c r="H76" s="293" t="s">
        <v>388</v>
      </c>
      <c r="I76" s="296" t="str">
        <f t="shared" si="0"/>
        <v>entree, gang, hal, repro</v>
      </c>
      <c r="J76" s="294" t="s">
        <v>655</v>
      </c>
      <c r="K76" s="297">
        <v>3.63</v>
      </c>
      <c r="L76" s="297"/>
      <c r="M76" s="298">
        <v>3200</v>
      </c>
      <c r="N76" s="299">
        <f t="shared" si="12"/>
        <v>200</v>
      </c>
      <c r="O76" s="483">
        <v>1</v>
      </c>
      <c r="P76" s="483">
        <v>1</v>
      </c>
      <c r="Q76" s="291">
        <f t="shared" si="13"/>
        <v>0</v>
      </c>
      <c r="R76" s="291">
        <f t="shared" si="14"/>
        <v>0</v>
      </c>
      <c r="S76" s="300">
        <f t="shared" si="9"/>
        <v>0</v>
      </c>
      <c r="T76" s="300">
        <f t="shared" si="10"/>
        <v>0</v>
      </c>
      <c r="U76" s="769" t="str">
        <f t="shared" si="11"/>
        <v>V</v>
      </c>
      <c r="V76" s="302"/>
      <c r="W76" s="303">
        <f>(Q76+R76)*'1.0-Contractblad'!$L$37</f>
        <v>0</v>
      </c>
      <c r="X76" s="303">
        <f ca="1">VLOOKUP(E76,'1.1a-Jaarprijzen'!$B$32:$Q$51,16,FALSE)*K76</f>
        <v>0</v>
      </c>
      <c r="Z76" s="771">
        <f t="shared" si="15"/>
        <v>726</v>
      </c>
      <c r="AA76" s="491" t="str">
        <f t="shared" si="16"/>
        <v>3200-200</v>
      </c>
    </row>
    <row r="77" spans="2:27" s="489" customFormat="1" ht="15" hidden="1">
      <c r="B77" s="329"/>
      <c r="C77" s="330"/>
      <c r="D77" s="294">
        <f>VLOOKUP(E77,'1.1a-Jaarprijzen'!$B$13:$G$29,6,FALSE)</f>
        <v>3</v>
      </c>
      <c r="E77" s="768" t="s">
        <v>736</v>
      </c>
      <c r="F77" s="294" t="s">
        <v>572</v>
      </c>
      <c r="G77" s="295" t="s">
        <v>489</v>
      </c>
      <c r="H77" s="293" t="s">
        <v>404</v>
      </c>
      <c r="I77" s="296" t="str">
        <f t="shared" si="0"/>
        <v>leslokaal groep 1 t/m 3</v>
      </c>
      <c r="J77" s="294" t="s">
        <v>655</v>
      </c>
      <c r="K77" s="297">
        <v>55.69</v>
      </c>
      <c r="L77" s="297"/>
      <c r="M77" s="298">
        <v>7200</v>
      </c>
      <c r="N77" s="299">
        <f t="shared" si="12"/>
        <v>200</v>
      </c>
      <c r="O77" s="483">
        <v>1</v>
      </c>
      <c r="P77" s="483">
        <v>1</v>
      </c>
      <c r="Q77" s="291">
        <f t="shared" si="13"/>
        <v>0</v>
      </c>
      <c r="R77" s="291">
        <f t="shared" si="14"/>
        <v>0</v>
      </c>
      <c r="S77" s="300">
        <f t="shared" si="9"/>
        <v>0</v>
      </c>
      <c r="T77" s="300">
        <f t="shared" si="10"/>
        <v>0</v>
      </c>
      <c r="U77" s="769" t="str">
        <f t="shared" si="11"/>
        <v>L</v>
      </c>
      <c r="V77" s="302"/>
      <c r="W77" s="303">
        <f>(Q77+R77)*'1.0-Contractblad'!$L$37</f>
        <v>0</v>
      </c>
      <c r="X77" s="303">
        <f ca="1">VLOOKUP(E77,'1.1a-Jaarprijzen'!$B$32:$Q$51,16,FALSE)*K77</f>
        <v>0</v>
      </c>
      <c r="Z77" s="771">
        <f t="shared" si="15"/>
        <v>11138</v>
      </c>
      <c r="AA77" s="491" t="str">
        <f t="shared" si="16"/>
        <v>7200-200</v>
      </c>
    </row>
    <row r="78" spans="2:27" s="489" customFormat="1" ht="15" hidden="1">
      <c r="B78" s="329"/>
      <c r="C78" s="330"/>
      <c r="D78" s="294">
        <f>VLOOKUP(E78,'1.1a-Jaarprijzen'!$B$13:$G$29,6,FALSE)</f>
        <v>3</v>
      </c>
      <c r="E78" s="785" t="s">
        <v>736</v>
      </c>
      <c r="F78" s="294" t="s">
        <v>572</v>
      </c>
      <c r="G78" s="295" t="s">
        <v>490</v>
      </c>
      <c r="H78" s="293" t="s">
        <v>404</v>
      </c>
      <c r="I78" s="296" t="str">
        <f t="shared" si="0"/>
        <v>Kinderopvang</v>
      </c>
      <c r="J78" s="294" t="s">
        <v>655</v>
      </c>
      <c r="K78" s="297">
        <v>56.6</v>
      </c>
      <c r="L78" s="297"/>
      <c r="M78" s="298">
        <v>22260</v>
      </c>
      <c r="N78" s="299">
        <f t="shared" si="12"/>
        <v>260</v>
      </c>
      <c r="O78" s="483">
        <v>1</v>
      </c>
      <c r="P78" s="483">
        <v>1</v>
      </c>
      <c r="Q78" s="291">
        <f t="shared" si="13"/>
        <v>0</v>
      </c>
      <c r="R78" s="291">
        <f t="shared" si="14"/>
        <v>0</v>
      </c>
      <c r="S78" s="300">
        <f t="shared" si="9"/>
        <v>0</v>
      </c>
      <c r="T78" s="300">
        <f t="shared" si="10"/>
        <v>0</v>
      </c>
      <c r="U78" s="769" t="str">
        <f t="shared" si="11"/>
        <v>L</v>
      </c>
      <c r="V78" s="302" t="s">
        <v>1027</v>
      </c>
      <c r="W78" s="303">
        <f>(Q78+R78)*'1.0-Contractblad'!$L$37</f>
        <v>0</v>
      </c>
      <c r="X78" s="303">
        <f ca="1">VLOOKUP(E78,'1.1a-Jaarprijzen'!$B$32:$Q$51,16,FALSE)*K78</f>
        <v>0</v>
      </c>
      <c r="Z78" s="771">
        <f t="shared" si="15"/>
        <v>14716</v>
      </c>
      <c r="AA78" s="491" t="str">
        <f t="shared" si="16"/>
        <v>22260-260</v>
      </c>
    </row>
    <row r="79" spans="2:27" s="489" customFormat="1" ht="15" hidden="1">
      <c r="B79" s="329"/>
      <c r="C79" s="330"/>
      <c r="D79" s="294">
        <f>VLOOKUP(E79,'1.1a-Jaarprijzen'!$B$13:$G$29,6,FALSE)</f>
        <v>3</v>
      </c>
      <c r="E79" s="293" t="s">
        <v>736</v>
      </c>
      <c r="F79" s="294" t="s">
        <v>572</v>
      </c>
      <c r="G79" s="295" t="s">
        <v>491</v>
      </c>
      <c r="H79" s="293" t="s">
        <v>404</v>
      </c>
      <c r="I79" s="296" t="str">
        <f t="shared" si="0"/>
        <v>leslokaal groep 1 t/m 3</v>
      </c>
      <c r="J79" s="294" t="s">
        <v>655</v>
      </c>
      <c r="K79" s="297">
        <v>54.62</v>
      </c>
      <c r="L79" s="297"/>
      <c r="M79" s="298">
        <v>7200</v>
      </c>
      <c r="N79" s="299">
        <f t="shared" si="12"/>
        <v>200</v>
      </c>
      <c r="O79" s="483">
        <v>1</v>
      </c>
      <c r="P79" s="483">
        <v>1</v>
      </c>
      <c r="Q79" s="291">
        <f t="shared" si="13"/>
        <v>0</v>
      </c>
      <c r="R79" s="291">
        <f t="shared" si="14"/>
        <v>0</v>
      </c>
      <c r="S79" s="300">
        <f t="shared" si="9"/>
        <v>0</v>
      </c>
      <c r="T79" s="300">
        <f t="shared" si="10"/>
        <v>0</v>
      </c>
      <c r="U79" s="769" t="str">
        <f t="shared" si="11"/>
        <v>L</v>
      </c>
      <c r="V79" s="302"/>
      <c r="W79" s="303">
        <f>(Q79+R79)*'1.0-Contractblad'!$L$37</f>
        <v>0</v>
      </c>
      <c r="X79" s="303">
        <f ca="1">VLOOKUP(E79,'1.1a-Jaarprijzen'!$B$32:$Q$51,16,FALSE)*K79</f>
        <v>0</v>
      </c>
      <c r="Z79" s="771">
        <f t="shared" si="15"/>
        <v>10924</v>
      </c>
      <c r="AA79" s="491" t="str">
        <f t="shared" si="16"/>
        <v>7200-200</v>
      </c>
    </row>
    <row r="80" spans="2:27" s="489" customFormat="1" ht="15" hidden="1">
      <c r="B80" s="329"/>
      <c r="C80" s="330"/>
      <c r="D80" s="294">
        <f>VLOOKUP(E80,'1.1a-Jaarprijzen'!$B$13:$G$29,6,FALSE)</f>
        <v>3</v>
      </c>
      <c r="E80" s="293" t="s">
        <v>736</v>
      </c>
      <c r="F80" s="294" t="s">
        <v>572</v>
      </c>
      <c r="G80" s="295" t="s">
        <v>492</v>
      </c>
      <c r="H80" s="293" t="s">
        <v>404</v>
      </c>
      <c r="I80" s="296" t="str">
        <f t="shared" si="0"/>
        <v>leslokaal groep 1 t/m 3</v>
      </c>
      <c r="J80" s="294" t="s">
        <v>655</v>
      </c>
      <c r="K80" s="297">
        <v>55.56</v>
      </c>
      <c r="L80" s="297"/>
      <c r="M80" s="298">
        <v>7200</v>
      </c>
      <c r="N80" s="299">
        <f t="shared" si="12"/>
        <v>200</v>
      </c>
      <c r="O80" s="483">
        <v>1</v>
      </c>
      <c r="P80" s="483">
        <v>1</v>
      </c>
      <c r="Q80" s="291">
        <f t="shared" si="13"/>
        <v>0</v>
      </c>
      <c r="R80" s="291">
        <f t="shared" si="14"/>
        <v>0</v>
      </c>
      <c r="S80" s="300">
        <f t="shared" si="9"/>
        <v>0</v>
      </c>
      <c r="T80" s="300">
        <f t="shared" si="10"/>
        <v>0</v>
      </c>
      <c r="U80" s="769" t="str">
        <f t="shared" si="11"/>
        <v>L</v>
      </c>
      <c r="V80" s="302"/>
      <c r="W80" s="303">
        <f>(Q80+R80)*'1.0-Contractblad'!$L$37</f>
        <v>0</v>
      </c>
      <c r="X80" s="303">
        <f ca="1">VLOOKUP(E80,'1.1a-Jaarprijzen'!$B$32:$Q$51,16,FALSE)*K80</f>
        <v>0</v>
      </c>
      <c r="Z80" s="771">
        <f t="shared" si="15"/>
        <v>11112</v>
      </c>
      <c r="AA80" s="491" t="str">
        <f t="shared" si="16"/>
        <v>7200-200</v>
      </c>
    </row>
    <row r="81" spans="2:27" s="489" customFormat="1" ht="15" hidden="1">
      <c r="B81" s="329"/>
      <c r="C81" s="330"/>
      <c r="D81" s="294">
        <f>VLOOKUP(E81,'1.1a-Jaarprijzen'!$B$13:$G$29,6,FALSE)</f>
        <v>3</v>
      </c>
      <c r="E81" s="293" t="s">
        <v>736</v>
      </c>
      <c r="F81" s="294" t="s">
        <v>572</v>
      </c>
      <c r="G81" s="295" t="s">
        <v>493</v>
      </c>
      <c r="H81" s="293" t="s">
        <v>404</v>
      </c>
      <c r="I81" s="296" t="str">
        <f t="shared" si="0"/>
        <v>leslokaal/leerplein groep 4 t/m 8</v>
      </c>
      <c r="J81" s="294" t="s">
        <v>655</v>
      </c>
      <c r="K81" s="297">
        <v>54.74</v>
      </c>
      <c r="L81" s="297"/>
      <c r="M81" s="298">
        <v>18200</v>
      </c>
      <c r="N81" s="299">
        <f t="shared" si="12"/>
        <v>200</v>
      </c>
      <c r="O81" s="483">
        <v>1</v>
      </c>
      <c r="P81" s="483">
        <v>1</v>
      </c>
      <c r="Q81" s="291">
        <f t="shared" si="13"/>
        <v>0</v>
      </c>
      <c r="R81" s="291">
        <f t="shared" si="14"/>
        <v>0</v>
      </c>
      <c r="S81" s="300">
        <f t="shared" si="9"/>
        <v>0</v>
      </c>
      <c r="T81" s="300">
        <f t="shared" si="10"/>
        <v>0</v>
      </c>
      <c r="U81" s="769" t="str">
        <f t="shared" si="11"/>
        <v>L</v>
      </c>
      <c r="V81" s="302"/>
      <c r="W81" s="303">
        <f>(Q81+R81)*'1.0-Contractblad'!$L$37</f>
        <v>0</v>
      </c>
      <c r="X81" s="303">
        <f ca="1">VLOOKUP(E81,'1.1a-Jaarprijzen'!$B$32:$Q$51,16,FALSE)*K81</f>
        <v>0</v>
      </c>
      <c r="Z81" s="771">
        <f t="shared" si="15"/>
        <v>10948</v>
      </c>
      <c r="AA81" s="491" t="str">
        <f t="shared" si="16"/>
        <v>18200-200</v>
      </c>
    </row>
    <row r="82" spans="2:27" s="489" customFormat="1" ht="15" hidden="1">
      <c r="B82" s="329"/>
      <c r="C82" s="330"/>
      <c r="D82" s="294">
        <f>VLOOKUP(E82,'1.1a-Jaarprijzen'!$B$13:$G$29,6,FALSE)</f>
        <v>3</v>
      </c>
      <c r="E82" s="293" t="s">
        <v>736</v>
      </c>
      <c r="F82" s="294" t="s">
        <v>572</v>
      </c>
      <c r="G82" s="295" t="s">
        <v>494</v>
      </c>
      <c r="H82" s="293" t="s">
        <v>404</v>
      </c>
      <c r="I82" s="296" t="str">
        <f t="shared" si="0"/>
        <v>leslokaal/leerplein groep 4 t/m 8</v>
      </c>
      <c r="J82" s="294" t="s">
        <v>655</v>
      </c>
      <c r="K82" s="297">
        <v>54.63</v>
      </c>
      <c r="L82" s="297"/>
      <c r="M82" s="298">
        <v>18200</v>
      </c>
      <c r="N82" s="299">
        <f t="shared" si="12"/>
        <v>200</v>
      </c>
      <c r="O82" s="483">
        <v>1</v>
      </c>
      <c r="P82" s="483">
        <v>1</v>
      </c>
      <c r="Q82" s="291">
        <f t="shared" si="13"/>
        <v>0</v>
      </c>
      <c r="R82" s="291">
        <f t="shared" si="14"/>
        <v>0</v>
      </c>
      <c r="S82" s="300">
        <f t="shared" si="9"/>
        <v>0</v>
      </c>
      <c r="T82" s="300">
        <f t="shared" si="10"/>
        <v>0</v>
      </c>
      <c r="U82" s="769" t="str">
        <f t="shared" si="11"/>
        <v>L</v>
      </c>
      <c r="V82" s="302"/>
      <c r="W82" s="303">
        <f>(Q82+R82)*'1.0-Contractblad'!$L$37</f>
        <v>0</v>
      </c>
      <c r="X82" s="303">
        <f ca="1">VLOOKUP(E82,'1.1a-Jaarprijzen'!$B$32:$Q$51,16,FALSE)*K82</f>
        <v>0</v>
      </c>
      <c r="Z82" s="771">
        <f t="shared" si="15"/>
        <v>10926</v>
      </c>
      <c r="AA82" s="491" t="str">
        <f t="shared" si="16"/>
        <v>18200-200</v>
      </c>
    </row>
    <row r="83" spans="2:27" s="489" customFormat="1" ht="15" hidden="1">
      <c r="B83" s="329"/>
      <c r="C83" s="330"/>
      <c r="D83" s="294">
        <f>VLOOKUP(E83,'1.1a-Jaarprijzen'!$B$13:$G$29,6,FALSE)</f>
        <v>3</v>
      </c>
      <c r="E83" s="293" t="s">
        <v>736</v>
      </c>
      <c r="F83" s="294" t="s">
        <v>572</v>
      </c>
      <c r="G83" s="295" t="s">
        <v>495</v>
      </c>
      <c r="H83" s="293" t="s">
        <v>404</v>
      </c>
      <c r="I83" s="296" t="str">
        <f t="shared" si="0"/>
        <v>leslokaal/leerplein groep 4 t/m 8</v>
      </c>
      <c r="J83" s="294" t="s">
        <v>655</v>
      </c>
      <c r="K83" s="297">
        <v>57.1</v>
      </c>
      <c r="L83" s="297"/>
      <c r="M83" s="298">
        <v>18200</v>
      </c>
      <c r="N83" s="299">
        <f t="shared" si="12"/>
        <v>200</v>
      </c>
      <c r="O83" s="483">
        <v>1</v>
      </c>
      <c r="P83" s="483">
        <v>1</v>
      </c>
      <c r="Q83" s="291">
        <f t="shared" si="13"/>
        <v>0</v>
      </c>
      <c r="R83" s="291">
        <f t="shared" si="14"/>
        <v>0</v>
      </c>
      <c r="S83" s="300">
        <f t="shared" si="9"/>
        <v>0</v>
      </c>
      <c r="T83" s="300">
        <f t="shared" si="10"/>
        <v>0</v>
      </c>
      <c r="U83" s="769" t="str">
        <f t="shared" si="11"/>
        <v>L</v>
      </c>
      <c r="V83" s="302"/>
      <c r="W83" s="303">
        <f>(Q83+R83)*'1.0-Contractblad'!$L$37</f>
        <v>0</v>
      </c>
      <c r="X83" s="303">
        <f ca="1">VLOOKUP(E83,'1.1a-Jaarprijzen'!$B$32:$Q$51,16,FALSE)*K83</f>
        <v>0</v>
      </c>
      <c r="Z83" s="771">
        <f t="shared" si="15"/>
        <v>11420</v>
      </c>
      <c r="AA83" s="491" t="str">
        <f t="shared" si="16"/>
        <v>18200-200</v>
      </c>
    </row>
    <row r="84" spans="2:27" s="489" customFormat="1" ht="15" hidden="1">
      <c r="B84" s="329"/>
      <c r="C84" s="330"/>
      <c r="D84" s="294">
        <f>VLOOKUP(E84,'1.1a-Jaarprijzen'!$B$13:$G$29,6,FALSE)</f>
        <v>3</v>
      </c>
      <c r="E84" s="293" t="s">
        <v>736</v>
      </c>
      <c r="F84" s="294" t="s">
        <v>572</v>
      </c>
      <c r="G84" s="294" t="s">
        <v>496</v>
      </c>
      <c r="H84" s="709" t="s">
        <v>404</v>
      </c>
      <c r="I84" s="296" t="str">
        <f t="shared" ref="I84:I348" si="17">IF($M84="",0,VLOOKUP($M84,Kengetal,4,FALSE))</f>
        <v>leslokaal/leerplein groep 4 t/m 8</v>
      </c>
      <c r="J84" s="294" t="s">
        <v>655</v>
      </c>
      <c r="K84" s="297">
        <v>54.67</v>
      </c>
      <c r="L84" s="297"/>
      <c r="M84" s="298">
        <v>18200</v>
      </c>
      <c r="N84" s="299">
        <f t="shared" si="12"/>
        <v>200</v>
      </c>
      <c r="O84" s="483">
        <v>1</v>
      </c>
      <c r="P84" s="483">
        <v>1</v>
      </c>
      <c r="Q84" s="291">
        <f t="shared" si="13"/>
        <v>0</v>
      </c>
      <c r="R84" s="291">
        <f t="shared" si="14"/>
        <v>0</v>
      </c>
      <c r="S84" s="300">
        <f t="shared" si="9"/>
        <v>0</v>
      </c>
      <c r="T84" s="300">
        <f t="shared" si="10"/>
        <v>0</v>
      </c>
      <c r="U84" s="769" t="str">
        <f t="shared" si="11"/>
        <v>L</v>
      </c>
      <c r="V84" s="302"/>
      <c r="W84" s="303">
        <f>(Q84+R84)*'1.0-Contractblad'!$L$37</f>
        <v>0</v>
      </c>
      <c r="X84" s="303">
        <f ca="1">VLOOKUP(E84,'1.1a-Jaarprijzen'!$B$32:$Q$51,16,FALSE)*K84</f>
        <v>0</v>
      </c>
      <c r="Z84" s="771">
        <f t="shared" si="15"/>
        <v>10934</v>
      </c>
      <c r="AA84" s="491" t="str">
        <f t="shared" si="16"/>
        <v>18200-200</v>
      </c>
    </row>
    <row r="85" spans="2:27" s="489" customFormat="1" ht="15" hidden="1">
      <c r="B85" s="329"/>
      <c r="C85" s="330"/>
      <c r="D85" s="294">
        <f>VLOOKUP(E85,'1.1a-Jaarprijzen'!$B$13:$G$29,6,FALSE)</f>
        <v>3</v>
      </c>
      <c r="E85" s="293" t="s">
        <v>736</v>
      </c>
      <c r="F85" s="294" t="s">
        <v>572</v>
      </c>
      <c r="G85" s="294" t="s">
        <v>497</v>
      </c>
      <c r="H85" s="709" t="s">
        <v>404</v>
      </c>
      <c r="I85" s="296" t="str">
        <f t="shared" si="17"/>
        <v>leslokaal/leerplein groep 4 t/m 8</v>
      </c>
      <c r="J85" s="294" t="s">
        <v>655</v>
      </c>
      <c r="K85" s="297">
        <v>54.31</v>
      </c>
      <c r="L85" s="297"/>
      <c r="M85" s="298">
        <v>18200</v>
      </c>
      <c r="N85" s="299">
        <f t="shared" si="12"/>
        <v>200</v>
      </c>
      <c r="O85" s="483">
        <v>1</v>
      </c>
      <c r="P85" s="483">
        <v>1</v>
      </c>
      <c r="Q85" s="291">
        <f t="shared" si="13"/>
        <v>0</v>
      </c>
      <c r="R85" s="291">
        <f t="shared" si="14"/>
        <v>0</v>
      </c>
      <c r="S85" s="300">
        <f t="shared" si="9"/>
        <v>0</v>
      </c>
      <c r="T85" s="300">
        <f t="shared" si="10"/>
        <v>0</v>
      </c>
      <c r="U85" s="769" t="str">
        <f t="shared" si="11"/>
        <v>L</v>
      </c>
      <c r="V85" s="302"/>
      <c r="W85" s="303">
        <f>(Q85+R85)*'1.0-Contractblad'!$L$37</f>
        <v>0</v>
      </c>
      <c r="X85" s="303">
        <f ca="1">VLOOKUP(E85,'1.1a-Jaarprijzen'!$B$32:$Q$51,16,FALSE)*K85</f>
        <v>0</v>
      </c>
      <c r="Z85" s="771">
        <f t="shared" si="15"/>
        <v>10862</v>
      </c>
      <c r="AA85" s="491" t="str">
        <f t="shared" si="16"/>
        <v>18200-200</v>
      </c>
    </row>
    <row r="86" spans="2:27" s="489" customFormat="1" ht="15" hidden="1">
      <c r="B86" s="329"/>
      <c r="C86" s="330"/>
      <c r="D86" s="294">
        <f>VLOOKUP(E86,'1.1a-Jaarprijzen'!$B$13:$G$29,6,FALSE)</f>
        <v>3</v>
      </c>
      <c r="E86" s="293" t="s">
        <v>736</v>
      </c>
      <c r="F86" s="294" t="s">
        <v>572</v>
      </c>
      <c r="G86" s="294" t="s">
        <v>498</v>
      </c>
      <c r="H86" s="709" t="s">
        <v>404</v>
      </c>
      <c r="I86" s="296" t="str">
        <f t="shared" si="17"/>
        <v>leslokaal/leerplein groep 4 t/m 8</v>
      </c>
      <c r="J86" s="294" t="s">
        <v>655</v>
      </c>
      <c r="K86" s="297">
        <v>89.69</v>
      </c>
      <c r="L86" s="297"/>
      <c r="M86" s="298">
        <v>18200</v>
      </c>
      <c r="N86" s="299">
        <f t="shared" si="12"/>
        <v>200</v>
      </c>
      <c r="O86" s="483">
        <v>1</v>
      </c>
      <c r="P86" s="483">
        <v>1</v>
      </c>
      <c r="Q86" s="291">
        <f t="shared" si="13"/>
        <v>0</v>
      </c>
      <c r="R86" s="291">
        <f t="shared" si="14"/>
        <v>0</v>
      </c>
      <c r="S86" s="300">
        <f t="shared" si="9"/>
        <v>0</v>
      </c>
      <c r="T86" s="300">
        <f t="shared" si="10"/>
        <v>0</v>
      </c>
      <c r="U86" s="769" t="str">
        <f t="shared" si="11"/>
        <v>L</v>
      </c>
      <c r="V86" s="302"/>
      <c r="W86" s="303">
        <f>(Q86+R86)*'1.0-Contractblad'!$L$37</f>
        <v>0</v>
      </c>
      <c r="X86" s="303">
        <f ca="1">VLOOKUP(E86,'1.1a-Jaarprijzen'!$B$32:$Q$51,16,FALSE)*K86</f>
        <v>0</v>
      </c>
      <c r="Z86" s="771">
        <f t="shared" si="15"/>
        <v>17938</v>
      </c>
      <c r="AA86" s="491" t="str">
        <f t="shared" si="16"/>
        <v>18200-200</v>
      </c>
    </row>
    <row r="87" spans="2:27" s="489" customFormat="1" ht="15" hidden="1">
      <c r="B87" s="329"/>
      <c r="C87" s="330"/>
      <c r="D87" s="294">
        <f>VLOOKUP(E87,'1.1a-Jaarprijzen'!$B$13:$G$29,6,FALSE)</f>
        <v>3</v>
      </c>
      <c r="E87" s="293" t="s">
        <v>736</v>
      </c>
      <c r="F87" s="294" t="s">
        <v>734</v>
      </c>
      <c r="G87" s="294" t="s">
        <v>499</v>
      </c>
      <c r="H87" s="709" t="s">
        <v>743</v>
      </c>
      <c r="I87" s="296" t="str">
        <f t="shared" si="17"/>
        <v>leslokaal/leerplein groep 4 t/m 8</v>
      </c>
      <c r="J87" s="294" t="s">
        <v>655</v>
      </c>
      <c r="K87" s="297">
        <v>22.21</v>
      </c>
      <c r="L87" s="297"/>
      <c r="M87" s="298">
        <v>18200</v>
      </c>
      <c r="N87" s="299">
        <f t="shared" si="12"/>
        <v>200</v>
      </c>
      <c r="O87" s="483">
        <v>1</v>
      </c>
      <c r="P87" s="483">
        <v>1</v>
      </c>
      <c r="Q87" s="291">
        <f t="shared" si="13"/>
        <v>0</v>
      </c>
      <c r="R87" s="291">
        <f t="shared" si="14"/>
        <v>0</v>
      </c>
      <c r="S87" s="300">
        <f t="shared" si="9"/>
        <v>0</v>
      </c>
      <c r="T87" s="300">
        <f t="shared" si="10"/>
        <v>0</v>
      </c>
      <c r="U87" s="769" t="str">
        <f t="shared" si="11"/>
        <v>L</v>
      </c>
      <c r="V87" s="302"/>
      <c r="W87" s="303">
        <f>(Q87+R87)*'1.0-Contractblad'!$L$37</f>
        <v>0</v>
      </c>
      <c r="X87" s="303">
        <f ca="1">VLOOKUP(E87,'1.1a-Jaarprijzen'!$B$32:$Q$51,16,FALSE)*K87</f>
        <v>0</v>
      </c>
      <c r="Z87" s="771">
        <f t="shared" si="15"/>
        <v>4442</v>
      </c>
      <c r="AA87" s="491" t="str">
        <f t="shared" si="16"/>
        <v>18200-200</v>
      </c>
    </row>
    <row r="88" spans="2:27" s="489" customFormat="1" ht="15" hidden="1">
      <c r="B88" s="329"/>
      <c r="C88" s="330"/>
      <c r="D88" s="294">
        <f>VLOOKUP(E88,'1.1a-Jaarprijzen'!$B$13:$G$29,6,FALSE)</f>
        <v>3</v>
      </c>
      <c r="E88" s="293" t="s">
        <v>736</v>
      </c>
      <c r="F88" s="294" t="s">
        <v>734</v>
      </c>
      <c r="G88" s="294" t="s">
        <v>500</v>
      </c>
      <c r="H88" s="709" t="s">
        <v>404</v>
      </c>
      <c r="I88" s="296" t="str">
        <f t="shared" si="17"/>
        <v>leslokaal/leerplein groep 4 t/m 8</v>
      </c>
      <c r="J88" s="294" t="s">
        <v>655</v>
      </c>
      <c r="K88" s="297">
        <v>53.53</v>
      </c>
      <c r="L88" s="297"/>
      <c r="M88" s="298">
        <v>18200</v>
      </c>
      <c r="N88" s="299">
        <f t="shared" si="12"/>
        <v>200</v>
      </c>
      <c r="O88" s="483">
        <v>1</v>
      </c>
      <c r="P88" s="483">
        <v>1</v>
      </c>
      <c r="Q88" s="291">
        <f t="shared" si="13"/>
        <v>0</v>
      </c>
      <c r="R88" s="291">
        <f t="shared" si="14"/>
        <v>0</v>
      </c>
      <c r="S88" s="300">
        <f t="shared" si="9"/>
        <v>0</v>
      </c>
      <c r="T88" s="300">
        <f t="shared" si="10"/>
        <v>0</v>
      </c>
      <c r="U88" s="769" t="str">
        <f t="shared" si="11"/>
        <v>L</v>
      </c>
      <c r="V88" s="302"/>
      <c r="W88" s="303">
        <f>(Q88+R88)*'1.0-Contractblad'!$L$37</f>
        <v>0</v>
      </c>
      <c r="X88" s="303">
        <f ca="1">VLOOKUP(E88,'1.1a-Jaarprijzen'!$B$32:$Q$51,16,FALSE)*K88</f>
        <v>0</v>
      </c>
      <c r="Z88" s="771">
        <f t="shared" si="15"/>
        <v>10706</v>
      </c>
      <c r="AA88" s="491" t="str">
        <f t="shared" si="16"/>
        <v>18200-200</v>
      </c>
    </row>
    <row r="89" spans="2:27" s="489" customFormat="1" ht="15" hidden="1">
      <c r="B89" s="329"/>
      <c r="C89" s="330"/>
      <c r="D89" s="294">
        <f>VLOOKUP(E89,'1.1a-Jaarprijzen'!$B$13:$G$29,6,FALSE)</f>
        <v>3</v>
      </c>
      <c r="E89" s="293" t="s">
        <v>736</v>
      </c>
      <c r="F89" s="294" t="s">
        <v>734</v>
      </c>
      <c r="G89" s="294" t="s">
        <v>501</v>
      </c>
      <c r="H89" s="709" t="s">
        <v>404</v>
      </c>
      <c r="I89" s="296" t="str">
        <f t="shared" si="17"/>
        <v>leslokaal/leerplein groep 4 t/m 8</v>
      </c>
      <c r="J89" s="294" t="s">
        <v>655</v>
      </c>
      <c r="K89" s="297">
        <v>55.21</v>
      </c>
      <c r="L89" s="297"/>
      <c r="M89" s="298">
        <v>18200</v>
      </c>
      <c r="N89" s="299">
        <f t="shared" si="12"/>
        <v>200</v>
      </c>
      <c r="O89" s="483">
        <v>1</v>
      </c>
      <c r="P89" s="483">
        <v>1</v>
      </c>
      <c r="Q89" s="291">
        <f t="shared" si="13"/>
        <v>0</v>
      </c>
      <c r="R89" s="291">
        <f t="shared" si="14"/>
        <v>0</v>
      </c>
      <c r="S89" s="300">
        <f t="shared" si="9"/>
        <v>0</v>
      </c>
      <c r="T89" s="300">
        <f t="shared" si="10"/>
        <v>0</v>
      </c>
      <c r="U89" s="769" t="str">
        <f t="shared" si="11"/>
        <v>L</v>
      </c>
      <c r="V89" s="302"/>
      <c r="W89" s="303">
        <f>(Q89+R89)*'1.0-Contractblad'!$L$37</f>
        <v>0</v>
      </c>
      <c r="X89" s="303">
        <f ca="1">VLOOKUP(E89,'1.1a-Jaarprijzen'!$B$32:$Q$51,16,FALSE)*K89</f>
        <v>0</v>
      </c>
      <c r="Z89" s="771">
        <f t="shared" si="15"/>
        <v>11042</v>
      </c>
      <c r="AA89" s="491" t="str">
        <f t="shared" si="16"/>
        <v>18200-200</v>
      </c>
    </row>
    <row r="90" spans="2:27" s="489" customFormat="1" ht="15" hidden="1">
      <c r="B90" s="329"/>
      <c r="C90" s="330"/>
      <c r="D90" s="294">
        <f>VLOOKUP(E90,'1.1a-Jaarprijzen'!$B$13:$G$29,6,FALSE)</f>
        <v>3</v>
      </c>
      <c r="E90" s="293" t="s">
        <v>736</v>
      </c>
      <c r="F90" s="294" t="s">
        <v>734</v>
      </c>
      <c r="G90" s="294" t="s">
        <v>502</v>
      </c>
      <c r="H90" s="709" t="s">
        <v>404</v>
      </c>
      <c r="I90" s="296" t="str">
        <f t="shared" si="17"/>
        <v>leslokaal/leerplein groep 4 t/m 8</v>
      </c>
      <c r="J90" s="294" t="s">
        <v>655</v>
      </c>
      <c r="K90" s="297">
        <v>58</v>
      </c>
      <c r="L90" s="297"/>
      <c r="M90" s="298">
        <v>18200</v>
      </c>
      <c r="N90" s="299">
        <f t="shared" si="12"/>
        <v>200</v>
      </c>
      <c r="O90" s="483">
        <v>1</v>
      </c>
      <c r="P90" s="483">
        <v>1</v>
      </c>
      <c r="Q90" s="291">
        <f t="shared" si="13"/>
        <v>0</v>
      </c>
      <c r="R90" s="291">
        <f t="shared" si="14"/>
        <v>0</v>
      </c>
      <c r="S90" s="300">
        <f t="shared" si="9"/>
        <v>0</v>
      </c>
      <c r="T90" s="300">
        <f t="shared" si="10"/>
        <v>0</v>
      </c>
      <c r="U90" s="769" t="str">
        <f t="shared" si="11"/>
        <v>L</v>
      </c>
      <c r="V90" s="302"/>
      <c r="W90" s="303">
        <f>(Q90+R90)*'1.0-Contractblad'!$L$37</f>
        <v>0</v>
      </c>
      <c r="X90" s="303">
        <f ca="1">VLOOKUP(E90,'1.1a-Jaarprijzen'!$B$32:$Q$51,16,FALSE)*K90</f>
        <v>0</v>
      </c>
      <c r="Z90" s="771">
        <f t="shared" si="15"/>
        <v>11600</v>
      </c>
      <c r="AA90" s="491" t="str">
        <f t="shared" si="16"/>
        <v>18200-200</v>
      </c>
    </row>
    <row r="91" spans="2:27" s="489" customFormat="1" ht="15" hidden="1">
      <c r="B91" s="329"/>
      <c r="C91" s="330"/>
      <c r="D91" s="294">
        <f>VLOOKUP(E91,'1.1a-Jaarprijzen'!$B$13:$G$29,6,FALSE)</f>
        <v>3</v>
      </c>
      <c r="E91" s="293" t="s">
        <v>736</v>
      </c>
      <c r="F91" s="294" t="s">
        <v>734</v>
      </c>
      <c r="G91" s="294" t="s">
        <v>503</v>
      </c>
      <c r="H91" s="709" t="s">
        <v>404</v>
      </c>
      <c r="I91" s="296" t="str">
        <f t="shared" si="17"/>
        <v>leslokaal/leerplein groep 4 t/m 8</v>
      </c>
      <c r="J91" s="294" t="s">
        <v>655</v>
      </c>
      <c r="K91" s="297">
        <v>54.67</v>
      </c>
      <c r="L91" s="297"/>
      <c r="M91" s="298">
        <v>18200</v>
      </c>
      <c r="N91" s="299">
        <f t="shared" si="12"/>
        <v>200</v>
      </c>
      <c r="O91" s="483">
        <v>1</v>
      </c>
      <c r="P91" s="483">
        <v>1</v>
      </c>
      <c r="Q91" s="291">
        <f t="shared" si="13"/>
        <v>0</v>
      </c>
      <c r="R91" s="291">
        <f t="shared" si="14"/>
        <v>0</v>
      </c>
      <c r="S91" s="300">
        <f t="shared" si="9"/>
        <v>0</v>
      </c>
      <c r="T91" s="300">
        <f t="shared" si="10"/>
        <v>0</v>
      </c>
      <c r="U91" s="769" t="str">
        <f t="shared" si="11"/>
        <v>L</v>
      </c>
      <c r="V91" s="302"/>
      <c r="W91" s="303">
        <f>(Q91+R91)*'1.0-Contractblad'!$L$37</f>
        <v>0</v>
      </c>
      <c r="X91" s="303">
        <f ca="1">VLOOKUP(E91,'1.1a-Jaarprijzen'!$B$32:$Q$51,16,FALSE)*K91</f>
        <v>0</v>
      </c>
      <c r="Z91" s="771">
        <f t="shared" si="15"/>
        <v>10934</v>
      </c>
      <c r="AA91" s="491" t="str">
        <f t="shared" si="16"/>
        <v>18200-200</v>
      </c>
    </row>
    <row r="92" spans="2:27" s="489" customFormat="1" ht="15" hidden="1">
      <c r="B92" s="329"/>
      <c r="C92" s="330"/>
      <c r="D92" s="294">
        <f>VLOOKUP(E92,'1.1a-Jaarprijzen'!$B$13:$G$29,6,FALSE)</f>
        <v>3</v>
      </c>
      <c r="E92" s="293" t="s">
        <v>736</v>
      </c>
      <c r="F92" s="294" t="s">
        <v>734</v>
      </c>
      <c r="G92" s="294" t="s">
        <v>732</v>
      </c>
      <c r="H92" s="709" t="s">
        <v>404</v>
      </c>
      <c r="I92" s="296" t="str">
        <f t="shared" si="17"/>
        <v>leslokaal/leerplein groep 4 t/m 8</v>
      </c>
      <c r="J92" s="294" t="s">
        <v>655</v>
      </c>
      <c r="K92" s="297">
        <v>55.38</v>
      </c>
      <c r="L92" s="297"/>
      <c r="M92" s="298">
        <v>18200</v>
      </c>
      <c r="N92" s="299">
        <f t="shared" si="12"/>
        <v>200</v>
      </c>
      <c r="O92" s="483">
        <v>1</v>
      </c>
      <c r="P92" s="483">
        <v>1</v>
      </c>
      <c r="Q92" s="291">
        <f t="shared" si="13"/>
        <v>0</v>
      </c>
      <c r="R92" s="291">
        <f t="shared" si="14"/>
        <v>0</v>
      </c>
      <c r="S92" s="300">
        <f t="shared" si="9"/>
        <v>0</v>
      </c>
      <c r="T92" s="300">
        <f t="shared" si="10"/>
        <v>0</v>
      </c>
      <c r="U92" s="769" t="str">
        <f t="shared" si="11"/>
        <v>L</v>
      </c>
      <c r="V92" s="302"/>
      <c r="W92" s="303">
        <f>(Q92+R92)*'1.0-Contractblad'!$L$37</f>
        <v>0</v>
      </c>
      <c r="X92" s="303">
        <f ca="1">VLOOKUP(E92,'1.1a-Jaarprijzen'!$B$32:$Q$51,16,FALSE)*K92</f>
        <v>0</v>
      </c>
      <c r="Z92" s="771">
        <f t="shared" si="15"/>
        <v>11076</v>
      </c>
      <c r="AA92" s="491" t="str">
        <f t="shared" si="16"/>
        <v>18200-200</v>
      </c>
    </row>
    <row r="93" spans="2:27" s="489" customFormat="1" ht="15" hidden="1">
      <c r="B93" s="329"/>
      <c r="C93" s="330"/>
      <c r="D93" s="294">
        <f>VLOOKUP(E93,'1.1a-Jaarprijzen'!$B$13:$G$29,6,FALSE)</f>
        <v>3</v>
      </c>
      <c r="E93" s="293" t="s">
        <v>736</v>
      </c>
      <c r="F93" s="294" t="s">
        <v>572</v>
      </c>
      <c r="G93" s="294" t="s">
        <v>547</v>
      </c>
      <c r="H93" s="709" t="s">
        <v>467</v>
      </c>
      <c r="I93" s="296" t="str">
        <f t="shared" si="17"/>
        <v>gymzaal (berging)</v>
      </c>
      <c r="J93" s="294" t="s">
        <v>463</v>
      </c>
      <c r="K93" s="297">
        <v>8.91</v>
      </c>
      <c r="L93" s="297"/>
      <c r="M93" s="298">
        <v>14040</v>
      </c>
      <c r="N93" s="299">
        <f t="shared" si="12"/>
        <v>40</v>
      </c>
      <c r="O93" s="483">
        <v>1</v>
      </c>
      <c r="P93" s="483">
        <v>1</v>
      </c>
      <c r="Q93" s="291">
        <f t="shared" si="13"/>
        <v>0</v>
      </c>
      <c r="R93" s="291">
        <f t="shared" si="14"/>
        <v>0</v>
      </c>
      <c r="S93" s="300">
        <f t="shared" si="9"/>
        <v>0</v>
      </c>
      <c r="T93" s="300">
        <f t="shared" si="10"/>
        <v>0</v>
      </c>
      <c r="U93" s="769" t="str">
        <f t="shared" si="11"/>
        <v>Sp</v>
      </c>
      <c r="V93" s="302"/>
      <c r="W93" s="303">
        <f>(Q93+R93)*'1.0-Contractblad'!$L$37</f>
        <v>0</v>
      </c>
      <c r="X93" s="303">
        <f ca="1">VLOOKUP(E93,'1.1a-Jaarprijzen'!$B$32:$Q$51,16,FALSE)*K93</f>
        <v>0</v>
      </c>
      <c r="Z93" s="771">
        <f t="shared" si="15"/>
        <v>356.4</v>
      </c>
      <c r="AA93" s="491" t="str">
        <f t="shared" si="16"/>
        <v>14040-40</v>
      </c>
    </row>
    <row r="94" spans="2:27" s="489" customFormat="1" ht="15" hidden="1">
      <c r="B94" s="329"/>
      <c r="C94" s="330"/>
      <c r="D94" s="294">
        <f>VLOOKUP(E94,'1.1a-Jaarprijzen'!$B$13:$G$29,6,FALSE)</f>
        <v>3</v>
      </c>
      <c r="E94" s="293" t="s">
        <v>736</v>
      </c>
      <c r="F94" s="294" t="s">
        <v>572</v>
      </c>
      <c r="G94" s="294" t="s">
        <v>549</v>
      </c>
      <c r="H94" s="709" t="s">
        <v>392</v>
      </c>
      <c r="I94" s="296" t="str">
        <f t="shared" si="17"/>
        <v>niet van toepassing</v>
      </c>
      <c r="J94" s="294" t="s">
        <v>17</v>
      </c>
      <c r="K94" s="297"/>
      <c r="L94" s="297">
        <v>3.73</v>
      </c>
      <c r="M94" s="298" t="s">
        <v>17</v>
      </c>
      <c r="N94" s="299">
        <f t="shared" si="12"/>
        <v>0</v>
      </c>
      <c r="O94" s="483">
        <v>1</v>
      </c>
      <c r="P94" s="483">
        <v>1</v>
      </c>
      <c r="Q94" s="291">
        <f t="shared" si="13"/>
        <v>0</v>
      </c>
      <c r="R94" s="291">
        <f t="shared" si="14"/>
        <v>0</v>
      </c>
      <c r="S94" s="300">
        <f t="shared" ref="S94:S157" si="18">IF($M94=0,0,VLOOKUP($M94,Kengetal,6,FALSE))</f>
        <v>0</v>
      </c>
      <c r="T94" s="300">
        <f t="shared" ref="T94:T157" si="19">IF($M94=0,0,VLOOKUP($M94,Kengetal,7,FALSE))</f>
        <v>0</v>
      </c>
      <c r="U94" s="769">
        <f t="shared" si="11"/>
        <v>0</v>
      </c>
      <c r="V94" s="302"/>
      <c r="W94" s="303">
        <f>(Q94+R94)*'1.0-Contractblad'!$L$37</f>
        <v>0</v>
      </c>
      <c r="X94" s="303">
        <f ca="1">VLOOKUP(E94,'1.1a-Jaarprijzen'!$B$32:$Q$51,16,FALSE)*K94</f>
        <v>0</v>
      </c>
      <c r="Z94" s="771">
        <f t="shared" si="15"/>
        <v>0</v>
      </c>
      <c r="AA94" s="491" t="str">
        <f t="shared" si="16"/>
        <v>nvt-0</v>
      </c>
    </row>
    <row r="95" spans="2:27" s="489" customFormat="1" ht="15" hidden="1">
      <c r="B95" s="329"/>
      <c r="C95" s="330"/>
      <c r="D95" s="294">
        <f>VLOOKUP(E95,'1.1a-Jaarprijzen'!$B$13:$G$29,6,FALSE)</f>
        <v>3</v>
      </c>
      <c r="E95" s="293" t="s">
        <v>736</v>
      </c>
      <c r="F95" s="294" t="s">
        <v>572</v>
      </c>
      <c r="G95" s="294" t="s">
        <v>550</v>
      </c>
      <c r="H95" s="709" t="s">
        <v>400</v>
      </c>
      <c r="I95" s="296" t="str">
        <f t="shared" si="17"/>
        <v>niet van toepassing</v>
      </c>
      <c r="J95" s="294" t="s">
        <v>17</v>
      </c>
      <c r="K95" s="297"/>
      <c r="L95" s="297">
        <v>6.93</v>
      </c>
      <c r="M95" s="298" t="s">
        <v>17</v>
      </c>
      <c r="N95" s="299">
        <f t="shared" si="12"/>
        <v>0</v>
      </c>
      <c r="O95" s="483">
        <v>1</v>
      </c>
      <c r="P95" s="483">
        <v>1</v>
      </c>
      <c r="Q95" s="291">
        <f t="shared" si="13"/>
        <v>0</v>
      </c>
      <c r="R95" s="291">
        <f t="shared" si="14"/>
        <v>0</v>
      </c>
      <c r="S95" s="300">
        <f t="shared" si="18"/>
        <v>0</v>
      </c>
      <c r="T95" s="300">
        <f t="shared" si="19"/>
        <v>0</v>
      </c>
      <c r="U95" s="769">
        <f t="shared" si="11"/>
        <v>0</v>
      </c>
      <c r="V95" s="302"/>
      <c r="W95" s="303">
        <f>(Q95+R95)*'1.0-Contractblad'!$L$37</f>
        <v>0</v>
      </c>
      <c r="X95" s="303">
        <f ca="1">VLOOKUP(E95,'1.1a-Jaarprijzen'!$B$32:$Q$51,16,FALSE)*K95</f>
        <v>0</v>
      </c>
      <c r="Z95" s="771">
        <f t="shared" si="15"/>
        <v>0</v>
      </c>
      <c r="AA95" s="491" t="str">
        <f t="shared" si="16"/>
        <v>nvt-0</v>
      </c>
    </row>
    <row r="96" spans="2:27" s="489" customFormat="1" ht="15" hidden="1">
      <c r="B96" s="329"/>
      <c r="C96" s="330"/>
      <c r="D96" s="294">
        <f>VLOOKUP(E96,'1.1a-Jaarprijzen'!$B$13:$G$29,6,FALSE)</f>
        <v>3</v>
      </c>
      <c r="E96" s="293" t="s">
        <v>736</v>
      </c>
      <c r="F96" s="294" t="s">
        <v>572</v>
      </c>
      <c r="G96" s="294" t="s">
        <v>654</v>
      </c>
      <c r="H96" s="709" t="s">
        <v>389</v>
      </c>
      <c r="I96" s="296" t="str">
        <f t="shared" si="17"/>
        <v>niet van toepassing</v>
      </c>
      <c r="J96" s="294" t="s">
        <v>17</v>
      </c>
      <c r="K96" s="297"/>
      <c r="L96" s="297">
        <v>3.04</v>
      </c>
      <c r="M96" s="298" t="s">
        <v>17</v>
      </c>
      <c r="N96" s="299">
        <f t="shared" si="12"/>
        <v>0</v>
      </c>
      <c r="O96" s="483">
        <v>1</v>
      </c>
      <c r="P96" s="483">
        <v>1</v>
      </c>
      <c r="Q96" s="291">
        <f t="shared" si="13"/>
        <v>0</v>
      </c>
      <c r="R96" s="291">
        <f t="shared" si="14"/>
        <v>0</v>
      </c>
      <c r="S96" s="300">
        <f t="shared" si="18"/>
        <v>0</v>
      </c>
      <c r="T96" s="300">
        <f t="shared" si="19"/>
        <v>0</v>
      </c>
      <c r="U96" s="769">
        <f t="shared" si="11"/>
        <v>0</v>
      </c>
      <c r="V96" s="302"/>
      <c r="W96" s="303">
        <f>(Q96+R96)*'1.0-Contractblad'!$L$37</f>
        <v>0</v>
      </c>
      <c r="X96" s="303">
        <f ca="1">VLOOKUP(E96,'1.1a-Jaarprijzen'!$B$32:$Q$51,16,FALSE)*K96</f>
        <v>0</v>
      </c>
      <c r="Z96" s="771">
        <f t="shared" si="15"/>
        <v>0</v>
      </c>
      <c r="AA96" s="491" t="str">
        <f t="shared" si="16"/>
        <v>nvt-0</v>
      </c>
    </row>
    <row r="97" spans="2:27" s="489" customFormat="1" ht="15" hidden="1">
      <c r="B97" s="329"/>
      <c r="C97" s="330"/>
      <c r="D97" s="294">
        <f>VLOOKUP(E97,'1.1a-Jaarprijzen'!$B$13:$G$29,6,FALSE)</f>
        <v>3</v>
      </c>
      <c r="E97" s="293" t="s">
        <v>736</v>
      </c>
      <c r="F97" s="294" t="s">
        <v>572</v>
      </c>
      <c r="G97" s="294" t="s">
        <v>551</v>
      </c>
      <c r="H97" s="709" t="s">
        <v>548</v>
      </c>
      <c r="I97" s="296" t="str">
        <f t="shared" si="17"/>
        <v>niet van toepassing</v>
      </c>
      <c r="J97" s="294" t="s">
        <v>17</v>
      </c>
      <c r="K97" s="297"/>
      <c r="L97" s="297">
        <v>1</v>
      </c>
      <c r="M97" s="298" t="s">
        <v>17</v>
      </c>
      <c r="N97" s="299">
        <f t="shared" si="12"/>
        <v>0</v>
      </c>
      <c r="O97" s="483">
        <v>1</v>
      </c>
      <c r="P97" s="483">
        <v>1</v>
      </c>
      <c r="Q97" s="291">
        <f t="shared" si="13"/>
        <v>0</v>
      </c>
      <c r="R97" s="291">
        <f t="shared" si="14"/>
        <v>0</v>
      </c>
      <c r="S97" s="300">
        <f t="shared" si="18"/>
        <v>0</v>
      </c>
      <c r="T97" s="300">
        <f t="shared" si="19"/>
        <v>0</v>
      </c>
      <c r="U97" s="769">
        <f t="shared" si="11"/>
        <v>0</v>
      </c>
      <c r="V97" s="302"/>
      <c r="W97" s="303">
        <f>(Q97+R97)*'1.0-Contractblad'!$L$37</f>
        <v>0</v>
      </c>
      <c r="X97" s="303">
        <f ca="1">VLOOKUP(E97,'1.1a-Jaarprijzen'!$B$32:$Q$51,16,FALSE)*K97</f>
        <v>0</v>
      </c>
      <c r="Z97" s="771">
        <f t="shared" si="15"/>
        <v>0</v>
      </c>
      <c r="AA97" s="491" t="str">
        <f t="shared" si="16"/>
        <v>nvt-0</v>
      </c>
    </row>
    <row r="98" spans="2:27" s="489" customFormat="1" ht="15" hidden="1">
      <c r="B98" s="329"/>
      <c r="C98" s="330"/>
      <c r="D98" s="294">
        <f>VLOOKUP(E98,'1.1a-Jaarprijzen'!$B$13:$G$29,6,FALSE)</f>
        <v>3</v>
      </c>
      <c r="E98" s="293" t="s">
        <v>736</v>
      </c>
      <c r="F98" s="294" t="s">
        <v>572</v>
      </c>
      <c r="G98" s="295" t="s">
        <v>552</v>
      </c>
      <c r="H98" s="293" t="s">
        <v>399</v>
      </c>
      <c r="I98" s="296" t="str">
        <f t="shared" si="17"/>
        <v>niet van toepassing</v>
      </c>
      <c r="J98" s="294" t="s">
        <v>17</v>
      </c>
      <c r="K98" s="297"/>
      <c r="L98" s="297">
        <v>3.46</v>
      </c>
      <c r="M98" s="298" t="s">
        <v>17</v>
      </c>
      <c r="N98" s="299">
        <f t="shared" si="12"/>
        <v>0</v>
      </c>
      <c r="O98" s="483">
        <v>1</v>
      </c>
      <c r="P98" s="483">
        <v>1</v>
      </c>
      <c r="Q98" s="291">
        <f t="shared" si="13"/>
        <v>0</v>
      </c>
      <c r="R98" s="291">
        <f t="shared" si="14"/>
        <v>0</v>
      </c>
      <c r="S98" s="300">
        <f t="shared" si="18"/>
        <v>0</v>
      </c>
      <c r="T98" s="300">
        <f t="shared" si="19"/>
        <v>0</v>
      </c>
      <c r="U98" s="769">
        <f t="shared" si="11"/>
        <v>0</v>
      </c>
      <c r="V98" s="302"/>
      <c r="W98" s="303">
        <f>(Q98+R98)*'1.0-Contractblad'!$L$37</f>
        <v>0</v>
      </c>
      <c r="X98" s="303">
        <f ca="1">VLOOKUP(E98,'1.1a-Jaarprijzen'!$B$32:$Q$51,16,FALSE)*K98</f>
        <v>0</v>
      </c>
      <c r="Z98" s="771">
        <f t="shared" si="15"/>
        <v>0</v>
      </c>
      <c r="AA98" s="491" t="str">
        <f t="shared" si="16"/>
        <v>nvt-0</v>
      </c>
    </row>
    <row r="99" spans="2:27" s="489" customFormat="1" ht="15" hidden="1">
      <c r="B99" s="329"/>
      <c r="C99" s="330"/>
      <c r="D99" s="294">
        <f>VLOOKUP(E99,'1.1a-Jaarprijzen'!$B$13:$G$29,6,FALSE)</f>
        <v>3</v>
      </c>
      <c r="E99" s="293" t="s">
        <v>736</v>
      </c>
      <c r="F99" s="294" t="s">
        <v>572</v>
      </c>
      <c r="G99" s="295" t="s">
        <v>553</v>
      </c>
      <c r="H99" s="293" t="s">
        <v>392</v>
      </c>
      <c r="I99" s="296" t="str">
        <f t="shared" si="17"/>
        <v>niet van toepassing</v>
      </c>
      <c r="J99" s="294" t="s">
        <v>17</v>
      </c>
      <c r="K99" s="297"/>
      <c r="L99" s="297">
        <v>6.25</v>
      </c>
      <c r="M99" s="298" t="s">
        <v>17</v>
      </c>
      <c r="N99" s="299">
        <f t="shared" si="12"/>
        <v>0</v>
      </c>
      <c r="O99" s="483">
        <v>1</v>
      </c>
      <c r="P99" s="483">
        <v>1</v>
      </c>
      <c r="Q99" s="291">
        <f t="shared" si="13"/>
        <v>0</v>
      </c>
      <c r="R99" s="291">
        <f t="shared" si="14"/>
        <v>0</v>
      </c>
      <c r="S99" s="300">
        <f t="shared" si="18"/>
        <v>0</v>
      </c>
      <c r="T99" s="300">
        <f t="shared" si="19"/>
        <v>0</v>
      </c>
      <c r="U99" s="769">
        <f t="shared" si="11"/>
        <v>0</v>
      </c>
      <c r="V99" s="302"/>
      <c r="W99" s="303">
        <f>(Q99+R99)*'1.0-Contractblad'!$L$37</f>
        <v>0</v>
      </c>
      <c r="X99" s="303">
        <f ca="1">VLOOKUP(E99,'1.1a-Jaarprijzen'!$B$32:$Q$51,16,FALSE)*K99</f>
        <v>0</v>
      </c>
      <c r="Z99" s="771">
        <f t="shared" si="15"/>
        <v>0</v>
      </c>
      <c r="AA99" s="491" t="str">
        <f t="shared" si="16"/>
        <v>nvt-0</v>
      </c>
    </row>
    <row r="100" spans="2:27" s="489" customFormat="1" ht="15" hidden="1">
      <c r="B100" s="329"/>
      <c r="C100" s="330"/>
      <c r="D100" s="294">
        <f>VLOOKUP(E100,'1.1a-Jaarprijzen'!$B$13:$G$29,6,FALSE)</f>
        <v>3</v>
      </c>
      <c r="E100" s="293" t="s">
        <v>736</v>
      </c>
      <c r="F100" s="294" t="s">
        <v>572</v>
      </c>
      <c r="G100" s="295" t="s">
        <v>554</v>
      </c>
      <c r="H100" s="293" t="s">
        <v>400</v>
      </c>
      <c r="I100" s="296" t="str">
        <f t="shared" si="17"/>
        <v>niet van toepassing</v>
      </c>
      <c r="J100" s="294" t="s">
        <v>17</v>
      </c>
      <c r="K100" s="297"/>
      <c r="L100" s="297">
        <v>35.07</v>
      </c>
      <c r="M100" s="298" t="s">
        <v>17</v>
      </c>
      <c r="N100" s="299">
        <f t="shared" si="12"/>
        <v>0</v>
      </c>
      <c r="O100" s="483">
        <v>1</v>
      </c>
      <c r="P100" s="483">
        <v>1</v>
      </c>
      <c r="Q100" s="291">
        <f t="shared" si="13"/>
        <v>0</v>
      </c>
      <c r="R100" s="291">
        <f t="shared" si="14"/>
        <v>0</v>
      </c>
      <c r="S100" s="300">
        <f t="shared" si="18"/>
        <v>0</v>
      </c>
      <c r="T100" s="300">
        <f t="shared" si="19"/>
        <v>0</v>
      </c>
      <c r="U100" s="769">
        <f t="shared" si="11"/>
        <v>0</v>
      </c>
      <c r="V100" s="302"/>
      <c r="W100" s="303">
        <f>(Q100+R100)*'1.0-Contractblad'!$L$37</f>
        <v>0</v>
      </c>
      <c r="X100" s="303">
        <f ca="1">VLOOKUP(E100,'1.1a-Jaarprijzen'!$B$32:$Q$51,16,FALSE)*K100</f>
        <v>0</v>
      </c>
      <c r="Z100" s="771">
        <f t="shared" si="15"/>
        <v>0</v>
      </c>
      <c r="AA100" s="491" t="str">
        <f t="shared" si="16"/>
        <v>nvt-0</v>
      </c>
    </row>
    <row r="101" spans="2:27" s="489" customFormat="1" ht="15" hidden="1">
      <c r="B101" s="329"/>
      <c r="C101" s="330"/>
      <c r="D101" s="294">
        <f>VLOOKUP(E101,'1.1a-Jaarprijzen'!$B$13:$G$29,6,FALSE)</f>
        <v>3</v>
      </c>
      <c r="E101" s="293" t="s">
        <v>736</v>
      </c>
      <c r="F101" s="294" t="s">
        <v>572</v>
      </c>
      <c r="G101" s="295" t="s">
        <v>555</v>
      </c>
      <c r="H101" s="293" t="s">
        <v>392</v>
      </c>
      <c r="I101" s="296" t="str">
        <f t="shared" si="17"/>
        <v>niet van toepassing</v>
      </c>
      <c r="J101" s="294" t="s">
        <v>17</v>
      </c>
      <c r="K101" s="297"/>
      <c r="L101" s="297">
        <v>11.7</v>
      </c>
      <c r="M101" s="298" t="s">
        <v>17</v>
      </c>
      <c r="N101" s="299">
        <f t="shared" si="12"/>
        <v>0</v>
      </c>
      <c r="O101" s="483">
        <v>1</v>
      </c>
      <c r="P101" s="483">
        <v>1</v>
      </c>
      <c r="Q101" s="291">
        <f t="shared" si="13"/>
        <v>0</v>
      </c>
      <c r="R101" s="291">
        <f t="shared" si="14"/>
        <v>0</v>
      </c>
      <c r="S101" s="300">
        <f t="shared" si="18"/>
        <v>0</v>
      </c>
      <c r="T101" s="300">
        <f t="shared" si="19"/>
        <v>0</v>
      </c>
      <c r="U101" s="769">
        <f t="shared" ref="U101:U164" si="20">IF(M101="","",VLOOKUP(M101,Kengetal,14,FALSE))</f>
        <v>0</v>
      </c>
      <c r="V101" s="302"/>
      <c r="W101" s="303">
        <f>(Q101+R101)*'1.0-Contractblad'!$L$37</f>
        <v>0</v>
      </c>
      <c r="X101" s="303">
        <f ca="1">VLOOKUP(E101,'1.1a-Jaarprijzen'!$B$32:$Q$51,16,FALSE)*K101</f>
        <v>0</v>
      </c>
      <c r="Z101" s="771">
        <f t="shared" si="15"/>
        <v>0</v>
      </c>
      <c r="AA101" s="491" t="str">
        <f t="shared" si="16"/>
        <v>nvt-0</v>
      </c>
    </row>
    <row r="102" spans="2:27" s="489" customFormat="1" ht="15" hidden="1">
      <c r="B102" s="329"/>
      <c r="C102" s="330"/>
      <c r="D102" s="294">
        <f>VLOOKUP(E102,'1.1a-Jaarprijzen'!$B$13:$G$29,6,FALSE)</f>
        <v>3</v>
      </c>
      <c r="E102" s="293" t="s">
        <v>736</v>
      </c>
      <c r="F102" s="294" t="s">
        <v>572</v>
      </c>
      <c r="G102" s="295" t="s">
        <v>557</v>
      </c>
      <c r="H102" s="293" t="s">
        <v>392</v>
      </c>
      <c r="I102" s="296" t="str">
        <f t="shared" si="17"/>
        <v>niet van toepassing</v>
      </c>
      <c r="J102" s="294" t="s">
        <v>17</v>
      </c>
      <c r="K102" s="297"/>
      <c r="L102" s="297">
        <v>4.41</v>
      </c>
      <c r="M102" s="298" t="s">
        <v>17</v>
      </c>
      <c r="N102" s="299">
        <f t="shared" ref="N102:N165" si="21">VLOOKUP(M102,Kengetal,3,FALSE)</f>
        <v>0</v>
      </c>
      <c r="O102" s="483">
        <v>1</v>
      </c>
      <c r="P102" s="483">
        <v>1</v>
      </c>
      <c r="Q102" s="291">
        <f t="shared" ref="Q102:Q165" si="22">S102*K102*O102</f>
        <v>0</v>
      </c>
      <c r="R102" s="291">
        <f t="shared" ref="R102:R165" si="23">T102*K102*P102</f>
        <v>0</v>
      </c>
      <c r="S102" s="300">
        <f t="shared" si="18"/>
        <v>0</v>
      </c>
      <c r="T102" s="300">
        <f t="shared" si="19"/>
        <v>0</v>
      </c>
      <c r="U102" s="769">
        <f t="shared" si="20"/>
        <v>0</v>
      </c>
      <c r="V102" s="302"/>
      <c r="W102" s="303">
        <f>(Q102+R102)*'1.0-Contractblad'!$L$37</f>
        <v>0</v>
      </c>
      <c r="X102" s="303">
        <f ca="1">VLOOKUP(E102,'1.1a-Jaarprijzen'!$B$32:$Q$51,16,FALSE)*K102</f>
        <v>0</v>
      </c>
      <c r="Z102" s="771">
        <f t="shared" ref="Z102:Z165" si="24">K102*N102</f>
        <v>0</v>
      </c>
      <c r="AA102" s="491" t="str">
        <f t="shared" ref="AA102:AA165" si="25">CONCATENATE(M102,"-",N102)</f>
        <v>nvt-0</v>
      </c>
    </row>
    <row r="103" spans="2:27" s="489" customFormat="1" ht="15" hidden="1">
      <c r="B103" s="329"/>
      <c r="C103" s="330"/>
      <c r="D103" s="294">
        <f>VLOOKUP(E103,'1.1a-Jaarprijzen'!$B$13:$G$29,6,FALSE)</f>
        <v>3</v>
      </c>
      <c r="E103" s="293" t="s">
        <v>736</v>
      </c>
      <c r="F103" s="294" t="s">
        <v>572</v>
      </c>
      <c r="G103" s="295" t="s">
        <v>558</v>
      </c>
      <c r="H103" s="293" t="s">
        <v>392</v>
      </c>
      <c r="I103" s="296" t="str">
        <f t="shared" si="17"/>
        <v>niet van toepassing</v>
      </c>
      <c r="J103" s="294" t="s">
        <v>17</v>
      </c>
      <c r="K103" s="297"/>
      <c r="L103" s="297">
        <v>3.07</v>
      </c>
      <c r="M103" s="298" t="s">
        <v>17</v>
      </c>
      <c r="N103" s="299">
        <f t="shared" si="21"/>
        <v>0</v>
      </c>
      <c r="O103" s="483">
        <v>1</v>
      </c>
      <c r="P103" s="483">
        <v>1</v>
      </c>
      <c r="Q103" s="291">
        <f t="shared" si="22"/>
        <v>0</v>
      </c>
      <c r="R103" s="291">
        <f t="shared" si="23"/>
        <v>0</v>
      </c>
      <c r="S103" s="300">
        <f t="shared" si="18"/>
        <v>0</v>
      </c>
      <c r="T103" s="300">
        <f t="shared" si="19"/>
        <v>0</v>
      </c>
      <c r="U103" s="769">
        <f t="shared" si="20"/>
        <v>0</v>
      </c>
      <c r="V103" s="302"/>
      <c r="W103" s="303">
        <f>(Q103+R103)*'1.0-Contractblad'!$L$37</f>
        <v>0</v>
      </c>
      <c r="X103" s="303">
        <f ca="1">VLOOKUP(E103,'1.1a-Jaarprijzen'!$B$32:$Q$51,16,FALSE)*K103</f>
        <v>0</v>
      </c>
      <c r="Z103" s="771">
        <f t="shared" si="24"/>
        <v>0</v>
      </c>
      <c r="AA103" s="491" t="str">
        <f t="shared" si="25"/>
        <v>nvt-0</v>
      </c>
    </row>
    <row r="104" spans="2:27" s="489" customFormat="1" ht="15" hidden="1">
      <c r="B104" s="329"/>
      <c r="C104" s="330"/>
      <c r="D104" s="294">
        <f>VLOOKUP(E104,'1.1a-Jaarprijzen'!$B$13:$G$29,6,FALSE)</f>
        <v>3</v>
      </c>
      <c r="E104" s="293" t="s">
        <v>736</v>
      </c>
      <c r="F104" s="294" t="s">
        <v>734</v>
      </c>
      <c r="G104" s="295" t="s">
        <v>556</v>
      </c>
      <c r="H104" s="293" t="s">
        <v>392</v>
      </c>
      <c r="I104" s="296" t="str">
        <f t="shared" si="17"/>
        <v>niet van toepassing</v>
      </c>
      <c r="J104" s="294" t="s">
        <v>17</v>
      </c>
      <c r="K104" s="297"/>
      <c r="L104" s="297">
        <v>1.7</v>
      </c>
      <c r="M104" s="298" t="s">
        <v>17</v>
      </c>
      <c r="N104" s="299">
        <f t="shared" si="21"/>
        <v>0</v>
      </c>
      <c r="O104" s="483">
        <v>1</v>
      </c>
      <c r="P104" s="483">
        <v>1</v>
      </c>
      <c r="Q104" s="291">
        <f t="shared" si="22"/>
        <v>0</v>
      </c>
      <c r="R104" s="291">
        <f t="shared" si="23"/>
        <v>0</v>
      </c>
      <c r="S104" s="300">
        <f t="shared" si="18"/>
        <v>0</v>
      </c>
      <c r="T104" s="300">
        <f t="shared" si="19"/>
        <v>0</v>
      </c>
      <c r="U104" s="769">
        <f t="shared" si="20"/>
        <v>0</v>
      </c>
      <c r="V104" s="302"/>
      <c r="W104" s="303">
        <f>(Q104+R104)*'1.0-Contractblad'!$L$37</f>
        <v>0</v>
      </c>
      <c r="X104" s="303">
        <f ca="1">VLOOKUP(E104,'1.1a-Jaarprijzen'!$B$32:$Q$51,16,FALSE)*K104</f>
        <v>0</v>
      </c>
      <c r="Z104" s="771">
        <f t="shared" si="24"/>
        <v>0</v>
      </c>
      <c r="AA104" s="491" t="str">
        <f t="shared" si="25"/>
        <v>nvt-0</v>
      </c>
    </row>
    <row r="105" spans="2:27" s="489" customFormat="1" ht="15" hidden="1">
      <c r="B105" s="329"/>
      <c r="C105" s="330"/>
      <c r="D105" s="294">
        <f>VLOOKUP(E105,'1.1a-Jaarprijzen'!$B$13:$G$29,6,FALSE)</f>
        <v>3</v>
      </c>
      <c r="E105" s="293" t="s">
        <v>736</v>
      </c>
      <c r="F105" s="294" t="s">
        <v>734</v>
      </c>
      <c r="G105" s="295" t="s">
        <v>559</v>
      </c>
      <c r="H105" s="293" t="s">
        <v>392</v>
      </c>
      <c r="I105" s="296" t="str">
        <f t="shared" si="17"/>
        <v>niet van toepassing</v>
      </c>
      <c r="J105" s="294" t="s">
        <v>17</v>
      </c>
      <c r="K105" s="297"/>
      <c r="L105" s="297">
        <v>1.89</v>
      </c>
      <c r="M105" s="298" t="s">
        <v>17</v>
      </c>
      <c r="N105" s="299">
        <f t="shared" si="21"/>
        <v>0</v>
      </c>
      <c r="O105" s="483">
        <v>1</v>
      </c>
      <c r="P105" s="483">
        <v>1</v>
      </c>
      <c r="Q105" s="291">
        <f t="shared" si="22"/>
        <v>0</v>
      </c>
      <c r="R105" s="291">
        <f t="shared" si="23"/>
        <v>0</v>
      </c>
      <c r="S105" s="300">
        <f t="shared" si="18"/>
        <v>0</v>
      </c>
      <c r="T105" s="300">
        <f t="shared" si="19"/>
        <v>0</v>
      </c>
      <c r="U105" s="769">
        <f t="shared" si="20"/>
        <v>0</v>
      </c>
      <c r="V105" s="302"/>
      <c r="W105" s="303">
        <f>(Q105+R105)*'1.0-Contractblad'!$L$37</f>
        <v>0</v>
      </c>
      <c r="X105" s="303">
        <f ca="1">VLOOKUP(E105,'1.1a-Jaarprijzen'!$B$32:$Q$51,16,FALSE)*K105</f>
        <v>0</v>
      </c>
      <c r="Z105" s="771">
        <f t="shared" si="24"/>
        <v>0</v>
      </c>
      <c r="AA105" s="491" t="str">
        <f t="shared" si="25"/>
        <v>nvt-0</v>
      </c>
    </row>
    <row r="106" spans="2:27" s="489" customFormat="1" ht="15" hidden="1">
      <c r="B106" s="329"/>
      <c r="C106" s="330"/>
      <c r="D106" s="294">
        <f>VLOOKUP(E106,'1.1a-Jaarprijzen'!$B$13:$G$29,6,FALSE)</f>
        <v>3</v>
      </c>
      <c r="E106" s="293" t="s">
        <v>736</v>
      </c>
      <c r="F106" s="294" t="s">
        <v>734</v>
      </c>
      <c r="G106" s="295" t="s">
        <v>560</v>
      </c>
      <c r="H106" s="293" t="s">
        <v>389</v>
      </c>
      <c r="I106" s="296" t="str">
        <f t="shared" si="17"/>
        <v>niet van toepassing</v>
      </c>
      <c r="J106" s="294" t="s">
        <v>17</v>
      </c>
      <c r="K106" s="297"/>
      <c r="L106" s="297">
        <v>2.16</v>
      </c>
      <c r="M106" s="298" t="s">
        <v>17</v>
      </c>
      <c r="N106" s="299">
        <f t="shared" si="21"/>
        <v>0</v>
      </c>
      <c r="O106" s="483">
        <v>1</v>
      </c>
      <c r="P106" s="483">
        <v>1</v>
      </c>
      <c r="Q106" s="291">
        <f t="shared" si="22"/>
        <v>0</v>
      </c>
      <c r="R106" s="291">
        <f t="shared" si="23"/>
        <v>0</v>
      </c>
      <c r="S106" s="300">
        <f t="shared" si="18"/>
        <v>0</v>
      </c>
      <c r="T106" s="300">
        <f t="shared" si="19"/>
        <v>0</v>
      </c>
      <c r="U106" s="769">
        <f t="shared" si="20"/>
        <v>0</v>
      </c>
      <c r="V106" s="302"/>
      <c r="W106" s="303">
        <f>(Q106+R106)*'1.0-Contractblad'!$L$37</f>
        <v>0</v>
      </c>
      <c r="X106" s="303">
        <f ca="1">VLOOKUP(E106,'1.1a-Jaarprijzen'!$B$32:$Q$51,16,FALSE)*K106</f>
        <v>0</v>
      </c>
      <c r="Z106" s="771">
        <f t="shared" si="24"/>
        <v>0</v>
      </c>
      <c r="AA106" s="491" t="str">
        <f t="shared" si="25"/>
        <v>nvt-0</v>
      </c>
    </row>
    <row r="107" spans="2:27" s="489" customFormat="1" ht="15" hidden="1">
      <c r="B107" s="329"/>
      <c r="C107" s="330"/>
      <c r="D107" s="294">
        <f>VLOOKUP(E107,'1.1a-Jaarprijzen'!$B$13:$G$29,6,FALSE)</f>
        <v>3</v>
      </c>
      <c r="E107" s="293" t="s">
        <v>736</v>
      </c>
      <c r="F107" s="294" t="s">
        <v>734</v>
      </c>
      <c r="G107" s="295" t="s">
        <v>561</v>
      </c>
      <c r="H107" s="293" t="s">
        <v>392</v>
      </c>
      <c r="I107" s="296" t="str">
        <f t="shared" si="17"/>
        <v>niet van toepassing</v>
      </c>
      <c r="J107" s="294" t="s">
        <v>17</v>
      </c>
      <c r="K107" s="297"/>
      <c r="L107" s="297">
        <v>4.21</v>
      </c>
      <c r="M107" s="298" t="s">
        <v>17</v>
      </c>
      <c r="N107" s="299">
        <f t="shared" si="21"/>
        <v>0</v>
      </c>
      <c r="O107" s="483">
        <v>1</v>
      </c>
      <c r="P107" s="483">
        <v>1</v>
      </c>
      <c r="Q107" s="291">
        <f t="shared" si="22"/>
        <v>0</v>
      </c>
      <c r="R107" s="291">
        <f t="shared" si="23"/>
        <v>0</v>
      </c>
      <c r="S107" s="300">
        <f t="shared" si="18"/>
        <v>0</v>
      </c>
      <c r="T107" s="300">
        <f t="shared" si="19"/>
        <v>0</v>
      </c>
      <c r="U107" s="769">
        <f t="shared" si="20"/>
        <v>0</v>
      </c>
      <c r="V107" s="302"/>
      <c r="W107" s="303">
        <f>(Q107+R107)*'1.0-Contractblad'!$L$37</f>
        <v>0</v>
      </c>
      <c r="X107" s="303">
        <f ca="1">VLOOKUP(E107,'1.1a-Jaarprijzen'!$B$32:$Q$51,16,FALSE)*K107</f>
        <v>0</v>
      </c>
      <c r="Z107" s="771">
        <f t="shared" si="24"/>
        <v>0</v>
      </c>
      <c r="AA107" s="491" t="str">
        <f t="shared" si="25"/>
        <v>nvt-0</v>
      </c>
    </row>
    <row r="108" spans="2:27" s="489" customFormat="1" ht="15" hidden="1">
      <c r="B108" s="329"/>
      <c r="C108" s="330"/>
      <c r="D108" s="294">
        <f>VLOOKUP(E108,'1.1a-Jaarprijzen'!$B$13:$G$29,6,FALSE)</f>
        <v>3</v>
      </c>
      <c r="E108" s="293" t="s">
        <v>736</v>
      </c>
      <c r="F108" s="294" t="s">
        <v>734</v>
      </c>
      <c r="G108" s="295" t="s">
        <v>562</v>
      </c>
      <c r="H108" s="293" t="s">
        <v>392</v>
      </c>
      <c r="I108" s="296" t="str">
        <f t="shared" si="17"/>
        <v>niet van toepassing</v>
      </c>
      <c r="J108" s="294" t="s">
        <v>17</v>
      </c>
      <c r="K108" s="297"/>
      <c r="L108" s="297">
        <v>17.41</v>
      </c>
      <c r="M108" s="298" t="s">
        <v>17</v>
      </c>
      <c r="N108" s="299">
        <f t="shared" si="21"/>
        <v>0</v>
      </c>
      <c r="O108" s="483">
        <v>1</v>
      </c>
      <c r="P108" s="483">
        <v>1</v>
      </c>
      <c r="Q108" s="291">
        <f t="shared" si="22"/>
        <v>0</v>
      </c>
      <c r="R108" s="291">
        <f t="shared" si="23"/>
        <v>0</v>
      </c>
      <c r="S108" s="300">
        <f t="shared" si="18"/>
        <v>0</v>
      </c>
      <c r="T108" s="300">
        <f t="shared" si="19"/>
        <v>0</v>
      </c>
      <c r="U108" s="769">
        <f t="shared" si="20"/>
        <v>0</v>
      </c>
      <c r="V108" s="302"/>
      <c r="W108" s="303">
        <f>(Q108+R108)*'1.0-Contractblad'!$L$37</f>
        <v>0</v>
      </c>
      <c r="X108" s="303">
        <f ca="1">VLOOKUP(E108,'1.1a-Jaarprijzen'!$B$32:$Q$51,16,FALSE)*K108</f>
        <v>0</v>
      </c>
      <c r="Z108" s="771">
        <f t="shared" si="24"/>
        <v>0</v>
      </c>
      <c r="AA108" s="491" t="str">
        <f t="shared" si="25"/>
        <v>nvt-0</v>
      </c>
    </row>
    <row r="109" spans="2:27" s="489" customFormat="1" ht="15" hidden="1">
      <c r="B109" s="329"/>
      <c r="C109" s="330"/>
      <c r="D109" s="294">
        <f>VLOOKUP(E109,'1.1a-Jaarprijzen'!$B$13:$G$29,6,FALSE)</f>
        <v>3</v>
      </c>
      <c r="E109" s="293" t="s">
        <v>736</v>
      </c>
      <c r="F109" s="294" t="s">
        <v>734</v>
      </c>
      <c r="G109" s="295" t="s">
        <v>563</v>
      </c>
      <c r="H109" s="293" t="s">
        <v>464</v>
      </c>
      <c r="I109" s="296" t="str">
        <f t="shared" si="17"/>
        <v>niet van toepassing</v>
      </c>
      <c r="J109" s="294" t="s">
        <v>17</v>
      </c>
      <c r="K109" s="297"/>
      <c r="L109" s="297">
        <v>87.48</v>
      </c>
      <c r="M109" s="298" t="s">
        <v>17</v>
      </c>
      <c r="N109" s="299">
        <f t="shared" si="21"/>
        <v>0</v>
      </c>
      <c r="O109" s="483">
        <v>1</v>
      </c>
      <c r="P109" s="483">
        <v>1</v>
      </c>
      <c r="Q109" s="291">
        <f t="shared" si="22"/>
        <v>0</v>
      </c>
      <c r="R109" s="291">
        <f t="shared" si="23"/>
        <v>0</v>
      </c>
      <c r="S109" s="300">
        <f t="shared" si="18"/>
        <v>0</v>
      </c>
      <c r="T109" s="300">
        <f t="shared" si="19"/>
        <v>0</v>
      </c>
      <c r="U109" s="769">
        <f t="shared" si="20"/>
        <v>0</v>
      </c>
      <c r="V109" s="302"/>
      <c r="W109" s="303">
        <f>(Q109+R109)*'1.0-Contractblad'!$L$37</f>
        <v>0</v>
      </c>
      <c r="X109" s="303">
        <f ca="1">VLOOKUP(E109,'1.1a-Jaarprijzen'!$B$32:$Q$51,16,FALSE)*K109</f>
        <v>0</v>
      </c>
      <c r="Z109" s="771">
        <f t="shared" si="24"/>
        <v>0</v>
      </c>
      <c r="AA109" s="491" t="str">
        <f t="shared" si="25"/>
        <v>nvt-0</v>
      </c>
    </row>
    <row r="110" spans="2:27" s="489" customFormat="1" ht="15" hidden="1">
      <c r="B110" s="329"/>
      <c r="C110" s="330"/>
      <c r="D110" s="294">
        <f>VLOOKUP(E110,'1.1a-Jaarprijzen'!$B$13:$G$29,6,FALSE)</f>
        <v>3</v>
      </c>
      <c r="E110" s="293" t="s">
        <v>736</v>
      </c>
      <c r="F110" s="294" t="s">
        <v>572</v>
      </c>
      <c r="G110" s="295" t="s">
        <v>535</v>
      </c>
      <c r="H110" s="293" t="s">
        <v>536</v>
      </c>
      <c r="I110" s="296" t="str">
        <f t="shared" si="17"/>
        <v>administratieve -,  vergaderruimte</v>
      </c>
      <c r="J110" s="294" t="s">
        <v>462</v>
      </c>
      <c r="K110" s="297">
        <v>22.85</v>
      </c>
      <c r="L110" s="297"/>
      <c r="M110" s="298">
        <v>1040</v>
      </c>
      <c r="N110" s="299">
        <f t="shared" si="21"/>
        <v>40</v>
      </c>
      <c r="O110" s="483">
        <v>1</v>
      </c>
      <c r="P110" s="483">
        <v>1</v>
      </c>
      <c r="Q110" s="291">
        <f t="shared" si="22"/>
        <v>0</v>
      </c>
      <c r="R110" s="291">
        <f t="shared" si="23"/>
        <v>0</v>
      </c>
      <c r="S110" s="300">
        <f t="shared" si="18"/>
        <v>0</v>
      </c>
      <c r="T110" s="300">
        <f t="shared" si="19"/>
        <v>0</v>
      </c>
      <c r="U110" s="769" t="str">
        <f t="shared" si="20"/>
        <v>V</v>
      </c>
      <c r="V110" s="302"/>
      <c r="W110" s="303">
        <f>(Q110+R110)*'1.0-Contractblad'!$L$37</f>
        <v>0</v>
      </c>
      <c r="X110" s="303">
        <f ca="1">VLOOKUP(E110,'1.1a-Jaarprijzen'!$B$32:$Q$51,16,FALSE)*K110</f>
        <v>0</v>
      </c>
      <c r="Z110" s="771">
        <f t="shared" si="24"/>
        <v>914</v>
      </c>
      <c r="AA110" s="491" t="str">
        <f t="shared" si="25"/>
        <v>1040-40</v>
      </c>
    </row>
    <row r="111" spans="2:27" s="489" customFormat="1" ht="15" hidden="1">
      <c r="B111" s="329"/>
      <c r="C111" s="330"/>
      <c r="D111" s="294">
        <f>VLOOKUP(E111,'1.1a-Jaarprijzen'!$B$13:$G$29,6,FALSE)</f>
        <v>3</v>
      </c>
      <c r="E111" s="293" t="s">
        <v>736</v>
      </c>
      <c r="F111" s="294" t="s">
        <v>572</v>
      </c>
      <c r="G111" s="295" t="s">
        <v>537</v>
      </c>
      <c r="H111" s="293" t="s">
        <v>538</v>
      </c>
      <c r="I111" s="296" t="str">
        <f t="shared" si="17"/>
        <v>administratieve -,  vergaderruimte</v>
      </c>
      <c r="J111" s="294" t="s">
        <v>462</v>
      </c>
      <c r="K111" s="297">
        <v>6.39</v>
      </c>
      <c r="L111" s="297"/>
      <c r="M111" s="298">
        <v>1040</v>
      </c>
      <c r="N111" s="299">
        <f t="shared" si="21"/>
        <v>40</v>
      </c>
      <c r="O111" s="483">
        <v>1</v>
      </c>
      <c r="P111" s="483">
        <v>1</v>
      </c>
      <c r="Q111" s="291">
        <f t="shared" si="22"/>
        <v>0</v>
      </c>
      <c r="R111" s="291">
        <f t="shared" si="23"/>
        <v>0</v>
      </c>
      <c r="S111" s="300">
        <f t="shared" si="18"/>
        <v>0</v>
      </c>
      <c r="T111" s="300">
        <f t="shared" si="19"/>
        <v>0</v>
      </c>
      <c r="U111" s="769" t="str">
        <f t="shared" si="20"/>
        <v>V</v>
      </c>
      <c r="V111" s="302"/>
      <c r="W111" s="303">
        <f>(Q111+R111)*'1.0-Contractblad'!$L$37</f>
        <v>0</v>
      </c>
      <c r="X111" s="303">
        <f ca="1">VLOOKUP(E111,'1.1a-Jaarprijzen'!$B$32:$Q$51,16,FALSE)*K111</f>
        <v>0</v>
      </c>
      <c r="Z111" s="771">
        <f t="shared" si="24"/>
        <v>255.6</v>
      </c>
      <c r="AA111" s="491" t="str">
        <f t="shared" si="25"/>
        <v>1040-40</v>
      </c>
    </row>
    <row r="112" spans="2:27" s="489" customFormat="1" ht="15" hidden="1">
      <c r="B112" s="329"/>
      <c r="C112" s="330"/>
      <c r="D112" s="294">
        <f>VLOOKUP(E112,'1.1a-Jaarprijzen'!$B$13:$G$29,6,FALSE)</f>
        <v>3</v>
      </c>
      <c r="E112" s="293" t="s">
        <v>736</v>
      </c>
      <c r="F112" s="294" t="s">
        <v>572</v>
      </c>
      <c r="G112" s="295" t="s">
        <v>539</v>
      </c>
      <c r="H112" s="293" t="s">
        <v>543</v>
      </c>
      <c r="I112" s="296" t="str">
        <f t="shared" si="17"/>
        <v>pantry/keuken</v>
      </c>
      <c r="J112" s="294" t="s">
        <v>466</v>
      </c>
      <c r="K112" s="297">
        <v>3.34</v>
      </c>
      <c r="L112" s="297"/>
      <c r="M112" s="298">
        <v>5040</v>
      </c>
      <c r="N112" s="299">
        <f t="shared" si="21"/>
        <v>40</v>
      </c>
      <c r="O112" s="483">
        <v>1</v>
      </c>
      <c r="P112" s="483">
        <v>1</v>
      </c>
      <c r="Q112" s="291">
        <f t="shared" si="22"/>
        <v>0</v>
      </c>
      <c r="R112" s="291">
        <f t="shared" si="23"/>
        <v>0</v>
      </c>
      <c r="S112" s="300">
        <f t="shared" si="18"/>
        <v>0</v>
      </c>
      <c r="T112" s="300">
        <f t="shared" si="19"/>
        <v>0</v>
      </c>
      <c r="U112" s="769" t="str">
        <f t="shared" si="20"/>
        <v>V</v>
      </c>
      <c r="V112" s="302"/>
      <c r="W112" s="303">
        <f>(Q112+R112)*'1.0-Contractblad'!$L$37</f>
        <v>0</v>
      </c>
      <c r="X112" s="303">
        <f ca="1">VLOOKUP(E112,'1.1a-Jaarprijzen'!$B$32:$Q$51,16,FALSE)*K112</f>
        <v>0</v>
      </c>
      <c r="Z112" s="771">
        <f t="shared" si="24"/>
        <v>133.6</v>
      </c>
      <c r="AA112" s="491" t="str">
        <f t="shared" si="25"/>
        <v>5040-40</v>
      </c>
    </row>
    <row r="113" spans="2:27" s="489" customFormat="1" ht="15" hidden="1">
      <c r="B113" s="329"/>
      <c r="C113" s="330"/>
      <c r="D113" s="294">
        <f>VLOOKUP(E113,'1.1a-Jaarprijzen'!$B$13:$G$29,6,FALSE)</f>
        <v>3</v>
      </c>
      <c r="E113" s="293" t="s">
        <v>736</v>
      </c>
      <c r="F113" s="294" t="s">
        <v>572</v>
      </c>
      <c r="G113" s="295" t="s">
        <v>541</v>
      </c>
      <c r="H113" s="293" t="s">
        <v>538</v>
      </c>
      <c r="I113" s="296" t="str">
        <f t="shared" si="17"/>
        <v>administratieve -,  vergaderruimte</v>
      </c>
      <c r="J113" s="294" t="s">
        <v>466</v>
      </c>
      <c r="K113" s="297">
        <v>15.82</v>
      </c>
      <c r="L113" s="297"/>
      <c r="M113" s="298">
        <v>1040</v>
      </c>
      <c r="N113" s="299">
        <f t="shared" si="21"/>
        <v>40</v>
      </c>
      <c r="O113" s="483">
        <v>1</v>
      </c>
      <c r="P113" s="483">
        <v>1</v>
      </c>
      <c r="Q113" s="291">
        <f t="shared" si="22"/>
        <v>0</v>
      </c>
      <c r="R113" s="291">
        <f t="shared" si="23"/>
        <v>0</v>
      </c>
      <c r="S113" s="300">
        <f t="shared" si="18"/>
        <v>0</v>
      </c>
      <c r="T113" s="300">
        <f t="shared" si="19"/>
        <v>0</v>
      </c>
      <c r="U113" s="769" t="str">
        <f t="shared" si="20"/>
        <v>V</v>
      </c>
      <c r="V113" s="302"/>
      <c r="W113" s="303">
        <f>(Q113+R113)*'1.0-Contractblad'!$L$37</f>
        <v>0</v>
      </c>
      <c r="X113" s="303">
        <f ca="1">VLOOKUP(E113,'1.1a-Jaarprijzen'!$B$32:$Q$51,16,FALSE)*K113</f>
        <v>0</v>
      </c>
      <c r="Z113" s="771">
        <f t="shared" si="24"/>
        <v>632.79999999999995</v>
      </c>
      <c r="AA113" s="491" t="str">
        <f t="shared" si="25"/>
        <v>1040-40</v>
      </c>
    </row>
    <row r="114" spans="2:27" s="489" customFormat="1" ht="15" hidden="1">
      <c r="B114" s="329"/>
      <c r="C114" s="330"/>
      <c r="D114" s="294">
        <f>VLOOKUP(E114,'1.1a-Jaarprijzen'!$B$13:$G$29,6,FALSE)</f>
        <v>3</v>
      </c>
      <c r="E114" s="293" t="s">
        <v>736</v>
      </c>
      <c r="F114" s="294" t="s">
        <v>734</v>
      </c>
      <c r="G114" s="295" t="s">
        <v>542</v>
      </c>
      <c r="H114" s="293" t="s">
        <v>388</v>
      </c>
      <c r="I114" s="296" t="str">
        <f t="shared" si="17"/>
        <v>entree, gang, hal, repro</v>
      </c>
      <c r="J114" s="294" t="s">
        <v>466</v>
      </c>
      <c r="K114" s="297">
        <v>23.04</v>
      </c>
      <c r="L114" s="297"/>
      <c r="M114" s="298">
        <v>3200</v>
      </c>
      <c r="N114" s="299">
        <f t="shared" si="21"/>
        <v>200</v>
      </c>
      <c r="O114" s="483">
        <v>1</v>
      </c>
      <c r="P114" s="483">
        <v>1</v>
      </c>
      <c r="Q114" s="291">
        <f t="shared" si="22"/>
        <v>0</v>
      </c>
      <c r="R114" s="291">
        <f t="shared" si="23"/>
        <v>0</v>
      </c>
      <c r="S114" s="300">
        <f t="shared" si="18"/>
        <v>0</v>
      </c>
      <c r="T114" s="300">
        <f t="shared" si="19"/>
        <v>0</v>
      </c>
      <c r="U114" s="769" t="str">
        <f t="shared" si="20"/>
        <v>V</v>
      </c>
      <c r="V114" s="302"/>
      <c r="W114" s="303">
        <f>(Q114+R114)*'1.0-Contractblad'!$L$37</f>
        <v>0</v>
      </c>
      <c r="X114" s="303">
        <f ca="1">VLOOKUP(E114,'1.1a-Jaarprijzen'!$B$32:$Q$51,16,FALSE)*K114</f>
        <v>0</v>
      </c>
      <c r="Z114" s="771">
        <f t="shared" si="24"/>
        <v>4608</v>
      </c>
      <c r="AA114" s="491" t="str">
        <f t="shared" si="25"/>
        <v>3200-200</v>
      </c>
    </row>
    <row r="115" spans="2:27" s="489" customFormat="1" ht="15" hidden="1">
      <c r="B115" s="329"/>
      <c r="C115" s="330"/>
      <c r="D115" s="294">
        <f>VLOOKUP(E115,'1.1a-Jaarprijzen'!$B$13:$G$29,6,FALSE)</f>
        <v>3</v>
      </c>
      <c r="E115" s="293" t="s">
        <v>736</v>
      </c>
      <c r="F115" s="294" t="s">
        <v>734</v>
      </c>
      <c r="G115" s="295" t="s">
        <v>694</v>
      </c>
      <c r="H115" s="293" t="s">
        <v>396</v>
      </c>
      <c r="I115" s="296" t="str">
        <f t="shared" si="17"/>
        <v>pantry/keuken</v>
      </c>
      <c r="J115" s="294" t="s">
        <v>466</v>
      </c>
      <c r="K115" s="297">
        <v>11.92</v>
      </c>
      <c r="L115" s="297"/>
      <c r="M115" s="298">
        <v>5200</v>
      </c>
      <c r="N115" s="299">
        <f t="shared" si="21"/>
        <v>200</v>
      </c>
      <c r="O115" s="483">
        <v>1</v>
      </c>
      <c r="P115" s="483">
        <v>1</v>
      </c>
      <c r="Q115" s="291">
        <f t="shared" si="22"/>
        <v>0</v>
      </c>
      <c r="R115" s="291">
        <f t="shared" si="23"/>
        <v>0</v>
      </c>
      <c r="S115" s="300">
        <f t="shared" si="18"/>
        <v>0</v>
      </c>
      <c r="T115" s="300">
        <f t="shared" si="19"/>
        <v>0</v>
      </c>
      <c r="U115" s="769" t="str">
        <f t="shared" si="20"/>
        <v>V</v>
      </c>
      <c r="V115" s="302"/>
      <c r="W115" s="303">
        <f>(Q115+R115)*'1.0-Contractblad'!$L$37</f>
        <v>0</v>
      </c>
      <c r="X115" s="303">
        <f ca="1">VLOOKUP(E115,'1.1a-Jaarprijzen'!$B$32:$Q$51,16,FALSE)*K115</f>
        <v>0</v>
      </c>
      <c r="Z115" s="771">
        <f t="shared" si="24"/>
        <v>2384</v>
      </c>
      <c r="AA115" s="491" t="str">
        <f t="shared" si="25"/>
        <v>5200-200</v>
      </c>
    </row>
    <row r="116" spans="2:27" s="489" customFormat="1" ht="15" hidden="1">
      <c r="B116" s="329"/>
      <c r="C116" s="330"/>
      <c r="D116" s="294">
        <f>VLOOKUP(E116,'1.1a-Jaarprijzen'!$B$13:$G$29,6,FALSE)</f>
        <v>3</v>
      </c>
      <c r="E116" s="293" t="s">
        <v>736</v>
      </c>
      <c r="F116" s="294" t="s">
        <v>734</v>
      </c>
      <c r="G116" s="295" t="s">
        <v>544</v>
      </c>
      <c r="H116" s="293" t="s">
        <v>744</v>
      </c>
      <c r="I116" s="296" t="str">
        <f t="shared" si="17"/>
        <v>niet van toepassing</v>
      </c>
      <c r="J116" s="294" t="s">
        <v>17</v>
      </c>
      <c r="K116" s="297"/>
      <c r="L116" s="297">
        <v>10.67</v>
      </c>
      <c r="M116" s="298" t="s">
        <v>17</v>
      </c>
      <c r="N116" s="299">
        <f t="shared" si="21"/>
        <v>0</v>
      </c>
      <c r="O116" s="483">
        <v>1</v>
      </c>
      <c r="P116" s="483">
        <v>1</v>
      </c>
      <c r="Q116" s="291">
        <f t="shared" si="22"/>
        <v>0</v>
      </c>
      <c r="R116" s="291">
        <f t="shared" si="23"/>
        <v>0</v>
      </c>
      <c r="S116" s="300">
        <f t="shared" si="18"/>
        <v>0</v>
      </c>
      <c r="T116" s="300">
        <f t="shared" si="19"/>
        <v>0</v>
      </c>
      <c r="U116" s="769">
        <f t="shared" si="20"/>
        <v>0</v>
      </c>
      <c r="V116" s="302"/>
      <c r="W116" s="303">
        <f>(Q116+R116)*'1.0-Contractblad'!$L$37</f>
        <v>0</v>
      </c>
      <c r="X116" s="303">
        <f ca="1">VLOOKUP(E116,'1.1a-Jaarprijzen'!$B$32:$Q$51,16,FALSE)*K116</f>
        <v>0</v>
      </c>
      <c r="Z116" s="771">
        <f t="shared" si="24"/>
        <v>0</v>
      </c>
      <c r="AA116" s="491" t="str">
        <f t="shared" si="25"/>
        <v>nvt-0</v>
      </c>
    </row>
    <row r="117" spans="2:27" s="489" customFormat="1" ht="15" hidden="1">
      <c r="B117" s="329"/>
      <c r="C117" s="330"/>
      <c r="D117" s="294">
        <f>VLOOKUP(E117,'1.1a-Jaarprijzen'!$B$13:$G$29,6,FALSE)</f>
        <v>3</v>
      </c>
      <c r="E117" s="293" t="s">
        <v>736</v>
      </c>
      <c r="F117" s="294" t="s">
        <v>734</v>
      </c>
      <c r="G117" s="295" t="s">
        <v>546</v>
      </c>
      <c r="H117" s="293" t="s">
        <v>540</v>
      </c>
      <c r="I117" s="296" t="str">
        <f t="shared" si="17"/>
        <v>administratieve -,  vergaderruimte</v>
      </c>
      <c r="J117" s="294" t="s">
        <v>466</v>
      </c>
      <c r="K117" s="297">
        <v>20.54</v>
      </c>
      <c r="L117" s="297"/>
      <c r="M117" s="298">
        <v>1200</v>
      </c>
      <c r="N117" s="299">
        <f t="shared" si="21"/>
        <v>200</v>
      </c>
      <c r="O117" s="483">
        <v>1</v>
      </c>
      <c r="P117" s="483">
        <v>1</v>
      </c>
      <c r="Q117" s="291">
        <f t="shared" si="22"/>
        <v>0</v>
      </c>
      <c r="R117" s="291">
        <f t="shared" si="23"/>
        <v>0</v>
      </c>
      <c r="S117" s="300">
        <f t="shared" si="18"/>
        <v>0</v>
      </c>
      <c r="T117" s="300">
        <f t="shared" si="19"/>
        <v>0</v>
      </c>
      <c r="U117" s="769" t="str">
        <f t="shared" si="20"/>
        <v>V</v>
      </c>
      <c r="V117" s="302"/>
      <c r="W117" s="303">
        <f>(Q117+R117)*'1.0-Contractblad'!$L$37</f>
        <v>0</v>
      </c>
      <c r="X117" s="303">
        <f ca="1">VLOOKUP(E117,'1.1a-Jaarprijzen'!$B$32:$Q$51,16,FALSE)*K117</f>
        <v>0</v>
      </c>
      <c r="Z117" s="771">
        <f t="shared" si="24"/>
        <v>4108</v>
      </c>
      <c r="AA117" s="491" t="str">
        <f t="shared" si="25"/>
        <v>1200-200</v>
      </c>
    </row>
    <row r="118" spans="2:27" s="489" customFormat="1" ht="15" hidden="1">
      <c r="B118" s="329"/>
      <c r="C118" s="330"/>
      <c r="D118" s="294">
        <f>VLOOKUP(E118,'1.1a-Jaarprijzen'!$B$13:$G$29,6,FALSE)</f>
        <v>3</v>
      </c>
      <c r="E118" s="293" t="s">
        <v>736</v>
      </c>
      <c r="F118" s="294" t="s">
        <v>572</v>
      </c>
      <c r="G118" s="295" t="s">
        <v>505</v>
      </c>
      <c r="H118" s="293" t="s">
        <v>391</v>
      </c>
      <c r="I118" s="296" t="str">
        <f t="shared" si="17"/>
        <v>speellokaal</v>
      </c>
      <c r="J118" s="294" t="s">
        <v>655</v>
      </c>
      <c r="K118" s="297">
        <v>91.89</v>
      </c>
      <c r="L118" s="297"/>
      <c r="M118" s="298">
        <v>8200</v>
      </c>
      <c r="N118" s="299">
        <f t="shared" si="21"/>
        <v>200</v>
      </c>
      <c r="O118" s="483">
        <v>1</v>
      </c>
      <c r="P118" s="483">
        <v>1</v>
      </c>
      <c r="Q118" s="291">
        <f t="shared" si="22"/>
        <v>0</v>
      </c>
      <c r="R118" s="291">
        <f t="shared" si="23"/>
        <v>0</v>
      </c>
      <c r="S118" s="300">
        <f t="shared" si="18"/>
        <v>0</v>
      </c>
      <c r="T118" s="300">
        <f t="shared" si="19"/>
        <v>0</v>
      </c>
      <c r="U118" s="769" t="str">
        <f t="shared" si="20"/>
        <v>L</v>
      </c>
      <c r="V118" s="302"/>
      <c r="W118" s="303">
        <f>(Q118+R118)*'1.0-Contractblad'!$L$37</f>
        <v>0</v>
      </c>
      <c r="X118" s="303">
        <f ca="1">VLOOKUP(E118,'1.1a-Jaarprijzen'!$B$32:$Q$51,16,FALSE)*K118</f>
        <v>0</v>
      </c>
      <c r="Z118" s="771">
        <f t="shared" si="24"/>
        <v>18378</v>
      </c>
      <c r="AA118" s="491" t="str">
        <f t="shared" si="25"/>
        <v>8200-200</v>
      </c>
    </row>
    <row r="119" spans="2:27" s="489" customFormat="1" ht="15" hidden="1">
      <c r="B119" s="329"/>
      <c r="C119" s="330"/>
      <c r="D119" s="294">
        <f>VLOOKUP(E119,'1.1a-Jaarprijzen'!$B$13:$G$29,6,FALSE)</f>
        <v>3</v>
      </c>
      <c r="E119" s="293" t="s">
        <v>736</v>
      </c>
      <c r="F119" s="294" t="s">
        <v>572</v>
      </c>
      <c r="G119" s="295" t="s">
        <v>519</v>
      </c>
      <c r="H119" s="293" t="s">
        <v>745</v>
      </c>
      <c r="I119" s="296" t="str">
        <f t="shared" si="17"/>
        <v>sanitaire ruimte (toilet-/doucheruimte)</v>
      </c>
      <c r="J119" s="294" t="s">
        <v>466</v>
      </c>
      <c r="K119" s="297">
        <v>12.23</v>
      </c>
      <c r="L119" s="297"/>
      <c r="M119" s="298">
        <v>4200</v>
      </c>
      <c r="N119" s="299">
        <f t="shared" si="21"/>
        <v>200</v>
      </c>
      <c r="O119" s="483">
        <v>1</v>
      </c>
      <c r="P119" s="483">
        <v>1</v>
      </c>
      <c r="Q119" s="291">
        <f t="shared" si="22"/>
        <v>0</v>
      </c>
      <c r="R119" s="291">
        <f t="shared" si="23"/>
        <v>0</v>
      </c>
      <c r="S119" s="300">
        <f t="shared" si="18"/>
        <v>0</v>
      </c>
      <c r="T119" s="300">
        <f t="shared" si="19"/>
        <v>0</v>
      </c>
      <c r="U119" s="769" t="str">
        <f t="shared" si="20"/>
        <v>S</v>
      </c>
      <c r="V119" s="302"/>
      <c r="W119" s="303">
        <f>(Q119+R119)*'1.0-Contractblad'!$L$37</f>
        <v>0</v>
      </c>
      <c r="X119" s="303">
        <f ca="1">VLOOKUP(E119,'1.1a-Jaarprijzen'!$B$32:$Q$51,16,FALSE)*K119</f>
        <v>0</v>
      </c>
      <c r="Z119" s="771">
        <f t="shared" si="24"/>
        <v>2446</v>
      </c>
      <c r="AA119" s="491" t="str">
        <f t="shared" si="25"/>
        <v>4200-200</v>
      </c>
    </row>
    <row r="120" spans="2:27" s="489" customFormat="1" ht="15" hidden="1">
      <c r="B120" s="329"/>
      <c r="C120" s="330"/>
      <c r="D120" s="294">
        <f>VLOOKUP(E120,'1.1a-Jaarprijzen'!$B$13:$G$29,6,FALSE)</f>
        <v>3</v>
      </c>
      <c r="E120" s="293" t="s">
        <v>736</v>
      </c>
      <c r="F120" s="294" t="s">
        <v>572</v>
      </c>
      <c r="G120" s="295" t="s">
        <v>521</v>
      </c>
      <c r="H120" s="293" t="s">
        <v>638</v>
      </c>
      <c r="I120" s="296" t="str">
        <f t="shared" si="17"/>
        <v>sanitaire ruimte (toilet-/doucheruimte)</v>
      </c>
      <c r="J120" s="294" t="s">
        <v>466</v>
      </c>
      <c r="K120" s="297">
        <v>6.1</v>
      </c>
      <c r="L120" s="297"/>
      <c r="M120" s="298">
        <v>4200</v>
      </c>
      <c r="N120" s="299">
        <f t="shared" si="21"/>
        <v>200</v>
      </c>
      <c r="O120" s="483">
        <v>1</v>
      </c>
      <c r="P120" s="483">
        <v>1</v>
      </c>
      <c r="Q120" s="291">
        <f t="shared" si="22"/>
        <v>0</v>
      </c>
      <c r="R120" s="291">
        <f t="shared" si="23"/>
        <v>0</v>
      </c>
      <c r="S120" s="300">
        <f t="shared" si="18"/>
        <v>0</v>
      </c>
      <c r="T120" s="300">
        <f t="shared" si="19"/>
        <v>0</v>
      </c>
      <c r="U120" s="769" t="str">
        <f t="shared" si="20"/>
        <v>S</v>
      </c>
      <c r="V120" s="302"/>
      <c r="W120" s="303">
        <f>(Q120+R120)*'1.0-Contractblad'!$L$37</f>
        <v>0</v>
      </c>
      <c r="X120" s="303">
        <f ca="1">VLOOKUP(E120,'1.1a-Jaarprijzen'!$B$32:$Q$51,16,FALSE)*K120</f>
        <v>0</v>
      </c>
      <c r="Z120" s="771">
        <f t="shared" si="24"/>
        <v>1220</v>
      </c>
      <c r="AA120" s="491" t="str">
        <f t="shared" si="25"/>
        <v>4200-200</v>
      </c>
    </row>
    <row r="121" spans="2:27" s="489" customFormat="1" ht="15" hidden="1">
      <c r="B121" s="329"/>
      <c r="C121" s="330"/>
      <c r="D121" s="294">
        <f>VLOOKUP(E121,'1.1a-Jaarprijzen'!$B$13:$G$29,6,FALSE)</f>
        <v>3</v>
      </c>
      <c r="E121" s="293" t="s">
        <v>736</v>
      </c>
      <c r="F121" s="294" t="s">
        <v>572</v>
      </c>
      <c r="G121" s="295" t="s">
        <v>522</v>
      </c>
      <c r="H121" s="293" t="s">
        <v>746</v>
      </c>
      <c r="I121" s="296" t="str">
        <f t="shared" si="17"/>
        <v>sanitaire ruimte (toilet-/doucheruimte)</v>
      </c>
      <c r="J121" s="294" t="s">
        <v>466</v>
      </c>
      <c r="K121" s="297">
        <v>20.12</v>
      </c>
      <c r="L121" s="297"/>
      <c r="M121" s="298">
        <v>4200</v>
      </c>
      <c r="N121" s="299">
        <f t="shared" si="21"/>
        <v>200</v>
      </c>
      <c r="O121" s="483">
        <v>1</v>
      </c>
      <c r="P121" s="483">
        <v>1</v>
      </c>
      <c r="Q121" s="291">
        <f t="shared" si="22"/>
        <v>0</v>
      </c>
      <c r="R121" s="291">
        <f t="shared" si="23"/>
        <v>0</v>
      </c>
      <c r="S121" s="300">
        <f t="shared" si="18"/>
        <v>0</v>
      </c>
      <c r="T121" s="300">
        <f t="shared" si="19"/>
        <v>0</v>
      </c>
      <c r="U121" s="769" t="str">
        <f t="shared" si="20"/>
        <v>S</v>
      </c>
      <c r="V121" s="302"/>
      <c r="W121" s="303">
        <f>(Q121+R121)*'1.0-Contractblad'!$L$37</f>
        <v>0</v>
      </c>
      <c r="X121" s="303">
        <f ca="1">VLOOKUP(E121,'1.1a-Jaarprijzen'!$B$32:$Q$51,16,FALSE)*K121</f>
        <v>0</v>
      </c>
      <c r="Z121" s="771">
        <f t="shared" si="24"/>
        <v>4024</v>
      </c>
      <c r="AA121" s="491" t="str">
        <f t="shared" si="25"/>
        <v>4200-200</v>
      </c>
    </row>
    <row r="122" spans="2:27" s="489" customFormat="1" ht="15" hidden="1">
      <c r="B122" s="329"/>
      <c r="C122" s="330"/>
      <c r="D122" s="294">
        <f>VLOOKUP(E122,'1.1a-Jaarprijzen'!$B$13:$G$29,6,FALSE)</f>
        <v>3</v>
      </c>
      <c r="E122" s="293" t="s">
        <v>736</v>
      </c>
      <c r="F122" s="294" t="s">
        <v>734</v>
      </c>
      <c r="G122" s="295" t="s">
        <v>527</v>
      </c>
      <c r="H122" s="293" t="s">
        <v>520</v>
      </c>
      <c r="I122" s="296" t="str">
        <f t="shared" si="17"/>
        <v>sanitaire ruimte (toilet-/doucheruimte)</v>
      </c>
      <c r="J122" s="294" t="s">
        <v>466</v>
      </c>
      <c r="K122" s="297">
        <v>1.89</v>
      </c>
      <c r="L122" s="297"/>
      <c r="M122" s="298">
        <v>4200</v>
      </c>
      <c r="N122" s="299">
        <f t="shared" si="21"/>
        <v>200</v>
      </c>
      <c r="O122" s="483">
        <v>1</v>
      </c>
      <c r="P122" s="483">
        <v>1</v>
      </c>
      <c r="Q122" s="291">
        <f t="shared" si="22"/>
        <v>0</v>
      </c>
      <c r="R122" s="291">
        <f t="shared" si="23"/>
        <v>0</v>
      </c>
      <c r="S122" s="300">
        <f t="shared" si="18"/>
        <v>0</v>
      </c>
      <c r="T122" s="300">
        <f t="shared" si="19"/>
        <v>0</v>
      </c>
      <c r="U122" s="769" t="str">
        <f t="shared" si="20"/>
        <v>S</v>
      </c>
      <c r="V122" s="302"/>
      <c r="W122" s="303">
        <f>(Q122+R122)*'1.0-Contractblad'!$L$37</f>
        <v>0</v>
      </c>
      <c r="X122" s="303">
        <f ca="1">VLOOKUP(E122,'1.1a-Jaarprijzen'!$B$32:$Q$51,16,FALSE)*K122</f>
        <v>0</v>
      </c>
      <c r="Z122" s="771">
        <f t="shared" si="24"/>
        <v>378</v>
      </c>
      <c r="AA122" s="491" t="str">
        <f t="shared" si="25"/>
        <v>4200-200</v>
      </c>
    </row>
    <row r="123" spans="2:27" s="489" customFormat="1" ht="15" hidden="1">
      <c r="B123" s="329"/>
      <c r="C123" s="330"/>
      <c r="D123" s="294">
        <f>VLOOKUP(E123,'1.1a-Jaarprijzen'!$B$13:$G$29,6,FALSE)</f>
        <v>3</v>
      </c>
      <c r="E123" s="293" t="s">
        <v>736</v>
      </c>
      <c r="F123" s="294" t="s">
        <v>734</v>
      </c>
      <c r="G123" s="295" t="s">
        <v>528</v>
      </c>
      <c r="H123" s="293" t="s">
        <v>525</v>
      </c>
      <c r="I123" s="296" t="str">
        <f t="shared" si="17"/>
        <v>sanitaire ruimte (toilet-/doucheruimte)</v>
      </c>
      <c r="J123" s="294" t="s">
        <v>466</v>
      </c>
      <c r="K123" s="297">
        <v>5.57</v>
      </c>
      <c r="L123" s="297"/>
      <c r="M123" s="298">
        <v>4200</v>
      </c>
      <c r="N123" s="299">
        <f t="shared" si="21"/>
        <v>200</v>
      </c>
      <c r="O123" s="483">
        <v>1</v>
      </c>
      <c r="P123" s="483">
        <v>1</v>
      </c>
      <c r="Q123" s="291">
        <f t="shared" si="22"/>
        <v>0</v>
      </c>
      <c r="R123" s="291">
        <f t="shared" si="23"/>
        <v>0</v>
      </c>
      <c r="S123" s="300">
        <f t="shared" si="18"/>
        <v>0</v>
      </c>
      <c r="T123" s="300">
        <f t="shared" si="19"/>
        <v>0</v>
      </c>
      <c r="U123" s="769" t="str">
        <f t="shared" si="20"/>
        <v>S</v>
      </c>
      <c r="V123" s="302"/>
      <c r="W123" s="303">
        <f>(Q123+R123)*'1.0-Contractblad'!$L$37</f>
        <v>0</v>
      </c>
      <c r="X123" s="303">
        <f ca="1">VLOOKUP(E123,'1.1a-Jaarprijzen'!$B$32:$Q$51,16,FALSE)*K123</f>
        <v>0</v>
      </c>
      <c r="Z123" s="771">
        <f t="shared" si="24"/>
        <v>1114</v>
      </c>
      <c r="AA123" s="491" t="str">
        <f t="shared" si="25"/>
        <v>4200-200</v>
      </c>
    </row>
    <row r="124" spans="2:27" s="489" customFormat="1" ht="15" hidden="1">
      <c r="B124" s="329"/>
      <c r="C124" s="330"/>
      <c r="D124" s="294">
        <f>VLOOKUP(E124,'1.1a-Jaarprijzen'!$B$13:$G$29,6,FALSE)</f>
        <v>3</v>
      </c>
      <c r="E124" s="685" t="s">
        <v>736</v>
      </c>
      <c r="F124" s="294" t="s">
        <v>734</v>
      </c>
      <c r="G124" s="294" t="s">
        <v>529</v>
      </c>
      <c r="H124" s="293" t="s">
        <v>534</v>
      </c>
      <c r="I124" s="296" t="str">
        <f t="shared" si="17"/>
        <v>sanitaire ruimte (toilet-/doucheruimte)</v>
      </c>
      <c r="J124" s="294" t="s">
        <v>466</v>
      </c>
      <c r="K124" s="297">
        <v>7.91</v>
      </c>
      <c r="L124" s="297"/>
      <c r="M124" s="298">
        <v>4200</v>
      </c>
      <c r="N124" s="299">
        <f t="shared" si="21"/>
        <v>200</v>
      </c>
      <c r="O124" s="483">
        <v>1</v>
      </c>
      <c r="P124" s="483">
        <v>1</v>
      </c>
      <c r="Q124" s="291">
        <f t="shared" si="22"/>
        <v>0</v>
      </c>
      <c r="R124" s="291">
        <f t="shared" si="23"/>
        <v>0</v>
      </c>
      <c r="S124" s="300">
        <f t="shared" si="18"/>
        <v>0</v>
      </c>
      <c r="T124" s="300">
        <f t="shared" si="19"/>
        <v>0</v>
      </c>
      <c r="U124" s="769" t="str">
        <f t="shared" si="20"/>
        <v>S</v>
      </c>
      <c r="V124" s="302" t="s">
        <v>1035</v>
      </c>
      <c r="W124" s="303">
        <f>(Q124+R124)*'1.0-Contractblad'!$L$37</f>
        <v>0</v>
      </c>
      <c r="X124" s="303">
        <f ca="1">VLOOKUP(E124,'1.1a-Jaarprijzen'!$B$32:$Q$51,16,FALSE)*K124</f>
        <v>0</v>
      </c>
      <c r="Z124" s="771">
        <f t="shared" si="24"/>
        <v>1582</v>
      </c>
      <c r="AA124" s="491" t="str">
        <f t="shared" si="25"/>
        <v>4200-200</v>
      </c>
    </row>
    <row r="125" spans="2:27" s="489" customFormat="1" ht="15" hidden="1">
      <c r="B125" s="329"/>
      <c r="C125" s="330"/>
      <c r="D125" s="294">
        <f>VLOOKUP(E125,'1.1a-Jaarprijzen'!$B$13:$G$29,6,FALSE)</f>
        <v>3</v>
      </c>
      <c r="E125" s="293" t="s">
        <v>736</v>
      </c>
      <c r="F125" s="294" t="s">
        <v>572</v>
      </c>
      <c r="G125" s="294" t="s">
        <v>507</v>
      </c>
      <c r="H125" s="293" t="s">
        <v>402</v>
      </c>
      <c r="I125" s="296" t="str">
        <f t="shared" si="17"/>
        <v>trappenhuis</v>
      </c>
      <c r="J125" s="294" t="s">
        <v>655</v>
      </c>
      <c r="K125" s="297">
        <v>10.050000000000001</v>
      </c>
      <c r="L125" s="297"/>
      <c r="M125" s="298">
        <v>9200</v>
      </c>
      <c r="N125" s="299">
        <f t="shared" si="21"/>
        <v>200</v>
      </c>
      <c r="O125" s="483">
        <v>1</v>
      </c>
      <c r="P125" s="483">
        <v>1</v>
      </c>
      <c r="Q125" s="291">
        <f t="shared" si="22"/>
        <v>0</v>
      </c>
      <c r="R125" s="291">
        <f t="shared" si="23"/>
        <v>0</v>
      </c>
      <c r="S125" s="300">
        <f t="shared" si="18"/>
        <v>0</v>
      </c>
      <c r="T125" s="300">
        <f t="shared" si="19"/>
        <v>0</v>
      </c>
      <c r="U125" s="769" t="str">
        <f t="shared" si="20"/>
        <v>V</v>
      </c>
      <c r="V125" s="302"/>
      <c r="W125" s="303">
        <f>(Q125+R125)*'1.0-Contractblad'!$L$37</f>
        <v>0</v>
      </c>
      <c r="X125" s="303">
        <f ca="1">VLOOKUP(E125,'1.1a-Jaarprijzen'!$B$32:$Q$51,16,FALSE)*K125</f>
        <v>0</v>
      </c>
      <c r="Z125" s="771">
        <f t="shared" si="24"/>
        <v>2010.0000000000002</v>
      </c>
      <c r="AA125" s="491" t="str">
        <f t="shared" si="25"/>
        <v>9200-200</v>
      </c>
    </row>
    <row r="126" spans="2:27" s="489" customFormat="1" ht="15" hidden="1">
      <c r="B126" s="329"/>
      <c r="C126" s="330"/>
      <c r="D126" s="294">
        <f>VLOOKUP(E126,'1.1a-Jaarprijzen'!$B$13:$G$29,6,FALSE)</f>
        <v>3</v>
      </c>
      <c r="E126" s="293" t="s">
        <v>736</v>
      </c>
      <c r="F126" s="294" t="s">
        <v>734</v>
      </c>
      <c r="G126" s="295" t="s">
        <v>508</v>
      </c>
      <c r="H126" s="293" t="s">
        <v>402</v>
      </c>
      <c r="I126" s="296" t="str">
        <f t="shared" si="17"/>
        <v>trappenhuis</v>
      </c>
      <c r="J126" s="294" t="s">
        <v>655</v>
      </c>
      <c r="K126" s="297">
        <v>13.95</v>
      </c>
      <c r="L126" s="297"/>
      <c r="M126" s="298">
        <v>9200</v>
      </c>
      <c r="N126" s="299">
        <f t="shared" si="21"/>
        <v>200</v>
      </c>
      <c r="O126" s="483">
        <v>1</v>
      </c>
      <c r="P126" s="483">
        <v>1</v>
      </c>
      <c r="Q126" s="291">
        <f t="shared" si="22"/>
        <v>0</v>
      </c>
      <c r="R126" s="291">
        <f t="shared" si="23"/>
        <v>0</v>
      </c>
      <c r="S126" s="300">
        <f t="shared" si="18"/>
        <v>0</v>
      </c>
      <c r="T126" s="300">
        <f t="shared" si="19"/>
        <v>0</v>
      </c>
      <c r="U126" s="769" t="str">
        <f t="shared" si="20"/>
        <v>V</v>
      </c>
      <c r="V126" s="302"/>
      <c r="W126" s="303">
        <f>(Q126+R126)*'1.0-Contractblad'!$L$37</f>
        <v>0</v>
      </c>
      <c r="X126" s="303">
        <f ca="1">VLOOKUP(E126,'1.1a-Jaarprijzen'!$B$32:$Q$51,16,FALSE)*K126</f>
        <v>0</v>
      </c>
      <c r="Z126" s="771">
        <f t="shared" si="24"/>
        <v>2790</v>
      </c>
      <c r="AA126" s="491" t="str">
        <f t="shared" si="25"/>
        <v>9200-200</v>
      </c>
    </row>
    <row r="127" spans="2:27" s="489" customFormat="1" ht="15" hidden="1">
      <c r="B127" s="329"/>
      <c r="C127" s="330"/>
      <c r="D127" s="294">
        <f>VLOOKUP(E127,'1.1a-Jaarprijzen'!$B$13:$G$29,6,FALSE)</f>
        <v>3</v>
      </c>
      <c r="E127" s="293" t="s">
        <v>736</v>
      </c>
      <c r="F127" s="294" t="s">
        <v>734</v>
      </c>
      <c r="G127" s="295" t="s">
        <v>509</v>
      </c>
      <c r="H127" s="293" t="s">
        <v>402</v>
      </c>
      <c r="I127" s="296" t="str">
        <f t="shared" si="17"/>
        <v>trappenhuis</v>
      </c>
      <c r="J127" s="294" t="s">
        <v>465</v>
      </c>
      <c r="K127" s="297">
        <v>21.5</v>
      </c>
      <c r="L127" s="297"/>
      <c r="M127" s="298">
        <v>9200</v>
      </c>
      <c r="N127" s="299">
        <f t="shared" si="21"/>
        <v>200</v>
      </c>
      <c r="O127" s="483">
        <v>1</v>
      </c>
      <c r="P127" s="483">
        <v>1</v>
      </c>
      <c r="Q127" s="291">
        <f t="shared" si="22"/>
        <v>0</v>
      </c>
      <c r="R127" s="291">
        <f t="shared" si="23"/>
        <v>0</v>
      </c>
      <c r="S127" s="300">
        <f t="shared" si="18"/>
        <v>0</v>
      </c>
      <c r="T127" s="300">
        <f t="shared" si="19"/>
        <v>0</v>
      </c>
      <c r="U127" s="769" t="str">
        <f t="shared" si="20"/>
        <v>V</v>
      </c>
      <c r="V127" s="302"/>
      <c r="W127" s="303">
        <f>(Q127+R127)*'1.0-Contractblad'!$L$37</f>
        <v>0</v>
      </c>
      <c r="X127" s="303">
        <f ca="1">VLOOKUP(E127,'1.1a-Jaarprijzen'!$B$32:$Q$51,16,FALSE)*K127</f>
        <v>0</v>
      </c>
      <c r="Z127" s="771">
        <f t="shared" si="24"/>
        <v>4300</v>
      </c>
      <c r="AA127" s="491" t="str">
        <f t="shared" si="25"/>
        <v>9200-200</v>
      </c>
    </row>
    <row r="128" spans="2:27" s="489" customFormat="1" ht="15" hidden="1">
      <c r="B128" s="329"/>
      <c r="C128" s="330"/>
      <c r="D128" s="294">
        <f>VLOOKUP(E128,'1.1a-Jaarprijzen'!$B$13:$G$29,6,FALSE)</f>
        <v>3</v>
      </c>
      <c r="E128" s="768" t="s">
        <v>750</v>
      </c>
      <c r="F128" s="294" t="s">
        <v>387</v>
      </c>
      <c r="G128" s="295" t="s">
        <v>751</v>
      </c>
      <c r="H128" s="293" t="s">
        <v>394</v>
      </c>
      <c r="I128" s="296" t="str">
        <f t="shared" si="17"/>
        <v>entree, gang, hal, repro</v>
      </c>
      <c r="J128" s="294" t="s">
        <v>462</v>
      </c>
      <c r="K128" s="297">
        <v>6.9</v>
      </c>
      <c r="L128" s="297"/>
      <c r="M128" s="298">
        <v>3200</v>
      </c>
      <c r="N128" s="299">
        <f t="shared" si="21"/>
        <v>200</v>
      </c>
      <c r="O128" s="483">
        <v>1</v>
      </c>
      <c r="P128" s="483">
        <v>1</v>
      </c>
      <c r="Q128" s="291">
        <f t="shared" si="22"/>
        <v>0</v>
      </c>
      <c r="R128" s="291">
        <f t="shared" si="23"/>
        <v>0</v>
      </c>
      <c r="S128" s="300">
        <f t="shared" si="18"/>
        <v>0</v>
      </c>
      <c r="T128" s="300">
        <f t="shared" si="19"/>
        <v>0</v>
      </c>
      <c r="U128" s="769" t="str">
        <f t="shared" si="20"/>
        <v>V</v>
      </c>
      <c r="V128" s="302"/>
      <c r="W128" s="303">
        <f>(Q128+R128)*'1.0-Contractblad'!$L$37</f>
        <v>0</v>
      </c>
      <c r="X128" s="303">
        <f ca="1">VLOOKUP(E128,'1.1a-Jaarprijzen'!$B$32:$Q$51,16,FALSE)*K128</f>
        <v>0</v>
      </c>
      <c r="Z128" s="771">
        <f t="shared" si="24"/>
        <v>1380</v>
      </c>
      <c r="AA128" s="491" t="str">
        <f t="shared" si="25"/>
        <v>3200-200</v>
      </c>
    </row>
    <row r="129" spans="2:27" s="489" customFormat="1" ht="15" hidden="1">
      <c r="B129" s="329"/>
      <c r="C129" s="330"/>
      <c r="D129" s="294">
        <f>VLOOKUP(E129,'1.1a-Jaarprijzen'!$B$13:$G$29,6,FALSE)</f>
        <v>3</v>
      </c>
      <c r="E129" s="768" t="s">
        <v>750</v>
      </c>
      <c r="F129" s="294" t="s">
        <v>387</v>
      </c>
      <c r="G129" s="295" t="s">
        <v>752</v>
      </c>
      <c r="H129" s="293" t="s">
        <v>636</v>
      </c>
      <c r="I129" s="296" t="str">
        <f t="shared" si="17"/>
        <v>entree, gang, hal, repro</v>
      </c>
      <c r="J129" s="294" t="s">
        <v>657</v>
      </c>
      <c r="K129" s="297">
        <v>153</v>
      </c>
      <c r="L129" s="297"/>
      <c r="M129" s="298">
        <v>3200</v>
      </c>
      <c r="N129" s="299">
        <f t="shared" si="21"/>
        <v>200</v>
      </c>
      <c r="O129" s="483">
        <v>1</v>
      </c>
      <c r="P129" s="483">
        <v>1</v>
      </c>
      <c r="Q129" s="291">
        <f t="shared" si="22"/>
        <v>0</v>
      </c>
      <c r="R129" s="291">
        <f t="shared" si="23"/>
        <v>0</v>
      </c>
      <c r="S129" s="300">
        <f t="shared" si="18"/>
        <v>0</v>
      </c>
      <c r="T129" s="300">
        <f t="shared" si="19"/>
        <v>0</v>
      </c>
      <c r="U129" s="769" t="str">
        <f t="shared" si="20"/>
        <v>V</v>
      </c>
      <c r="V129" s="302"/>
      <c r="W129" s="303">
        <f>(Q129+R129)*'1.0-Contractblad'!$L$37</f>
        <v>0</v>
      </c>
      <c r="X129" s="303">
        <f ca="1">VLOOKUP(E129,'1.1a-Jaarprijzen'!$B$32:$Q$51,16,FALSE)*K129</f>
        <v>0</v>
      </c>
      <c r="Z129" s="771">
        <f t="shared" si="24"/>
        <v>30600</v>
      </c>
      <c r="AA129" s="491" t="str">
        <f t="shared" si="25"/>
        <v>3200-200</v>
      </c>
    </row>
    <row r="130" spans="2:27" s="489" customFormat="1" ht="15" hidden="1">
      <c r="B130" s="329"/>
      <c r="C130" s="330"/>
      <c r="D130" s="294">
        <f>VLOOKUP(E130,'1.1a-Jaarprijzen'!$B$13:$G$29,6,FALSE)</f>
        <v>3</v>
      </c>
      <c r="E130" s="768" t="s">
        <v>750</v>
      </c>
      <c r="F130" s="294" t="s">
        <v>387</v>
      </c>
      <c r="G130" s="295" t="s">
        <v>752</v>
      </c>
      <c r="H130" s="293" t="s">
        <v>636</v>
      </c>
      <c r="I130" s="296" t="str">
        <f t="shared" si="17"/>
        <v>entree, gang, hal, repro</v>
      </c>
      <c r="J130" s="294" t="s">
        <v>657</v>
      </c>
      <c r="K130" s="297">
        <v>10.8</v>
      </c>
      <c r="L130" s="297"/>
      <c r="M130" s="298">
        <v>3200</v>
      </c>
      <c r="N130" s="299">
        <f t="shared" si="21"/>
        <v>200</v>
      </c>
      <c r="O130" s="483">
        <v>1</v>
      </c>
      <c r="P130" s="483">
        <v>1</v>
      </c>
      <c r="Q130" s="291">
        <f t="shared" si="22"/>
        <v>0</v>
      </c>
      <c r="R130" s="291">
        <f t="shared" si="23"/>
        <v>0</v>
      </c>
      <c r="S130" s="300">
        <f t="shared" si="18"/>
        <v>0</v>
      </c>
      <c r="T130" s="300">
        <f t="shared" si="19"/>
        <v>0</v>
      </c>
      <c r="U130" s="769" t="str">
        <f t="shared" si="20"/>
        <v>V</v>
      </c>
      <c r="V130" s="302"/>
      <c r="W130" s="303">
        <f>(Q130+R130)*'1.0-Contractblad'!$L$37</f>
        <v>0</v>
      </c>
      <c r="X130" s="303">
        <f ca="1">VLOOKUP(E130,'1.1a-Jaarprijzen'!$B$32:$Q$51,16,FALSE)*K130</f>
        <v>0</v>
      </c>
      <c r="Z130" s="771">
        <f t="shared" si="24"/>
        <v>2160</v>
      </c>
      <c r="AA130" s="491" t="str">
        <f t="shared" si="25"/>
        <v>3200-200</v>
      </c>
    </row>
    <row r="131" spans="2:27" s="489" customFormat="1" ht="15" hidden="1">
      <c r="B131" s="329"/>
      <c r="C131" s="330"/>
      <c r="D131" s="294">
        <f>VLOOKUP(E131,'1.1a-Jaarprijzen'!$B$13:$G$29,6,FALSE)</f>
        <v>3</v>
      </c>
      <c r="E131" s="768" t="s">
        <v>750</v>
      </c>
      <c r="F131" s="294" t="s">
        <v>387</v>
      </c>
      <c r="G131" s="295" t="s">
        <v>753</v>
      </c>
      <c r="H131" s="293" t="s">
        <v>395</v>
      </c>
      <c r="I131" s="296" t="str">
        <f t="shared" si="17"/>
        <v>administratieve -,  vergaderruimte</v>
      </c>
      <c r="J131" s="294" t="s">
        <v>657</v>
      </c>
      <c r="K131" s="297">
        <v>22.6</v>
      </c>
      <c r="L131" s="297"/>
      <c r="M131" s="298">
        <v>1200</v>
      </c>
      <c r="N131" s="299">
        <f t="shared" si="21"/>
        <v>200</v>
      </c>
      <c r="O131" s="483">
        <v>1</v>
      </c>
      <c r="P131" s="483">
        <v>1</v>
      </c>
      <c r="Q131" s="291">
        <f t="shared" si="22"/>
        <v>0</v>
      </c>
      <c r="R131" s="291">
        <f t="shared" si="23"/>
        <v>0</v>
      </c>
      <c r="S131" s="300">
        <f t="shared" si="18"/>
        <v>0</v>
      </c>
      <c r="T131" s="300">
        <f t="shared" si="19"/>
        <v>0</v>
      </c>
      <c r="U131" s="769" t="str">
        <f t="shared" si="20"/>
        <v>V</v>
      </c>
      <c r="V131" s="302"/>
      <c r="W131" s="303">
        <f>(Q131+R131)*'1.0-Contractblad'!$L$37</f>
        <v>0</v>
      </c>
      <c r="X131" s="303">
        <f ca="1">VLOOKUP(E131,'1.1a-Jaarprijzen'!$B$32:$Q$51,16,FALSE)*K131</f>
        <v>0</v>
      </c>
      <c r="Z131" s="771">
        <f t="shared" si="24"/>
        <v>4520</v>
      </c>
      <c r="AA131" s="491" t="str">
        <f t="shared" si="25"/>
        <v>1200-200</v>
      </c>
    </row>
    <row r="132" spans="2:27" s="489" customFormat="1" ht="15" hidden="1">
      <c r="B132" s="329"/>
      <c r="C132" s="330"/>
      <c r="D132" s="294">
        <f>VLOOKUP(E132,'1.1a-Jaarprijzen'!$B$13:$G$29,6,FALSE)</f>
        <v>3</v>
      </c>
      <c r="E132" s="768" t="s">
        <v>750</v>
      </c>
      <c r="F132" s="294" t="s">
        <v>387</v>
      </c>
      <c r="G132" s="295" t="s">
        <v>754</v>
      </c>
      <c r="H132" s="293" t="s">
        <v>695</v>
      </c>
      <c r="I132" s="296" t="str">
        <f t="shared" si="17"/>
        <v>administratieve -,  vergaderruimte</v>
      </c>
      <c r="J132" s="294" t="s">
        <v>655</v>
      </c>
      <c r="K132" s="297">
        <v>37.6</v>
      </c>
      <c r="L132" s="297"/>
      <c r="M132" s="298">
        <v>1200</v>
      </c>
      <c r="N132" s="299">
        <f t="shared" si="21"/>
        <v>200</v>
      </c>
      <c r="O132" s="483">
        <v>1</v>
      </c>
      <c r="P132" s="483">
        <v>1</v>
      </c>
      <c r="Q132" s="291">
        <f t="shared" si="22"/>
        <v>0</v>
      </c>
      <c r="R132" s="291">
        <f t="shared" si="23"/>
        <v>0</v>
      </c>
      <c r="S132" s="300">
        <f t="shared" si="18"/>
        <v>0</v>
      </c>
      <c r="T132" s="300">
        <f t="shared" si="19"/>
        <v>0</v>
      </c>
      <c r="U132" s="769" t="str">
        <f t="shared" si="20"/>
        <v>V</v>
      </c>
      <c r="V132" s="302"/>
      <c r="W132" s="303">
        <f>(Q132+R132)*'1.0-Contractblad'!$L$37</f>
        <v>0</v>
      </c>
      <c r="X132" s="303">
        <f ca="1">VLOOKUP(E132,'1.1a-Jaarprijzen'!$B$32:$Q$51,16,FALSE)*K132</f>
        <v>0</v>
      </c>
      <c r="Z132" s="771">
        <f t="shared" si="24"/>
        <v>7520</v>
      </c>
      <c r="AA132" s="491" t="str">
        <f t="shared" si="25"/>
        <v>1200-200</v>
      </c>
    </row>
    <row r="133" spans="2:27" s="489" customFormat="1" ht="15" hidden="1">
      <c r="B133" s="329"/>
      <c r="C133" s="330"/>
      <c r="D133" s="294">
        <f>VLOOKUP(E133,'1.1a-Jaarprijzen'!$B$13:$G$29,6,FALSE)</f>
        <v>3</v>
      </c>
      <c r="E133" s="768" t="s">
        <v>750</v>
      </c>
      <c r="F133" s="294" t="s">
        <v>387</v>
      </c>
      <c r="G133" s="295" t="s">
        <v>755</v>
      </c>
      <c r="H133" s="293" t="s">
        <v>792</v>
      </c>
      <c r="I133" s="296" t="str">
        <f t="shared" si="17"/>
        <v>sanitaire ruimte (toilet-/doucheruimte)</v>
      </c>
      <c r="J133" s="294" t="s">
        <v>461</v>
      </c>
      <c r="K133" s="297">
        <v>3.7</v>
      </c>
      <c r="L133" s="297"/>
      <c r="M133" s="298">
        <v>4200</v>
      </c>
      <c r="N133" s="299">
        <f t="shared" si="21"/>
        <v>200</v>
      </c>
      <c r="O133" s="483">
        <v>1</v>
      </c>
      <c r="P133" s="483">
        <v>1</v>
      </c>
      <c r="Q133" s="291">
        <f t="shared" si="22"/>
        <v>0</v>
      </c>
      <c r="R133" s="291">
        <f t="shared" si="23"/>
        <v>0</v>
      </c>
      <c r="S133" s="300">
        <f t="shared" si="18"/>
        <v>0</v>
      </c>
      <c r="T133" s="300">
        <f t="shared" si="19"/>
        <v>0</v>
      </c>
      <c r="U133" s="769" t="str">
        <f t="shared" si="20"/>
        <v>S</v>
      </c>
      <c r="V133" s="302"/>
      <c r="W133" s="303">
        <f>(Q133+R133)*'1.0-Contractblad'!$L$37</f>
        <v>0</v>
      </c>
      <c r="X133" s="303">
        <f ca="1">VLOOKUP(E133,'1.1a-Jaarprijzen'!$B$32:$Q$51,16,FALSE)*K133</f>
        <v>0</v>
      </c>
      <c r="Z133" s="771">
        <f t="shared" si="24"/>
        <v>740</v>
      </c>
      <c r="AA133" s="491" t="str">
        <f t="shared" si="25"/>
        <v>4200-200</v>
      </c>
    </row>
    <row r="134" spans="2:27" s="489" customFormat="1" ht="15" hidden="1">
      <c r="B134" s="329"/>
      <c r="C134" s="330"/>
      <c r="D134" s="294">
        <f>VLOOKUP(E134,'1.1a-Jaarprijzen'!$B$13:$G$29,6,FALSE)</f>
        <v>3</v>
      </c>
      <c r="E134" s="768" t="s">
        <v>750</v>
      </c>
      <c r="F134" s="294" t="s">
        <v>387</v>
      </c>
      <c r="G134" s="295" t="s">
        <v>756</v>
      </c>
      <c r="H134" s="293" t="s">
        <v>966</v>
      </c>
      <c r="I134" s="296" t="str">
        <f t="shared" si="17"/>
        <v>sanitaire ruimte (toilet-/doucheruimte)</v>
      </c>
      <c r="J134" s="294" t="s">
        <v>461</v>
      </c>
      <c r="K134" s="297">
        <v>6.1</v>
      </c>
      <c r="L134" s="297"/>
      <c r="M134" s="298">
        <v>4200</v>
      </c>
      <c r="N134" s="299">
        <f t="shared" si="21"/>
        <v>200</v>
      </c>
      <c r="O134" s="483">
        <v>1</v>
      </c>
      <c r="P134" s="483">
        <v>1</v>
      </c>
      <c r="Q134" s="291">
        <f t="shared" si="22"/>
        <v>0</v>
      </c>
      <c r="R134" s="291">
        <f t="shared" si="23"/>
        <v>0</v>
      </c>
      <c r="S134" s="300">
        <f t="shared" si="18"/>
        <v>0</v>
      </c>
      <c r="T134" s="300">
        <f t="shared" si="19"/>
        <v>0</v>
      </c>
      <c r="U134" s="769" t="str">
        <f t="shared" si="20"/>
        <v>S</v>
      </c>
      <c r="V134" s="302"/>
      <c r="W134" s="303">
        <f>(Q134+R134)*'1.0-Contractblad'!$L$37</f>
        <v>0</v>
      </c>
      <c r="X134" s="303">
        <f ca="1">VLOOKUP(E134,'1.1a-Jaarprijzen'!$B$32:$Q$51,16,FALSE)*K134</f>
        <v>0</v>
      </c>
      <c r="Z134" s="771">
        <f t="shared" si="24"/>
        <v>1220</v>
      </c>
      <c r="AA134" s="491" t="str">
        <f t="shared" si="25"/>
        <v>4200-200</v>
      </c>
    </row>
    <row r="135" spans="2:27" s="489" customFormat="1" ht="15" hidden="1">
      <c r="B135" s="329"/>
      <c r="C135" s="330"/>
      <c r="D135" s="294">
        <f>VLOOKUP(E135,'1.1a-Jaarprijzen'!$B$13:$G$29,6,FALSE)</f>
        <v>3</v>
      </c>
      <c r="E135" s="768" t="s">
        <v>750</v>
      </c>
      <c r="F135" s="294" t="s">
        <v>387</v>
      </c>
      <c r="G135" s="295" t="s">
        <v>757</v>
      </c>
      <c r="H135" s="293" t="s">
        <v>650</v>
      </c>
      <c r="I135" s="296" t="str">
        <f t="shared" si="17"/>
        <v>administratieve -,  vergaderruimte</v>
      </c>
      <c r="J135" s="294" t="s">
        <v>657</v>
      </c>
      <c r="K135" s="297">
        <v>13.4</v>
      </c>
      <c r="L135" s="297"/>
      <c r="M135" s="298">
        <v>1200</v>
      </c>
      <c r="N135" s="299">
        <f t="shared" si="21"/>
        <v>200</v>
      </c>
      <c r="O135" s="483">
        <v>1</v>
      </c>
      <c r="P135" s="483">
        <v>1</v>
      </c>
      <c r="Q135" s="291">
        <f t="shared" si="22"/>
        <v>0</v>
      </c>
      <c r="R135" s="291">
        <f t="shared" si="23"/>
        <v>0</v>
      </c>
      <c r="S135" s="300">
        <f t="shared" si="18"/>
        <v>0</v>
      </c>
      <c r="T135" s="300">
        <f t="shared" si="19"/>
        <v>0</v>
      </c>
      <c r="U135" s="769" t="str">
        <f t="shared" si="20"/>
        <v>V</v>
      </c>
      <c r="V135" s="302"/>
      <c r="W135" s="303">
        <f>(Q135+R135)*'1.0-Contractblad'!$L$37</f>
        <v>0</v>
      </c>
      <c r="X135" s="303">
        <f ca="1">VLOOKUP(E135,'1.1a-Jaarprijzen'!$B$32:$Q$51,16,FALSE)*K135</f>
        <v>0</v>
      </c>
      <c r="Z135" s="771">
        <f t="shared" si="24"/>
        <v>2680</v>
      </c>
      <c r="AA135" s="491" t="str">
        <f t="shared" si="25"/>
        <v>1200-200</v>
      </c>
    </row>
    <row r="136" spans="2:27" s="489" customFormat="1" ht="15" hidden="1">
      <c r="B136" s="329"/>
      <c r="C136" s="330"/>
      <c r="D136" s="294">
        <f>VLOOKUP(E136,'1.1a-Jaarprijzen'!$B$13:$G$29,6,FALSE)</f>
        <v>3</v>
      </c>
      <c r="E136" s="768" t="s">
        <v>750</v>
      </c>
      <c r="F136" s="294" t="s">
        <v>387</v>
      </c>
      <c r="G136" s="295" t="s">
        <v>758</v>
      </c>
      <c r="H136" s="293" t="s">
        <v>983</v>
      </c>
      <c r="I136" s="296" t="str">
        <f t="shared" si="17"/>
        <v>administratieve -,  vergaderruimte</v>
      </c>
      <c r="J136" s="297" t="s">
        <v>657</v>
      </c>
      <c r="K136" s="297">
        <v>15</v>
      </c>
      <c r="L136" s="297"/>
      <c r="M136" s="298">
        <v>1200</v>
      </c>
      <c r="N136" s="299">
        <f t="shared" si="21"/>
        <v>200</v>
      </c>
      <c r="O136" s="483">
        <v>1</v>
      </c>
      <c r="P136" s="483">
        <v>1</v>
      </c>
      <c r="Q136" s="291">
        <f t="shared" si="22"/>
        <v>0</v>
      </c>
      <c r="R136" s="291">
        <f t="shared" si="23"/>
        <v>0</v>
      </c>
      <c r="S136" s="300">
        <f t="shared" si="18"/>
        <v>0</v>
      </c>
      <c r="T136" s="300">
        <f t="shared" si="19"/>
        <v>0</v>
      </c>
      <c r="U136" s="769" t="str">
        <f t="shared" si="20"/>
        <v>V</v>
      </c>
      <c r="V136" s="302"/>
      <c r="W136" s="303">
        <f>(Q136+R136)*'1.0-Contractblad'!$L$37</f>
        <v>0</v>
      </c>
      <c r="X136" s="303">
        <f ca="1">VLOOKUP(E136,'1.1a-Jaarprijzen'!$B$32:$Q$51,16,FALSE)*K136</f>
        <v>0</v>
      </c>
      <c r="Z136" s="771">
        <f t="shared" si="24"/>
        <v>3000</v>
      </c>
      <c r="AA136" s="491" t="str">
        <f t="shared" si="25"/>
        <v>1200-200</v>
      </c>
    </row>
    <row r="137" spans="2:27" s="489" customFormat="1" ht="15" hidden="1">
      <c r="B137" s="329"/>
      <c r="C137" s="330"/>
      <c r="D137" s="294">
        <f>VLOOKUP(E137,'1.1a-Jaarprijzen'!$B$13:$G$29,6,FALSE)</f>
        <v>3</v>
      </c>
      <c r="E137" s="768" t="s">
        <v>750</v>
      </c>
      <c r="F137" s="294" t="s">
        <v>387</v>
      </c>
      <c r="G137" s="295" t="s">
        <v>759</v>
      </c>
      <c r="H137" s="293" t="s">
        <v>392</v>
      </c>
      <c r="I137" s="296" t="str">
        <f t="shared" si="17"/>
        <v>niet van toepassing</v>
      </c>
      <c r="J137" s="294" t="s">
        <v>657</v>
      </c>
      <c r="K137" s="297"/>
      <c r="L137" s="297">
        <v>2.8</v>
      </c>
      <c r="M137" s="298" t="s">
        <v>17</v>
      </c>
      <c r="N137" s="299">
        <f t="shared" si="21"/>
        <v>0</v>
      </c>
      <c r="O137" s="483">
        <v>1</v>
      </c>
      <c r="P137" s="483">
        <v>1</v>
      </c>
      <c r="Q137" s="291">
        <f t="shared" si="22"/>
        <v>0</v>
      </c>
      <c r="R137" s="291">
        <f t="shared" si="23"/>
        <v>0</v>
      </c>
      <c r="S137" s="300">
        <f t="shared" si="18"/>
        <v>0</v>
      </c>
      <c r="T137" s="300">
        <f t="shared" si="19"/>
        <v>0</v>
      </c>
      <c r="U137" s="769">
        <f t="shared" si="20"/>
        <v>0</v>
      </c>
      <c r="V137" s="302"/>
      <c r="W137" s="303">
        <f>(Q137+R137)*'1.0-Contractblad'!$L$37</f>
        <v>0</v>
      </c>
      <c r="X137" s="303">
        <f ca="1">VLOOKUP(E137,'1.1a-Jaarprijzen'!$B$32:$Q$51,16,FALSE)*K137</f>
        <v>0</v>
      </c>
      <c r="Z137" s="771">
        <f t="shared" si="24"/>
        <v>0</v>
      </c>
      <c r="AA137" s="491" t="str">
        <f t="shared" si="25"/>
        <v>nvt-0</v>
      </c>
    </row>
    <row r="138" spans="2:27" s="489" customFormat="1" ht="15" hidden="1">
      <c r="B138" s="329"/>
      <c r="C138" s="330"/>
      <c r="D138" s="294">
        <f>VLOOKUP(E138,'1.1a-Jaarprijzen'!$B$13:$G$29,6,FALSE)</f>
        <v>3</v>
      </c>
      <c r="E138" s="768" t="s">
        <v>750</v>
      </c>
      <c r="F138" s="294" t="s">
        <v>387</v>
      </c>
      <c r="G138" s="295" t="s">
        <v>760</v>
      </c>
      <c r="H138" s="293" t="s">
        <v>646</v>
      </c>
      <c r="I138" s="296" t="str">
        <f t="shared" si="17"/>
        <v>leslokaal groep 1 t/m 3</v>
      </c>
      <c r="J138" s="294" t="s">
        <v>657</v>
      </c>
      <c r="K138" s="297">
        <v>60</v>
      </c>
      <c r="L138" s="297"/>
      <c r="M138" s="298">
        <v>7200</v>
      </c>
      <c r="N138" s="299">
        <f t="shared" si="21"/>
        <v>200</v>
      </c>
      <c r="O138" s="483">
        <v>1</v>
      </c>
      <c r="P138" s="483">
        <v>1</v>
      </c>
      <c r="Q138" s="291">
        <f t="shared" si="22"/>
        <v>0</v>
      </c>
      <c r="R138" s="291">
        <f t="shared" si="23"/>
        <v>0</v>
      </c>
      <c r="S138" s="300">
        <f t="shared" si="18"/>
        <v>0</v>
      </c>
      <c r="T138" s="300">
        <f t="shared" si="19"/>
        <v>0</v>
      </c>
      <c r="U138" s="769" t="str">
        <f t="shared" si="20"/>
        <v>L</v>
      </c>
      <c r="V138" s="302"/>
      <c r="W138" s="303">
        <f>(Q138+R138)*'1.0-Contractblad'!$L$37</f>
        <v>0</v>
      </c>
      <c r="X138" s="303">
        <f ca="1">VLOOKUP(E138,'1.1a-Jaarprijzen'!$B$32:$Q$51,16,FALSE)*K138</f>
        <v>0</v>
      </c>
      <c r="Z138" s="771">
        <f t="shared" si="24"/>
        <v>12000</v>
      </c>
      <c r="AA138" s="491" t="str">
        <f t="shared" si="25"/>
        <v>7200-200</v>
      </c>
    </row>
    <row r="139" spans="2:27" s="489" customFormat="1" ht="15" hidden="1">
      <c r="B139" s="329"/>
      <c r="C139" s="330"/>
      <c r="D139" s="294">
        <f>VLOOKUP(E139,'1.1a-Jaarprijzen'!$B$13:$G$29,6,FALSE)</f>
        <v>3</v>
      </c>
      <c r="E139" s="770" t="s">
        <v>750</v>
      </c>
      <c r="F139" s="294" t="s">
        <v>387</v>
      </c>
      <c r="G139" s="295" t="s">
        <v>761</v>
      </c>
      <c r="H139" s="293" t="s">
        <v>984</v>
      </c>
      <c r="I139" s="296" t="str">
        <f t="shared" si="17"/>
        <v>speellokaal</v>
      </c>
      <c r="J139" s="294" t="s">
        <v>657</v>
      </c>
      <c r="K139" s="297">
        <v>87.3</v>
      </c>
      <c r="L139" s="297"/>
      <c r="M139" s="298">
        <v>8260</v>
      </c>
      <c r="N139" s="299">
        <f t="shared" si="21"/>
        <v>260</v>
      </c>
      <c r="O139" s="483">
        <v>1</v>
      </c>
      <c r="P139" s="483">
        <v>1</v>
      </c>
      <c r="Q139" s="291">
        <f t="shared" si="22"/>
        <v>0</v>
      </c>
      <c r="R139" s="291">
        <f t="shared" si="23"/>
        <v>0</v>
      </c>
      <c r="S139" s="300">
        <f t="shared" si="18"/>
        <v>0</v>
      </c>
      <c r="T139" s="300">
        <f t="shared" si="19"/>
        <v>0</v>
      </c>
      <c r="U139" s="769" t="str">
        <f t="shared" si="20"/>
        <v>L</v>
      </c>
      <c r="V139" s="302"/>
      <c r="W139" s="303">
        <f>(Q139+R139)*'1.0-Contractblad'!$L$37</f>
        <v>0</v>
      </c>
      <c r="X139" s="303">
        <f ca="1">VLOOKUP(E139,'1.1a-Jaarprijzen'!$B$32:$Q$51,16,FALSE)*K139</f>
        <v>0</v>
      </c>
      <c r="Z139" s="771">
        <f t="shared" si="24"/>
        <v>22698</v>
      </c>
      <c r="AA139" s="491" t="str">
        <f t="shared" si="25"/>
        <v>8260-260</v>
      </c>
    </row>
    <row r="140" spans="2:27" s="489" customFormat="1" ht="15" hidden="1">
      <c r="B140" s="329"/>
      <c r="C140" s="330"/>
      <c r="D140" s="294">
        <f>VLOOKUP(E140,'1.1a-Jaarprijzen'!$B$13:$G$29,6,FALSE)</f>
        <v>3</v>
      </c>
      <c r="E140" s="770" t="s">
        <v>750</v>
      </c>
      <c r="F140" s="294" t="s">
        <v>387</v>
      </c>
      <c r="G140" s="295" t="s">
        <v>762</v>
      </c>
      <c r="H140" s="293" t="s">
        <v>985</v>
      </c>
      <c r="I140" s="296" t="str">
        <f t="shared" si="17"/>
        <v>entree, gang, hal, repro</v>
      </c>
      <c r="J140" s="294" t="s">
        <v>462</v>
      </c>
      <c r="K140" s="297">
        <v>6.3</v>
      </c>
      <c r="L140" s="297"/>
      <c r="M140" s="298">
        <v>3260</v>
      </c>
      <c r="N140" s="299">
        <f t="shared" si="21"/>
        <v>260</v>
      </c>
      <c r="O140" s="483">
        <v>1</v>
      </c>
      <c r="P140" s="483">
        <v>1</v>
      </c>
      <c r="Q140" s="291">
        <f t="shared" si="22"/>
        <v>0</v>
      </c>
      <c r="R140" s="291">
        <f t="shared" si="23"/>
        <v>0</v>
      </c>
      <c r="S140" s="300">
        <f t="shared" si="18"/>
        <v>0</v>
      </c>
      <c r="T140" s="300">
        <f t="shared" si="19"/>
        <v>0</v>
      </c>
      <c r="U140" s="769" t="str">
        <f t="shared" si="20"/>
        <v>V</v>
      </c>
      <c r="V140" s="302"/>
      <c r="W140" s="303">
        <f>(Q140+R140)*'1.0-Contractblad'!$L$37</f>
        <v>0</v>
      </c>
      <c r="X140" s="303">
        <f ca="1">VLOOKUP(E140,'1.1a-Jaarprijzen'!$B$32:$Q$51,16,FALSE)*K140</f>
        <v>0</v>
      </c>
      <c r="Z140" s="771">
        <f t="shared" si="24"/>
        <v>1638</v>
      </c>
      <c r="AA140" s="491" t="str">
        <f t="shared" si="25"/>
        <v>3260-260</v>
      </c>
    </row>
    <row r="141" spans="2:27" s="489" customFormat="1" ht="15" hidden="1">
      <c r="B141" s="329"/>
      <c r="C141" s="330"/>
      <c r="D141" s="294">
        <f>VLOOKUP(E141,'1.1a-Jaarprijzen'!$B$13:$G$29,6,FALSE)</f>
        <v>3</v>
      </c>
      <c r="E141" s="770" t="s">
        <v>750</v>
      </c>
      <c r="F141" s="294" t="s">
        <v>387</v>
      </c>
      <c r="G141" s="295" t="s">
        <v>763</v>
      </c>
      <c r="H141" s="293" t="s">
        <v>963</v>
      </c>
      <c r="I141" s="296" t="str">
        <f t="shared" si="17"/>
        <v>sanitaire ruimte (toilet-/doucheruimte)</v>
      </c>
      <c r="J141" s="297" t="s">
        <v>461</v>
      </c>
      <c r="K141" s="297">
        <v>7.7</v>
      </c>
      <c r="L141" s="297"/>
      <c r="M141" s="298">
        <v>4260</v>
      </c>
      <c r="N141" s="299">
        <f t="shared" si="21"/>
        <v>260</v>
      </c>
      <c r="O141" s="483">
        <v>1</v>
      </c>
      <c r="P141" s="483">
        <v>1</v>
      </c>
      <c r="Q141" s="291">
        <f t="shared" si="22"/>
        <v>0</v>
      </c>
      <c r="R141" s="291">
        <f t="shared" si="23"/>
        <v>0</v>
      </c>
      <c r="S141" s="300">
        <f t="shared" si="18"/>
        <v>0</v>
      </c>
      <c r="T141" s="300">
        <f t="shared" si="19"/>
        <v>0</v>
      </c>
      <c r="U141" s="769" t="str">
        <f t="shared" si="20"/>
        <v>S</v>
      </c>
      <c r="V141" s="302"/>
      <c r="W141" s="303">
        <f>(Q141+R141)*'1.0-Contractblad'!$L$37</f>
        <v>0</v>
      </c>
      <c r="X141" s="303">
        <f ca="1">VLOOKUP(E141,'1.1a-Jaarprijzen'!$B$32:$Q$51,16,FALSE)*K141</f>
        <v>0</v>
      </c>
      <c r="Z141" s="771">
        <f t="shared" si="24"/>
        <v>2002</v>
      </c>
      <c r="AA141" s="491" t="str">
        <f t="shared" si="25"/>
        <v>4260-260</v>
      </c>
    </row>
    <row r="142" spans="2:27" s="489" customFormat="1" ht="15" hidden="1">
      <c r="B142" s="329"/>
      <c r="C142" s="330"/>
      <c r="D142" s="294">
        <f>VLOOKUP(E142,'1.1a-Jaarprijzen'!$B$13:$G$29,6,FALSE)</f>
        <v>3</v>
      </c>
      <c r="E142" s="768" t="s">
        <v>750</v>
      </c>
      <c r="F142" s="294" t="s">
        <v>387</v>
      </c>
      <c r="G142" s="295" t="s">
        <v>764</v>
      </c>
      <c r="H142" s="293" t="s">
        <v>389</v>
      </c>
      <c r="I142" s="296" t="str">
        <f t="shared" si="17"/>
        <v>niet van toepassing</v>
      </c>
      <c r="J142" s="297" t="s">
        <v>657</v>
      </c>
      <c r="K142" s="297"/>
      <c r="L142" s="297">
        <v>3.3</v>
      </c>
      <c r="M142" s="298" t="s">
        <v>17</v>
      </c>
      <c r="N142" s="299">
        <f t="shared" si="21"/>
        <v>0</v>
      </c>
      <c r="O142" s="483">
        <v>1</v>
      </c>
      <c r="P142" s="483">
        <v>1</v>
      </c>
      <c r="Q142" s="291">
        <f t="shared" si="22"/>
        <v>0</v>
      </c>
      <c r="R142" s="291">
        <f t="shared" si="23"/>
        <v>0</v>
      </c>
      <c r="S142" s="300">
        <f t="shared" si="18"/>
        <v>0</v>
      </c>
      <c r="T142" s="300">
        <f t="shared" si="19"/>
        <v>0</v>
      </c>
      <c r="U142" s="769">
        <f t="shared" si="20"/>
        <v>0</v>
      </c>
      <c r="V142" s="302"/>
      <c r="W142" s="303">
        <f>(Q142+R142)*'1.0-Contractblad'!$L$37</f>
        <v>0</v>
      </c>
      <c r="X142" s="303">
        <f ca="1">VLOOKUP(E142,'1.1a-Jaarprijzen'!$B$32:$Q$51,16,FALSE)*K142</f>
        <v>0</v>
      </c>
      <c r="Z142" s="771">
        <f t="shared" si="24"/>
        <v>0</v>
      </c>
      <c r="AA142" s="491" t="str">
        <f t="shared" si="25"/>
        <v>nvt-0</v>
      </c>
    </row>
    <row r="143" spans="2:27" s="489" customFormat="1" ht="15" hidden="1">
      <c r="B143" s="329"/>
      <c r="C143" s="330"/>
      <c r="D143" s="294">
        <f>VLOOKUP(E143,'1.1a-Jaarprijzen'!$B$13:$G$29,6,FALSE)</f>
        <v>3</v>
      </c>
      <c r="E143" s="768" t="s">
        <v>750</v>
      </c>
      <c r="F143" s="294" t="s">
        <v>387</v>
      </c>
      <c r="G143" s="295" t="s">
        <v>765</v>
      </c>
      <c r="H143" s="293" t="s">
        <v>646</v>
      </c>
      <c r="I143" s="296" t="str">
        <f t="shared" si="17"/>
        <v>leslokaal groep 1 t/m 3</v>
      </c>
      <c r="J143" s="297" t="s">
        <v>657</v>
      </c>
      <c r="K143" s="297">
        <v>57.7</v>
      </c>
      <c r="L143" s="297"/>
      <c r="M143" s="298">
        <v>7200</v>
      </c>
      <c r="N143" s="299">
        <f t="shared" si="21"/>
        <v>200</v>
      </c>
      <c r="O143" s="483">
        <v>1</v>
      </c>
      <c r="P143" s="483">
        <v>1</v>
      </c>
      <c r="Q143" s="291">
        <f t="shared" si="22"/>
        <v>0</v>
      </c>
      <c r="R143" s="291">
        <f t="shared" si="23"/>
        <v>0</v>
      </c>
      <c r="S143" s="300">
        <f t="shared" si="18"/>
        <v>0</v>
      </c>
      <c r="T143" s="300">
        <f t="shared" si="19"/>
        <v>0</v>
      </c>
      <c r="U143" s="769" t="str">
        <f t="shared" si="20"/>
        <v>L</v>
      </c>
      <c r="V143" s="302"/>
      <c r="W143" s="303">
        <f>(Q143+R143)*'1.0-Contractblad'!$L$37</f>
        <v>0</v>
      </c>
      <c r="X143" s="303">
        <f ca="1">VLOOKUP(E143,'1.1a-Jaarprijzen'!$B$32:$Q$51,16,FALSE)*K143</f>
        <v>0</v>
      </c>
      <c r="Z143" s="771">
        <f t="shared" si="24"/>
        <v>11540</v>
      </c>
      <c r="AA143" s="491" t="str">
        <f t="shared" si="25"/>
        <v>7200-200</v>
      </c>
    </row>
    <row r="144" spans="2:27" s="489" customFormat="1" ht="15" hidden="1">
      <c r="B144" s="329"/>
      <c r="C144" s="330"/>
      <c r="D144" s="294">
        <f>VLOOKUP(E144,'1.1a-Jaarprijzen'!$B$13:$G$29,6,FALSE)</f>
        <v>3</v>
      </c>
      <c r="E144" s="770" t="s">
        <v>750</v>
      </c>
      <c r="F144" s="294" t="s">
        <v>387</v>
      </c>
      <c r="G144" s="295" t="s">
        <v>766</v>
      </c>
      <c r="H144" s="293" t="s">
        <v>397</v>
      </c>
      <c r="I144" s="296" t="str">
        <f t="shared" si="17"/>
        <v>aula, gemeenschappelijke ruimte, bibliotheek</v>
      </c>
      <c r="J144" s="294" t="s">
        <v>657</v>
      </c>
      <c r="K144" s="297">
        <v>78.599999999999994</v>
      </c>
      <c r="L144" s="297"/>
      <c r="M144" s="298">
        <v>2260</v>
      </c>
      <c r="N144" s="299">
        <f t="shared" si="21"/>
        <v>260</v>
      </c>
      <c r="O144" s="483">
        <v>1</v>
      </c>
      <c r="P144" s="483">
        <v>1</v>
      </c>
      <c r="Q144" s="291">
        <f t="shared" si="22"/>
        <v>0</v>
      </c>
      <c r="R144" s="291">
        <f t="shared" si="23"/>
        <v>0</v>
      </c>
      <c r="S144" s="300">
        <f t="shared" si="18"/>
        <v>0</v>
      </c>
      <c r="T144" s="300">
        <f t="shared" si="19"/>
        <v>0</v>
      </c>
      <c r="U144" s="769" t="str">
        <f t="shared" si="20"/>
        <v>V</v>
      </c>
      <c r="V144" s="302"/>
      <c r="W144" s="303">
        <f>(Q144+R144)*'1.0-Contractblad'!$L$37</f>
        <v>0</v>
      </c>
      <c r="X144" s="303">
        <f ca="1">VLOOKUP(E144,'1.1a-Jaarprijzen'!$B$32:$Q$51,16,FALSE)*K144</f>
        <v>0</v>
      </c>
      <c r="Z144" s="771">
        <f t="shared" si="24"/>
        <v>20436</v>
      </c>
      <c r="AA144" s="491" t="str">
        <f t="shared" si="25"/>
        <v>2260-260</v>
      </c>
    </row>
    <row r="145" spans="2:27" s="489" customFormat="1" ht="15" hidden="1">
      <c r="B145" s="329"/>
      <c r="C145" s="330"/>
      <c r="D145" s="294">
        <f>VLOOKUP(E145,'1.1a-Jaarprijzen'!$B$13:$G$29,6,FALSE)</f>
        <v>3</v>
      </c>
      <c r="E145" s="768" t="s">
        <v>750</v>
      </c>
      <c r="F145" s="294" t="s">
        <v>387</v>
      </c>
      <c r="G145" s="295" t="s">
        <v>767</v>
      </c>
      <c r="H145" s="293" t="s">
        <v>392</v>
      </c>
      <c r="I145" s="296" t="str">
        <f t="shared" si="17"/>
        <v>niet van toepassing</v>
      </c>
      <c r="J145" s="294" t="s">
        <v>657</v>
      </c>
      <c r="K145" s="297"/>
      <c r="L145" s="297">
        <v>11.2</v>
      </c>
      <c r="M145" s="298" t="s">
        <v>17</v>
      </c>
      <c r="N145" s="299">
        <f t="shared" si="21"/>
        <v>0</v>
      </c>
      <c r="O145" s="483">
        <v>1</v>
      </c>
      <c r="P145" s="483">
        <v>1</v>
      </c>
      <c r="Q145" s="291">
        <f t="shared" si="22"/>
        <v>0</v>
      </c>
      <c r="R145" s="291">
        <f t="shared" si="23"/>
        <v>0</v>
      </c>
      <c r="S145" s="300">
        <f t="shared" si="18"/>
        <v>0</v>
      </c>
      <c r="T145" s="300">
        <f t="shared" si="19"/>
        <v>0</v>
      </c>
      <c r="U145" s="769">
        <f t="shared" si="20"/>
        <v>0</v>
      </c>
      <c r="V145" s="302"/>
      <c r="W145" s="303">
        <f>(Q145+R145)*'1.0-Contractblad'!$L$37</f>
        <v>0</v>
      </c>
      <c r="X145" s="303">
        <f ca="1">VLOOKUP(E145,'1.1a-Jaarprijzen'!$B$32:$Q$51,16,FALSE)*K145</f>
        <v>0</v>
      </c>
      <c r="Z145" s="771">
        <f t="shared" si="24"/>
        <v>0</v>
      </c>
      <c r="AA145" s="491" t="str">
        <f t="shared" si="25"/>
        <v>nvt-0</v>
      </c>
    </row>
    <row r="146" spans="2:27" s="489" customFormat="1" ht="15" hidden="1">
      <c r="B146" s="329"/>
      <c r="C146" s="330"/>
      <c r="D146" s="294">
        <f>VLOOKUP(E146,'1.1a-Jaarprijzen'!$B$13:$G$29,6,FALSE)</f>
        <v>3</v>
      </c>
      <c r="E146" s="768" t="s">
        <v>750</v>
      </c>
      <c r="F146" s="294" t="s">
        <v>387</v>
      </c>
      <c r="G146" s="295" t="s">
        <v>768</v>
      </c>
      <c r="H146" s="293" t="s">
        <v>646</v>
      </c>
      <c r="I146" s="296" t="str">
        <f t="shared" si="17"/>
        <v>leslokaal/leerplein groep 4 t/m 8</v>
      </c>
      <c r="J146" s="294" t="s">
        <v>657</v>
      </c>
      <c r="K146" s="297">
        <v>43.4</v>
      </c>
      <c r="L146" s="297"/>
      <c r="M146" s="298">
        <v>18200</v>
      </c>
      <c r="N146" s="299">
        <f t="shared" si="21"/>
        <v>200</v>
      </c>
      <c r="O146" s="483">
        <v>1</v>
      </c>
      <c r="P146" s="483">
        <v>1</v>
      </c>
      <c r="Q146" s="291">
        <f t="shared" si="22"/>
        <v>0</v>
      </c>
      <c r="R146" s="291">
        <f t="shared" si="23"/>
        <v>0</v>
      </c>
      <c r="S146" s="300">
        <f t="shared" si="18"/>
        <v>0</v>
      </c>
      <c r="T146" s="300">
        <f t="shared" si="19"/>
        <v>0</v>
      </c>
      <c r="U146" s="769" t="str">
        <f t="shared" si="20"/>
        <v>L</v>
      </c>
      <c r="V146" s="302"/>
      <c r="W146" s="303">
        <f>(Q146+R146)*'1.0-Contractblad'!$L$37</f>
        <v>0</v>
      </c>
      <c r="X146" s="303">
        <f ca="1">VLOOKUP(E146,'1.1a-Jaarprijzen'!$B$32:$Q$51,16,FALSE)*K146</f>
        <v>0</v>
      </c>
      <c r="Z146" s="771">
        <f t="shared" si="24"/>
        <v>8680</v>
      </c>
      <c r="AA146" s="491" t="str">
        <f t="shared" si="25"/>
        <v>18200-200</v>
      </c>
    </row>
    <row r="147" spans="2:27" s="489" customFormat="1" ht="15" hidden="1">
      <c r="B147" s="329"/>
      <c r="C147" s="330"/>
      <c r="D147" s="294">
        <f>VLOOKUP(E147,'1.1a-Jaarprijzen'!$B$13:$G$29,6,FALSE)</f>
        <v>3</v>
      </c>
      <c r="E147" s="768" t="s">
        <v>750</v>
      </c>
      <c r="F147" s="294" t="s">
        <v>387</v>
      </c>
      <c r="G147" s="295" t="s">
        <v>769</v>
      </c>
      <c r="H147" s="293" t="s">
        <v>646</v>
      </c>
      <c r="I147" s="296" t="str">
        <f t="shared" si="17"/>
        <v>leslokaal/leerplein groep 4 t/m 8</v>
      </c>
      <c r="J147" s="294" t="s">
        <v>657</v>
      </c>
      <c r="K147" s="297">
        <v>60.7</v>
      </c>
      <c r="L147" s="297"/>
      <c r="M147" s="298">
        <v>18200</v>
      </c>
      <c r="N147" s="299">
        <f t="shared" si="21"/>
        <v>200</v>
      </c>
      <c r="O147" s="483">
        <v>1</v>
      </c>
      <c r="P147" s="483">
        <v>1</v>
      </c>
      <c r="Q147" s="291">
        <f t="shared" si="22"/>
        <v>0</v>
      </c>
      <c r="R147" s="291">
        <f t="shared" si="23"/>
        <v>0</v>
      </c>
      <c r="S147" s="300">
        <f t="shared" si="18"/>
        <v>0</v>
      </c>
      <c r="T147" s="300">
        <f t="shared" si="19"/>
        <v>0</v>
      </c>
      <c r="U147" s="769" t="str">
        <f t="shared" si="20"/>
        <v>L</v>
      </c>
      <c r="V147" s="302"/>
      <c r="W147" s="303">
        <f>(Q147+R147)*'1.0-Contractblad'!$L$37</f>
        <v>0</v>
      </c>
      <c r="X147" s="303">
        <f ca="1">VLOOKUP(E147,'1.1a-Jaarprijzen'!$B$32:$Q$51,16,FALSE)*K147</f>
        <v>0</v>
      </c>
      <c r="Z147" s="771">
        <f t="shared" si="24"/>
        <v>12140</v>
      </c>
      <c r="AA147" s="491" t="str">
        <f t="shared" si="25"/>
        <v>18200-200</v>
      </c>
    </row>
    <row r="148" spans="2:27" s="489" customFormat="1" ht="15" hidden="1">
      <c r="B148" s="329"/>
      <c r="C148" s="330"/>
      <c r="D148" s="294">
        <f>VLOOKUP(E148,'1.1a-Jaarprijzen'!$B$13:$G$29,6,FALSE)</f>
        <v>3</v>
      </c>
      <c r="E148" s="768" t="s">
        <v>750</v>
      </c>
      <c r="F148" s="294" t="s">
        <v>387</v>
      </c>
      <c r="G148" s="295" t="s">
        <v>770</v>
      </c>
      <c r="H148" s="293" t="s">
        <v>646</v>
      </c>
      <c r="I148" s="296" t="str">
        <f t="shared" si="17"/>
        <v>leslokaal/leerplein groep 4 t/m 8</v>
      </c>
      <c r="J148" s="294" t="s">
        <v>657</v>
      </c>
      <c r="K148" s="297">
        <v>60.3</v>
      </c>
      <c r="L148" s="297"/>
      <c r="M148" s="298">
        <v>18200</v>
      </c>
      <c r="N148" s="299">
        <f t="shared" si="21"/>
        <v>200</v>
      </c>
      <c r="O148" s="483">
        <v>1</v>
      </c>
      <c r="P148" s="483">
        <v>1</v>
      </c>
      <c r="Q148" s="291">
        <f t="shared" si="22"/>
        <v>0</v>
      </c>
      <c r="R148" s="291">
        <f t="shared" si="23"/>
        <v>0</v>
      </c>
      <c r="S148" s="300">
        <f t="shared" si="18"/>
        <v>0</v>
      </c>
      <c r="T148" s="300">
        <f t="shared" si="19"/>
        <v>0</v>
      </c>
      <c r="U148" s="769" t="str">
        <f t="shared" si="20"/>
        <v>L</v>
      </c>
      <c r="V148" s="302"/>
      <c r="W148" s="303">
        <f>(Q148+R148)*'1.0-Contractblad'!$L$37</f>
        <v>0</v>
      </c>
      <c r="X148" s="303">
        <f ca="1">VLOOKUP(E148,'1.1a-Jaarprijzen'!$B$32:$Q$51,16,FALSE)*K148</f>
        <v>0</v>
      </c>
      <c r="Z148" s="771">
        <f t="shared" si="24"/>
        <v>12060</v>
      </c>
      <c r="AA148" s="491" t="str">
        <f t="shared" si="25"/>
        <v>18200-200</v>
      </c>
    </row>
    <row r="149" spans="2:27" s="489" customFormat="1" ht="15" hidden="1">
      <c r="B149" s="329"/>
      <c r="C149" s="330"/>
      <c r="D149" s="294">
        <f>VLOOKUP(E149,'1.1a-Jaarprijzen'!$B$13:$G$29,6,FALSE)</f>
        <v>3</v>
      </c>
      <c r="E149" s="768" t="s">
        <v>750</v>
      </c>
      <c r="F149" s="294" t="s">
        <v>387</v>
      </c>
      <c r="G149" s="295" t="s">
        <v>771</v>
      </c>
      <c r="H149" s="293" t="s">
        <v>646</v>
      </c>
      <c r="I149" s="296" t="str">
        <f t="shared" si="17"/>
        <v>leslokaal/leerplein groep 4 t/m 8</v>
      </c>
      <c r="J149" s="294" t="s">
        <v>657</v>
      </c>
      <c r="K149" s="297">
        <v>61.2</v>
      </c>
      <c r="L149" s="297"/>
      <c r="M149" s="298">
        <v>18200</v>
      </c>
      <c r="N149" s="299">
        <f t="shared" si="21"/>
        <v>200</v>
      </c>
      <c r="O149" s="483">
        <v>1</v>
      </c>
      <c r="P149" s="483">
        <v>1</v>
      </c>
      <c r="Q149" s="291">
        <f t="shared" si="22"/>
        <v>0</v>
      </c>
      <c r="R149" s="291">
        <f t="shared" si="23"/>
        <v>0</v>
      </c>
      <c r="S149" s="300">
        <f t="shared" si="18"/>
        <v>0</v>
      </c>
      <c r="T149" s="300">
        <f t="shared" si="19"/>
        <v>0</v>
      </c>
      <c r="U149" s="769" t="str">
        <f t="shared" si="20"/>
        <v>L</v>
      </c>
      <c r="V149" s="302"/>
      <c r="W149" s="303">
        <f>(Q149+R149)*'1.0-Contractblad'!$L$37</f>
        <v>0</v>
      </c>
      <c r="X149" s="303">
        <f ca="1">VLOOKUP(E149,'1.1a-Jaarprijzen'!$B$32:$Q$51,16,FALSE)*K149</f>
        <v>0</v>
      </c>
      <c r="Z149" s="771">
        <f t="shared" si="24"/>
        <v>12240</v>
      </c>
      <c r="AA149" s="491" t="str">
        <f t="shared" si="25"/>
        <v>18200-200</v>
      </c>
    </row>
    <row r="150" spans="2:27" s="489" customFormat="1" ht="15" hidden="1">
      <c r="B150" s="329"/>
      <c r="C150" s="330"/>
      <c r="D150" s="294">
        <f>VLOOKUP(E150,'1.1a-Jaarprijzen'!$B$13:$G$29,6,FALSE)</f>
        <v>3</v>
      </c>
      <c r="E150" s="768" t="s">
        <v>750</v>
      </c>
      <c r="F150" s="294" t="s">
        <v>387</v>
      </c>
      <c r="G150" s="295" t="s">
        <v>772</v>
      </c>
      <c r="H150" s="293" t="s">
        <v>792</v>
      </c>
      <c r="I150" s="296" t="str">
        <f t="shared" si="17"/>
        <v>sanitaire ruimte (toilet-/doucheruimte)</v>
      </c>
      <c r="J150" s="294" t="s">
        <v>461</v>
      </c>
      <c r="K150" s="297">
        <v>8.5</v>
      </c>
      <c r="L150" s="297"/>
      <c r="M150" s="298">
        <v>4200</v>
      </c>
      <c r="N150" s="299">
        <f t="shared" si="21"/>
        <v>200</v>
      </c>
      <c r="O150" s="483">
        <v>1</v>
      </c>
      <c r="P150" s="483">
        <v>1</v>
      </c>
      <c r="Q150" s="291">
        <f t="shared" si="22"/>
        <v>0</v>
      </c>
      <c r="R150" s="291">
        <f t="shared" si="23"/>
        <v>0</v>
      </c>
      <c r="S150" s="300">
        <f t="shared" si="18"/>
        <v>0</v>
      </c>
      <c r="T150" s="300">
        <f t="shared" si="19"/>
        <v>0</v>
      </c>
      <c r="U150" s="769" t="str">
        <f t="shared" si="20"/>
        <v>S</v>
      </c>
      <c r="V150" s="302"/>
      <c r="W150" s="303">
        <f>(Q150+R150)*'1.0-Contractblad'!$L$37</f>
        <v>0</v>
      </c>
      <c r="X150" s="303">
        <f ca="1">VLOOKUP(E150,'1.1a-Jaarprijzen'!$B$32:$Q$51,16,FALSE)*K150</f>
        <v>0</v>
      </c>
      <c r="Z150" s="771">
        <f t="shared" si="24"/>
        <v>1700</v>
      </c>
      <c r="AA150" s="491" t="str">
        <f t="shared" si="25"/>
        <v>4200-200</v>
      </c>
    </row>
    <row r="151" spans="2:27" s="489" customFormat="1" ht="15" hidden="1">
      <c r="B151" s="329"/>
      <c r="C151" s="330"/>
      <c r="D151" s="294">
        <f>VLOOKUP(E151,'1.1a-Jaarprijzen'!$B$13:$G$29,6,FALSE)</f>
        <v>3</v>
      </c>
      <c r="E151" s="768" t="s">
        <v>750</v>
      </c>
      <c r="F151" s="294" t="s">
        <v>387</v>
      </c>
      <c r="G151" s="295" t="s">
        <v>773</v>
      </c>
      <c r="H151" s="293" t="s">
        <v>392</v>
      </c>
      <c r="I151" s="296" t="str">
        <f t="shared" si="17"/>
        <v>niet van toepassing</v>
      </c>
      <c r="J151" s="294" t="s">
        <v>657</v>
      </c>
      <c r="K151" s="297"/>
      <c r="L151" s="297">
        <v>13.7</v>
      </c>
      <c r="M151" s="298" t="s">
        <v>17</v>
      </c>
      <c r="N151" s="299">
        <f t="shared" si="21"/>
        <v>0</v>
      </c>
      <c r="O151" s="483">
        <v>1</v>
      </c>
      <c r="P151" s="483">
        <v>1</v>
      </c>
      <c r="Q151" s="291">
        <f t="shared" si="22"/>
        <v>0</v>
      </c>
      <c r="R151" s="291">
        <f t="shared" si="23"/>
        <v>0</v>
      </c>
      <c r="S151" s="300">
        <f t="shared" si="18"/>
        <v>0</v>
      </c>
      <c r="T151" s="300">
        <f t="shared" si="19"/>
        <v>0</v>
      </c>
      <c r="U151" s="769">
        <f t="shared" si="20"/>
        <v>0</v>
      </c>
      <c r="V151" s="302"/>
      <c r="W151" s="303">
        <f>(Q151+R151)*'1.0-Contractblad'!$L$37</f>
        <v>0</v>
      </c>
      <c r="X151" s="303">
        <f ca="1">VLOOKUP(E151,'1.1a-Jaarprijzen'!$B$32:$Q$51,16,FALSE)*K151</f>
        <v>0</v>
      </c>
      <c r="Z151" s="771">
        <f t="shared" si="24"/>
        <v>0</v>
      </c>
      <c r="AA151" s="491" t="str">
        <f t="shared" si="25"/>
        <v>nvt-0</v>
      </c>
    </row>
    <row r="152" spans="2:27" s="489" customFormat="1" ht="15" hidden="1">
      <c r="B152" s="329"/>
      <c r="C152" s="330"/>
      <c r="D152" s="294">
        <f>VLOOKUP(E152,'1.1a-Jaarprijzen'!$B$13:$G$29,6,FALSE)</f>
        <v>3</v>
      </c>
      <c r="E152" s="768" t="s">
        <v>750</v>
      </c>
      <c r="F152" s="294" t="s">
        <v>387</v>
      </c>
      <c r="G152" s="295" t="s">
        <v>774</v>
      </c>
      <c r="H152" s="293" t="s">
        <v>775</v>
      </c>
      <c r="I152" s="296" t="str">
        <f t="shared" si="17"/>
        <v>niet van toepassing</v>
      </c>
      <c r="J152" s="294" t="s">
        <v>657</v>
      </c>
      <c r="K152" s="297"/>
      <c r="L152" s="297">
        <v>12.7</v>
      </c>
      <c r="M152" s="298" t="s">
        <v>17</v>
      </c>
      <c r="N152" s="299">
        <f t="shared" si="21"/>
        <v>0</v>
      </c>
      <c r="O152" s="483">
        <v>1</v>
      </c>
      <c r="P152" s="483">
        <v>1</v>
      </c>
      <c r="Q152" s="291">
        <f t="shared" si="22"/>
        <v>0</v>
      </c>
      <c r="R152" s="291">
        <f t="shared" si="23"/>
        <v>0</v>
      </c>
      <c r="S152" s="300">
        <f t="shared" si="18"/>
        <v>0</v>
      </c>
      <c r="T152" s="300">
        <f t="shared" si="19"/>
        <v>0</v>
      </c>
      <c r="U152" s="769">
        <f t="shared" si="20"/>
        <v>0</v>
      </c>
      <c r="V152" s="302"/>
      <c r="W152" s="303">
        <f>(Q152+R152)*'1.0-Contractblad'!$L$37</f>
        <v>0</v>
      </c>
      <c r="X152" s="303">
        <f ca="1">VLOOKUP(E152,'1.1a-Jaarprijzen'!$B$32:$Q$51,16,FALSE)*K152</f>
        <v>0</v>
      </c>
      <c r="Z152" s="771">
        <f t="shared" si="24"/>
        <v>0</v>
      </c>
      <c r="AA152" s="491" t="str">
        <f t="shared" si="25"/>
        <v>nvt-0</v>
      </c>
    </row>
    <row r="153" spans="2:27" s="489" customFormat="1" ht="15" hidden="1">
      <c r="B153" s="329"/>
      <c r="C153" s="330"/>
      <c r="D153" s="294">
        <f>VLOOKUP(E153,'1.1a-Jaarprijzen'!$B$13:$G$29,6,FALSE)</f>
        <v>3</v>
      </c>
      <c r="E153" s="768" t="s">
        <v>750</v>
      </c>
      <c r="F153" s="294" t="s">
        <v>387</v>
      </c>
      <c r="G153" s="295" t="s">
        <v>776</v>
      </c>
      <c r="H153" s="293" t="s">
        <v>792</v>
      </c>
      <c r="I153" s="296" t="str">
        <f t="shared" si="17"/>
        <v>sanitaire ruimte (toilet-/doucheruimte)</v>
      </c>
      <c r="J153" s="294" t="s">
        <v>461</v>
      </c>
      <c r="K153" s="297">
        <v>8.52</v>
      </c>
      <c r="L153" s="297"/>
      <c r="M153" s="298">
        <v>4200</v>
      </c>
      <c r="N153" s="299">
        <f t="shared" si="21"/>
        <v>200</v>
      </c>
      <c r="O153" s="483">
        <v>1</v>
      </c>
      <c r="P153" s="483">
        <v>1</v>
      </c>
      <c r="Q153" s="291">
        <f t="shared" si="22"/>
        <v>0</v>
      </c>
      <c r="R153" s="291">
        <f t="shared" si="23"/>
        <v>0</v>
      </c>
      <c r="S153" s="300">
        <f t="shared" si="18"/>
        <v>0</v>
      </c>
      <c r="T153" s="300">
        <f t="shared" si="19"/>
        <v>0</v>
      </c>
      <c r="U153" s="769" t="str">
        <f t="shared" si="20"/>
        <v>S</v>
      </c>
      <c r="V153" s="302"/>
      <c r="W153" s="303">
        <f>(Q153+R153)*'1.0-Contractblad'!$L$37</f>
        <v>0</v>
      </c>
      <c r="X153" s="303">
        <f ca="1">VLOOKUP(E153,'1.1a-Jaarprijzen'!$B$32:$Q$51,16,FALSE)*K153</f>
        <v>0</v>
      </c>
      <c r="Z153" s="771">
        <f t="shared" si="24"/>
        <v>1704</v>
      </c>
      <c r="AA153" s="491" t="str">
        <f t="shared" si="25"/>
        <v>4200-200</v>
      </c>
    </row>
    <row r="154" spans="2:27" s="489" customFormat="1" ht="15" hidden="1">
      <c r="B154" s="329"/>
      <c r="C154" s="330"/>
      <c r="D154" s="294">
        <f>VLOOKUP(E154,'1.1a-Jaarprijzen'!$B$13:$G$29,6,FALSE)</f>
        <v>3</v>
      </c>
      <c r="E154" s="768" t="s">
        <v>750</v>
      </c>
      <c r="F154" s="294" t="s">
        <v>387</v>
      </c>
      <c r="G154" s="295" t="s">
        <v>777</v>
      </c>
      <c r="H154" s="293" t="s">
        <v>392</v>
      </c>
      <c r="I154" s="296" t="str">
        <f t="shared" si="17"/>
        <v>niet van toepassing</v>
      </c>
      <c r="J154" s="294" t="s">
        <v>657</v>
      </c>
      <c r="K154" s="297"/>
      <c r="L154" s="297">
        <v>11.5</v>
      </c>
      <c r="M154" s="298" t="s">
        <v>17</v>
      </c>
      <c r="N154" s="299">
        <f t="shared" si="21"/>
        <v>0</v>
      </c>
      <c r="O154" s="483">
        <v>1</v>
      </c>
      <c r="P154" s="483">
        <v>1</v>
      </c>
      <c r="Q154" s="291">
        <f t="shared" si="22"/>
        <v>0</v>
      </c>
      <c r="R154" s="291">
        <f t="shared" si="23"/>
        <v>0</v>
      </c>
      <c r="S154" s="300">
        <f t="shared" si="18"/>
        <v>0</v>
      </c>
      <c r="T154" s="300">
        <f t="shared" si="19"/>
        <v>0</v>
      </c>
      <c r="U154" s="769">
        <f t="shared" si="20"/>
        <v>0</v>
      </c>
      <c r="V154" s="302"/>
      <c r="W154" s="303">
        <f>(Q154+R154)*'1.0-Contractblad'!$L$37</f>
        <v>0</v>
      </c>
      <c r="X154" s="303">
        <f ca="1">VLOOKUP(E154,'1.1a-Jaarprijzen'!$B$32:$Q$51,16,FALSE)*K154</f>
        <v>0</v>
      </c>
      <c r="Z154" s="771">
        <f t="shared" si="24"/>
        <v>0</v>
      </c>
      <c r="AA154" s="491" t="str">
        <f t="shared" si="25"/>
        <v>nvt-0</v>
      </c>
    </row>
    <row r="155" spans="2:27" s="489" customFormat="1" ht="15" hidden="1">
      <c r="B155" s="329"/>
      <c r="C155" s="330"/>
      <c r="D155" s="294">
        <f>VLOOKUP(E155,'1.1a-Jaarprijzen'!$B$13:$G$29,6,FALSE)</f>
        <v>3</v>
      </c>
      <c r="E155" s="768" t="s">
        <v>750</v>
      </c>
      <c r="F155" s="294" t="s">
        <v>387</v>
      </c>
      <c r="G155" s="295" t="s">
        <v>778</v>
      </c>
      <c r="H155" s="293" t="s">
        <v>646</v>
      </c>
      <c r="I155" s="296" t="str">
        <f t="shared" si="17"/>
        <v>leslokaal/leerplein groep 4 t/m 8</v>
      </c>
      <c r="J155" s="294" t="s">
        <v>657</v>
      </c>
      <c r="K155" s="297">
        <v>61</v>
      </c>
      <c r="L155" s="297"/>
      <c r="M155" s="298">
        <v>18080</v>
      </c>
      <c r="N155" s="299">
        <f t="shared" si="21"/>
        <v>80</v>
      </c>
      <c r="O155" s="483">
        <v>1</v>
      </c>
      <c r="P155" s="483">
        <v>1</v>
      </c>
      <c r="Q155" s="291">
        <f t="shared" si="22"/>
        <v>0</v>
      </c>
      <c r="R155" s="291">
        <f t="shared" si="23"/>
        <v>0</v>
      </c>
      <c r="S155" s="300">
        <f t="shared" si="18"/>
        <v>0</v>
      </c>
      <c r="T155" s="300">
        <f t="shared" si="19"/>
        <v>0</v>
      </c>
      <c r="U155" s="769" t="str">
        <f t="shared" si="20"/>
        <v>L</v>
      </c>
      <c r="V155" s="302"/>
      <c r="W155" s="303">
        <f>(Q155+R155)*'1.0-Contractblad'!$L$37</f>
        <v>0</v>
      </c>
      <c r="X155" s="303">
        <f ca="1">VLOOKUP(E155,'1.1a-Jaarprijzen'!$B$32:$Q$51,16,FALSE)*K155</f>
        <v>0</v>
      </c>
      <c r="Z155" s="771">
        <f t="shared" si="24"/>
        <v>4880</v>
      </c>
      <c r="AA155" s="491" t="str">
        <f t="shared" si="25"/>
        <v>18080-80</v>
      </c>
    </row>
    <row r="156" spans="2:27" s="489" customFormat="1" ht="15" hidden="1">
      <c r="B156" s="329"/>
      <c r="C156" s="330"/>
      <c r="D156" s="294">
        <f>VLOOKUP(E156,'1.1a-Jaarprijzen'!$B$13:$G$29,6,FALSE)</f>
        <v>3</v>
      </c>
      <c r="E156" s="768" t="s">
        <v>750</v>
      </c>
      <c r="F156" s="294" t="s">
        <v>387</v>
      </c>
      <c r="G156" s="295" t="s">
        <v>779</v>
      </c>
      <c r="H156" s="293" t="s">
        <v>646</v>
      </c>
      <c r="I156" s="296" t="str">
        <f t="shared" si="17"/>
        <v>leslokaal/leerplein groep 4 t/m 8</v>
      </c>
      <c r="J156" s="294" t="s">
        <v>657</v>
      </c>
      <c r="K156" s="297">
        <v>61.2</v>
      </c>
      <c r="L156" s="297"/>
      <c r="M156" s="298">
        <v>18200</v>
      </c>
      <c r="N156" s="299">
        <f t="shared" si="21"/>
        <v>200</v>
      </c>
      <c r="O156" s="483">
        <v>1</v>
      </c>
      <c r="P156" s="483">
        <v>1</v>
      </c>
      <c r="Q156" s="291">
        <f t="shared" si="22"/>
        <v>0</v>
      </c>
      <c r="R156" s="291">
        <f t="shared" si="23"/>
        <v>0</v>
      </c>
      <c r="S156" s="300">
        <f t="shared" si="18"/>
        <v>0</v>
      </c>
      <c r="T156" s="300">
        <f t="shared" si="19"/>
        <v>0</v>
      </c>
      <c r="U156" s="769" t="str">
        <f t="shared" si="20"/>
        <v>L</v>
      </c>
      <c r="V156" s="302"/>
      <c r="W156" s="303">
        <f>(Q156+R156)*'1.0-Contractblad'!$L$37</f>
        <v>0</v>
      </c>
      <c r="X156" s="303">
        <f ca="1">VLOOKUP(E156,'1.1a-Jaarprijzen'!$B$32:$Q$51,16,FALSE)*K156</f>
        <v>0</v>
      </c>
      <c r="Z156" s="771">
        <f t="shared" si="24"/>
        <v>12240</v>
      </c>
      <c r="AA156" s="491" t="str">
        <f t="shared" si="25"/>
        <v>18200-200</v>
      </c>
    </row>
    <row r="157" spans="2:27" s="489" customFormat="1" ht="15" hidden="1">
      <c r="B157" s="329"/>
      <c r="C157" s="330"/>
      <c r="D157" s="294">
        <f>VLOOKUP(E157,'1.1a-Jaarprijzen'!$B$13:$G$29,6,FALSE)</f>
        <v>3</v>
      </c>
      <c r="E157" s="768" t="s">
        <v>750</v>
      </c>
      <c r="F157" s="294" t="s">
        <v>387</v>
      </c>
      <c r="G157" s="295" t="s">
        <v>780</v>
      </c>
      <c r="H157" s="293" t="s">
        <v>392</v>
      </c>
      <c r="I157" s="296" t="str">
        <f t="shared" si="17"/>
        <v>niet van toepassing</v>
      </c>
      <c r="J157" s="294" t="s">
        <v>657</v>
      </c>
      <c r="K157" s="297"/>
      <c r="L157" s="297">
        <v>7.5</v>
      </c>
      <c r="M157" s="298" t="s">
        <v>17</v>
      </c>
      <c r="N157" s="299">
        <f t="shared" si="21"/>
        <v>0</v>
      </c>
      <c r="O157" s="483">
        <v>1</v>
      </c>
      <c r="P157" s="483">
        <v>1</v>
      </c>
      <c r="Q157" s="291">
        <f t="shared" si="22"/>
        <v>0</v>
      </c>
      <c r="R157" s="291">
        <f t="shared" si="23"/>
        <v>0</v>
      </c>
      <c r="S157" s="300">
        <f t="shared" si="18"/>
        <v>0</v>
      </c>
      <c r="T157" s="300">
        <f t="shared" si="19"/>
        <v>0</v>
      </c>
      <c r="U157" s="769">
        <f t="shared" si="20"/>
        <v>0</v>
      </c>
      <c r="V157" s="302"/>
      <c r="W157" s="303">
        <f>(Q157+R157)*'1.0-Contractblad'!$L$37</f>
        <v>0</v>
      </c>
      <c r="X157" s="303">
        <f ca="1">VLOOKUP(E157,'1.1a-Jaarprijzen'!$B$32:$Q$51,16,FALSE)*K157</f>
        <v>0</v>
      </c>
      <c r="Z157" s="771">
        <f t="shared" si="24"/>
        <v>0</v>
      </c>
      <c r="AA157" s="491" t="str">
        <f t="shared" si="25"/>
        <v>nvt-0</v>
      </c>
    </row>
    <row r="158" spans="2:27" s="489" customFormat="1" ht="15" hidden="1">
      <c r="B158" s="329"/>
      <c r="C158" s="330"/>
      <c r="D158" s="294">
        <f>VLOOKUP(E158,'1.1a-Jaarprijzen'!$B$13:$G$29,6,FALSE)</f>
        <v>3</v>
      </c>
      <c r="E158" s="768" t="s">
        <v>781</v>
      </c>
      <c r="F158" s="294" t="s">
        <v>387</v>
      </c>
      <c r="G158" s="295"/>
      <c r="H158" s="293" t="s">
        <v>636</v>
      </c>
      <c r="I158" s="296" t="str">
        <f t="shared" si="17"/>
        <v>entree, gang, hal, repro</v>
      </c>
      <c r="J158" s="294" t="s">
        <v>658</v>
      </c>
      <c r="K158" s="297">
        <v>64.790000000000006</v>
      </c>
      <c r="L158" s="297"/>
      <c r="M158" s="298">
        <v>3200</v>
      </c>
      <c r="N158" s="299">
        <f t="shared" si="21"/>
        <v>200</v>
      </c>
      <c r="O158" s="483">
        <v>1</v>
      </c>
      <c r="P158" s="483">
        <v>1</v>
      </c>
      <c r="Q158" s="291">
        <f t="shared" si="22"/>
        <v>0</v>
      </c>
      <c r="R158" s="291">
        <f t="shared" si="23"/>
        <v>0</v>
      </c>
      <c r="S158" s="300">
        <f t="shared" ref="S158:S221" si="26">IF($M158=0,0,VLOOKUP($M158,Kengetal,6,FALSE))</f>
        <v>0</v>
      </c>
      <c r="T158" s="300">
        <f t="shared" ref="T158:T221" si="27">IF($M158=0,0,VLOOKUP($M158,Kengetal,7,FALSE))</f>
        <v>0</v>
      </c>
      <c r="U158" s="769" t="str">
        <f t="shared" si="20"/>
        <v>V</v>
      </c>
      <c r="V158" s="302"/>
      <c r="W158" s="303">
        <f>(Q158+R158)*'1.0-Contractblad'!$L$37</f>
        <v>0</v>
      </c>
      <c r="X158" s="303">
        <f ca="1">VLOOKUP(E158,'1.1a-Jaarprijzen'!$B$32:$Q$51,16,FALSE)*K158</f>
        <v>0</v>
      </c>
      <c r="Z158" s="771">
        <f t="shared" si="24"/>
        <v>12958.000000000002</v>
      </c>
      <c r="AA158" s="491" t="str">
        <f t="shared" si="25"/>
        <v>3200-200</v>
      </c>
    </row>
    <row r="159" spans="2:27" s="489" customFormat="1" ht="15" hidden="1">
      <c r="B159" s="329"/>
      <c r="C159" s="330"/>
      <c r="D159" s="294">
        <f>VLOOKUP(E159,'1.1a-Jaarprijzen'!$B$13:$G$29,6,FALSE)</f>
        <v>3</v>
      </c>
      <c r="E159" s="768" t="s">
        <v>781</v>
      </c>
      <c r="F159" s="294" t="s">
        <v>387</v>
      </c>
      <c r="G159" s="295"/>
      <c r="H159" s="293" t="s">
        <v>646</v>
      </c>
      <c r="I159" s="296" t="str">
        <f t="shared" si="17"/>
        <v>leslokaal groep 1 t/m 3</v>
      </c>
      <c r="J159" s="294" t="s">
        <v>466</v>
      </c>
      <c r="K159" s="297">
        <v>49.98</v>
      </c>
      <c r="L159" s="297"/>
      <c r="M159" s="298">
        <v>7200</v>
      </c>
      <c r="N159" s="299">
        <f t="shared" si="21"/>
        <v>200</v>
      </c>
      <c r="O159" s="483">
        <v>1</v>
      </c>
      <c r="P159" s="483">
        <v>1</v>
      </c>
      <c r="Q159" s="291">
        <f t="shared" si="22"/>
        <v>0</v>
      </c>
      <c r="R159" s="291">
        <f t="shared" si="23"/>
        <v>0</v>
      </c>
      <c r="S159" s="300">
        <f t="shared" si="26"/>
        <v>0</v>
      </c>
      <c r="T159" s="300">
        <f t="shared" si="27"/>
        <v>0</v>
      </c>
      <c r="U159" s="769" t="str">
        <f t="shared" si="20"/>
        <v>L</v>
      </c>
      <c r="V159" s="302"/>
      <c r="W159" s="303">
        <f>(Q159+R159)*'1.0-Contractblad'!$L$37</f>
        <v>0</v>
      </c>
      <c r="X159" s="303">
        <f ca="1">VLOOKUP(E159,'1.1a-Jaarprijzen'!$B$32:$Q$51,16,FALSE)*K159</f>
        <v>0</v>
      </c>
      <c r="Z159" s="771">
        <f t="shared" si="24"/>
        <v>9996</v>
      </c>
      <c r="AA159" s="491" t="str">
        <f t="shared" si="25"/>
        <v>7200-200</v>
      </c>
    </row>
    <row r="160" spans="2:27" s="489" customFormat="1" ht="15" hidden="1">
      <c r="B160" s="329"/>
      <c r="C160" s="330"/>
      <c r="D160" s="294">
        <f>VLOOKUP(E160,'1.1a-Jaarprijzen'!$B$13:$G$29,6,FALSE)</f>
        <v>3</v>
      </c>
      <c r="E160" s="768" t="s">
        <v>781</v>
      </c>
      <c r="F160" s="294" t="s">
        <v>387</v>
      </c>
      <c r="G160" s="295"/>
      <c r="H160" s="293" t="s">
        <v>646</v>
      </c>
      <c r="I160" s="296" t="str">
        <f t="shared" si="17"/>
        <v>leslokaal groep 1 t/m 3</v>
      </c>
      <c r="J160" s="294" t="s">
        <v>466</v>
      </c>
      <c r="K160" s="297">
        <v>51.27</v>
      </c>
      <c r="L160" s="297"/>
      <c r="M160" s="298">
        <v>7200</v>
      </c>
      <c r="N160" s="299">
        <f t="shared" si="21"/>
        <v>200</v>
      </c>
      <c r="O160" s="483">
        <v>1</v>
      </c>
      <c r="P160" s="483">
        <v>1</v>
      </c>
      <c r="Q160" s="291">
        <f t="shared" si="22"/>
        <v>0</v>
      </c>
      <c r="R160" s="291">
        <f t="shared" si="23"/>
        <v>0</v>
      </c>
      <c r="S160" s="300">
        <f t="shared" si="26"/>
        <v>0</v>
      </c>
      <c r="T160" s="300">
        <f t="shared" si="27"/>
        <v>0</v>
      </c>
      <c r="U160" s="769" t="str">
        <f t="shared" si="20"/>
        <v>L</v>
      </c>
      <c r="V160" s="302"/>
      <c r="W160" s="303">
        <f>(Q160+R160)*'1.0-Contractblad'!$L$37</f>
        <v>0</v>
      </c>
      <c r="X160" s="303">
        <f ca="1">VLOOKUP(E160,'1.1a-Jaarprijzen'!$B$32:$Q$51,16,FALSE)*K160</f>
        <v>0</v>
      </c>
      <c r="Z160" s="771">
        <f t="shared" si="24"/>
        <v>10254</v>
      </c>
      <c r="AA160" s="491" t="str">
        <f t="shared" si="25"/>
        <v>7200-200</v>
      </c>
    </row>
    <row r="161" spans="2:27" s="489" customFormat="1" ht="15" hidden="1">
      <c r="B161" s="329"/>
      <c r="C161" s="330"/>
      <c r="D161" s="294">
        <f>VLOOKUP(E161,'1.1a-Jaarprijzen'!$B$13:$G$29,6,FALSE)</f>
        <v>3</v>
      </c>
      <c r="E161" s="768" t="s">
        <v>781</v>
      </c>
      <c r="F161" s="294" t="s">
        <v>387</v>
      </c>
      <c r="G161" s="295"/>
      <c r="H161" s="293" t="s">
        <v>646</v>
      </c>
      <c r="I161" s="296" t="str">
        <f t="shared" si="17"/>
        <v>leslokaal groep 1 t/m 3</v>
      </c>
      <c r="J161" s="294" t="s">
        <v>466</v>
      </c>
      <c r="K161" s="297">
        <v>54.67</v>
      </c>
      <c r="L161" s="297"/>
      <c r="M161" s="298">
        <v>7200</v>
      </c>
      <c r="N161" s="299">
        <f t="shared" si="21"/>
        <v>200</v>
      </c>
      <c r="O161" s="483">
        <v>1</v>
      </c>
      <c r="P161" s="483">
        <v>1</v>
      </c>
      <c r="Q161" s="291">
        <f t="shared" si="22"/>
        <v>0</v>
      </c>
      <c r="R161" s="291">
        <f t="shared" si="23"/>
        <v>0</v>
      </c>
      <c r="S161" s="300">
        <f t="shared" si="26"/>
        <v>0</v>
      </c>
      <c r="T161" s="300">
        <f t="shared" si="27"/>
        <v>0</v>
      </c>
      <c r="U161" s="769" t="str">
        <f t="shared" si="20"/>
        <v>L</v>
      </c>
      <c r="V161" s="302"/>
      <c r="W161" s="303">
        <f>(Q161+R161)*'1.0-Contractblad'!$L$37</f>
        <v>0</v>
      </c>
      <c r="X161" s="303">
        <f ca="1">VLOOKUP(E161,'1.1a-Jaarprijzen'!$B$32:$Q$51,16,FALSE)*K161</f>
        <v>0</v>
      </c>
      <c r="Z161" s="771">
        <f t="shared" si="24"/>
        <v>10934</v>
      </c>
      <c r="AA161" s="491" t="str">
        <f t="shared" si="25"/>
        <v>7200-200</v>
      </c>
    </row>
    <row r="162" spans="2:27" s="489" customFormat="1" ht="15" hidden="1">
      <c r="B162" s="329"/>
      <c r="C162" s="330"/>
      <c r="D162" s="294">
        <f>VLOOKUP(E162,'1.1a-Jaarprijzen'!$B$13:$G$29,6,FALSE)</f>
        <v>3</v>
      </c>
      <c r="E162" s="768" t="s">
        <v>781</v>
      </c>
      <c r="F162" s="294" t="s">
        <v>387</v>
      </c>
      <c r="G162" s="295"/>
      <c r="H162" s="293" t="s">
        <v>792</v>
      </c>
      <c r="I162" s="296" t="str">
        <f t="shared" si="17"/>
        <v>sanitaire ruimte (toilet-/doucheruimte)</v>
      </c>
      <c r="J162" s="294" t="s">
        <v>658</v>
      </c>
      <c r="K162" s="297">
        <v>5.33</v>
      </c>
      <c r="L162" s="297"/>
      <c r="M162" s="298">
        <v>4200</v>
      </c>
      <c r="N162" s="299">
        <f t="shared" si="21"/>
        <v>200</v>
      </c>
      <c r="O162" s="483">
        <v>1</v>
      </c>
      <c r="P162" s="483">
        <v>1</v>
      </c>
      <c r="Q162" s="291">
        <f t="shared" si="22"/>
        <v>0</v>
      </c>
      <c r="R162" s="291">
        <f t="shared" si="23"/>
        <v>0</v>
      </c>
      <c r="S162" s="300">
        <f t="shared" si="26"/>
        <v>0</v>
      </c>
      <c r="T162" s="300">
        <f t="shared" si="27"/>
        <v>0</v>
      </c>
      <c r="U162" s="769" t="str">
        <f t="shared" si="20"/>
        <v>S</v>
      </c>
      <c r="V162" s="302"/>
      <c r="W162" s="303">
        <f>(Q162+R162)*'1.0-Contractblad'!$L$37</f>
        <v>0</v>
      </c>
      <c r="X162" s="303">
        <f ca="1">VLOOKUP(E162,'1.1a-Jaarprijzen'!$B$32:$Q$51,16,FALSE)*K162</f>
        <v>0</v>
      </c>
      <c r="Z162" s="771">
        <f t="shared" si="24"/>
        <v>1066</v>
      </c>
      <c r="AA162" s="491" t="str">
        <f t="shared" si="25"/>
        <v>4200-200</v>
      </c>
    </row>
    <row r="163" spans="2:27" s="489" customFormat="1" ht="15" hidden="1">
      <c r="B163" s="329"/>
      <c r="C163" s="330"/>
      <c r="D163" s="294">
        <f>VLOOKUP(E163,'1.1a-Jaarprijzen'!$B$13:$G$29,6,FALSE)</f>
        <v>3</v>
      </c>
      <c r="E163" s="768" t="s">
        <v>781</v>
      </c>
      <c r="F163" s="294" t="s">
        <v>387</v>
      </c>
      <c r="G163" s="295"/>
      <c r="H163" s="293" t="s">
        <v>792</v>
      </c>
      <c r="I163" s="296" t="str">
        <f t="shared" si="17"/>
        <v>sanitaire ruimte (toilet-/doucheruimte)</v>
      </c>
      <c r="J163" s="294" t="s">
        <v>658</v>
      </c>
      <c r="K163" s="297">
        <v>5.3</v>
      </c>
      <c r="L163" s="297"/>
      <c r="M163" s="298">
        <v>4200</v>
      </c>
      <c r="N163" s="299">
        <f t="shared" si="21"/>
        <v>200</v>
      </c>
      <c r="O163" s="483">
        <v>1</v>
      </c>
      <c r="P163" s="483">
        <v>1</v>
      </c>
      <c r="Q163" s="291">
        <f t="shared" si="22"/>
        <v>0</v>
      </c>
      <c r="R163" s="291">
        <f t="shared" si="23"/>
        <v>0</v>
      </c>
      <c r="S163" s="300">
        <f t="shared" si="26"/>
        <v>0</v>
      </c>
      <c r="T163" s="300">
        <f t="shared" si="27"/>
        <v>0</v>
      </c>
      <c r="U163" s="769" t="str">
        <f t="shared" si="20"/>
        <v>S</v>
      </c>
      <c r="V163" s="302"/>
      <c r="W163" s="303">
        <f>(Q163+R163)*'1.0-Contractblad'!$L$37</f>
        <v>0</v>
      </c>
      <c r="X163" s="303">
        <f ca="1">VLOOKUP(E163,'1.1a-Jaarprijzen'!$B$32:$Q$51,16,FALSE)*K163</f>
        <v>0</v>
      </c>
      <c r="Z163" s="771">
        <f t="shared" si="24"/>
        <v>1060</v>
      </c>
      <c r="AA163" s="491" t="str">
        <f t="shared" si="25"/>
        <v>4200-200</v>
      </c>
    </row>
    <row r="164" spans="2:27" s="489" customFormat="1" ht="15" hidden="1">
      <c r="B164" s="329"/>
      <c r="C164" s="330"/>
      <c r="D164" s="294">
        <f>VLOOKUP(E164,'1.1a-Jaarprijzen'!$B$13:$G$29,6,FALSE)</f>
        <v>3</v>
      </c>
      <c r="E164" s="768" t="s">
        <v>781</v>
      </c>
      <c r="F164" s="294" t="s">
        <v>387</v>
      </c>
      <c r="G164" s="295"/>
      <c r="H164" s="293" t="s">
        <v>646</v>
      </c>
      <c r="I164" s="296" t="str">
        <f t="shared" si="17"/>
        <v>leslokaal groep 1 t/m 3</v>
      </c>
      <c r="J164" s="297" t="s">
        <v>466</v>
      </c>
      <c r="K164" s="297">
        <v>59.7</v>
      </c>
      <c r="L164" s="297"/>
      <c r="M164" s="298">
        <v>7200</v>
      </c>
      <c r="N164" s="299">
        <f t="shared" si="21"/>
        <v>200</v>
      </c>
      <c r="O164" s="483">
        <v>1</v>
      </c>
      <c r="P164" s="483">
        <v>1</v>
      </c>
      <c r="Q164" s="291">
        <f t="shared" si="22"/>
        <v>0</v>
      </c>
      <c r="R164" s="291">
        <f t="shared" si="23"/>
        <v>0</v>
      </c>
      <c r="S164" s="300">
        <f t="shared" si="26"/>
        <v>0</v>
      </c>
      <c r="T164" s="300">
        <f t="shared" si="27"/>
        <v>0</v>
      </c>
      <c r="U164" s="769" t="str">
        <f t="shared" si="20"/>
        <v>L</v>
      </c>
      <c r="V164" s="302"/>
      <c r="W164" s="303">
        <f>(Q164+R164)*'1.0-Contractblad'!$L$37</f>
        <v>0</v>
      </c>
      <c r="X164" s="303">
        <f ca="1">VLOOKUP(E164,'1.1a-Jaarprijzen'!$B$32:$Q$51,16,FALSE)*K164</f>
        <v>0</v>
      </c>
      <c r="Z164" s="771">
        <f t="shared" si="24"/>
        <v>11940</v>
      </c>
      <c r="AA164" s="491" t="str">
        <f t="shared" si="25"/>
        <v>7200-200</v>
      </c>
    </row>
    <row r="165" spans="2:27" s="489" customFormat="1" ht="15" hidden="1">
      <c r="B165" s="329"/>
      <c r="C165" s="330"/>
      <c r="D165" s="294">
        <f>VLOOKUP(E165,'1.1a-Jaarprijzen'!$B$13:$G$29,6,FALSE)</f>
        <v>3</v>
      </c>
      <c r="E165" s="768" t="s">
        <v>781</v>
      </c>
      <c r="F165" s="294" t="s">
        <v>387</v>
      </c>
      <c r="G165" s="295"/>
      <c r="H165" s="293" t="s">
        <v>986</v>
      </c>
      <c r="I165" s="296" t="str">
        <f t="shared" si="17"/>
        <v>entree, gang, hal, repro</v>
      </c>
      <c r="J165" s="297" t="s">
        <v>466</v>
      </c>
      <c r="K165" s="297">
        <v>18.260000000000002</v>
      </c>
      <c r="L165" s="297"/>
      <c r="M165" s="298">
        <v>3200</v>
      </c>
      <c r="N165" s="299">
        <f t="shared" si="21"/>
        <v>200</v>
      </c>
      <c r="O165" s="483">
        <v>1</v>
      </c>
      <c r="P165" s="483">
        <v>1</v>
      </c>
      <c r="Q165" s="291">
        <f t="shared" si="22"/>
        <v>0</v>
      </c>
      <c r="R165" s="291">
        <f t="shared" si="23"/>
        <v>0</v>
      </c>
      <c r="S165" s="300">
        <f t="shared" si="26"/>
        <v>0</v>
      </c>
      <c r="T165" s="300">
        <f t="shared" si="27"/>
        <v>0</v>
      </c>
      <c r="U165" s="769" t="str">
        <f t="shared" ref="U165:U228" si="28">IF(M165="","",VLOOKUP(M165,Kengetal,14,FALSE))</f>
        <v>V</v>
      </c>
      <c r="V165" s="302"/>
      <c r="W165" s="303">
        <f>(Q165+R165)*'1.0-Contractblad'!$L$37</f>
        <v>0</v>
      </c>
      <c r="X165" s="303">
        <f ca="1">VLOOKUP(E165,'1.1a-Jaarprijzen'!$B$32:$Q$51,16,FALSE)*K165</f>
        <v>0</v>
      </c>
      <c r="Z165" s="771">
        <f t="shared" si="24"/>
        <v>3652.0000000000005</v>
      </c>
      <c r="AA165" s="491" t="str">
        <f t="shared" si="25"/>
        <v>3200-200</v>
      </c>
    </row>
    <row r="166" spans="2:27" s="489" customFormat="1" ht="15" hidden="1">
      <c r="B166" s="329"/>
      <c r="C166" s="330"/>
      <c r="D166" s="294">
        <f>VLOOKUP(E166,'1.1a-Jaarprijzen'!$B$13:$G$29,6,FALSE)</f>
        <v>3</v>
      </c>
      <c r="E166" s="768" t="s">
        <v>781</v>
      </c>
      <c r="F166" s="294" t="s">
        <v>387</v>
      </c>
      <c r="G166" s="295"/>
      <c r="H166" s="293" t="s">
        <v>393</v>
      </c>
      <c r="I166" s="296" t="str">
        <f t="shared" si="17"/>
        <v>aula, gemeenschappelijke ruimte, bibliotheek</v>
      </c>
      <c r="J166" s="294" t="s">
        <v>466</v>
      </c>
      <c r="K166" s="297">
        <v>35.11</v>
      </c>
      <c r="L166" s="297"/>
      <c r="M166" s="298">
        <v>2200</v>
      </c>
      <c r="N166" s="299">
        <f t="shared" ref="N166:N229" si="29">VLOOKUP(M166,Kengetal,3,FALSE)</f>
        <v>200</v>
      </c>
      <c r="O166" s="483">
        <v>1</v>
      </c>
      <c r="P166" s="483">
        <v>1</v>
      </c>
      <c r="Q166" s="291">
        <f t="shared" ref="Q166:Q229" si="30">S166*K166*O166</f>
        <v>0</v>
      </c>
      <c r="R166" s="291">
        <f t="shared" ref="R166:R229" si="31">T166*K166*P166</f>
        <v>0</v>
      </c>
      <c r="S166" s="300">
        <f t="shared" si="26"/>
        <v>0</v>
      </c>
      <c r="T166" s="300">
        <f t="shared" si="27"/>
        <v>0</v>
      </c>
      <c r="U166" s="769" t="str">
        <f t="shared" si="28"/>
        <v>V</v>
      </c>
      <c r="V166" s="302"/>
      <c r="W166" s="303">
        <f>(Q166+R166)*'1.0-Contractblad'!$L$37</f>
        <v>0</v>
      </c>
      <c r="X166" s="303">
        <f ca="1">VLOOKUP(E166,'1.1a-Jaarprijzen'!$B$32:$Q$51,16,FALSE)*K166</f>
        <v>0</v>
      </c>
      <c r="Z166" s="771">
        <f t="shared" ref="Z166:Z229" si="32">K166*N166</f>
        <v>7022</v>
      </c>
      <c r="AA166" s="491" t="str">
        <f t="shared" ref="AA166:AA229" si="33">CONCATENATE(M166,"-",N166)</f>
        <v>2200-200</v>
      </c>
    </row>
    <row r="167" spans="2:27" s="489" customFormat="1" ht="15" hidden="1">
      <c r="B167" s="329"/>
      <c r="C167" s="330"/>
      <c r="D167" s="294">
        <f>VLOOKUP(E167,'1.1a-Jaarprijzen'!$B$13:$G$29,6,FALSE)</f>
        <v>3</v>
      </c>
      <c r="E167" s="768" t="s">
        <v>781</v>
      </c>
      <c r="F167" s="294" t="s">
        <v>387</v>
      </c>
      <c r="G167" s="295"/>
      <c r="H167" s="293" t="s">
        <v>965</v>
      </c>
      <c r="I167" s="296" t="str">
        <f t="shared" si="17"/>
        <v>niet van toepassing</v>
      </c>
      <c r="J167" s="294" t="s">
        <v>466</v>
      </c>
      <c r="K167" s="297"/>
      <c r="L167" s="297">
        <v>3.07</v>
      </c>
      <c r="M167" s="298" t="s">
        <v>17</v>
      </c>
      <c r="N167" s="299">
        <f t="shared" si="29"/>
        <v>0</v>
      </c>
      <c r="O167" s="483">
        <v>1</v>
      </c>
      <c r="P167" s="483">
        <v>1</v>
      </c>
      <c r="Q167" s="291">
        <f t="shared" si="30"/>
        <v>0</v>
      </c>
      <c r="R167" s="291">
        <f t="shared" si="31"/>
        <v>0</v>
      </c>
      <c r="S167" s="300">
        <f t="shared" si="26"/>
        <v>0</v>
      </c>
      <c r="T167" s="300">
        <f t="shared" si="27"/>
        <v>0</v>
      </c>
      <c r="U167" s="769">
        <f t="shared" si="28"/>
        <v>0</v>
      </c>
      <c r="V167" s="302"/>
      <c r="W167" s="303">
        <f>(Q167+R167)*'1.0-Contractblad'!$L$37</f>
        <v>0</v>
      </c>
      <c r="X167" s="303">
        <f ca="1">VLOOKUP(E167,'1.1a-Jaarprijzen'!$B$32:$Q$51,16,FALSE)*K167</f>
        <v>0</v>
      </c>
      <c r="Z167" s="771">
        <f t="shared" si="32"/>
        <v>0</v>
      </c>
      <c r="AA167" s="491" t="str">
        <f t="shared" si="33"/>
        <v>nvt-0</v>
      </c>
    </row>
    <row r="168" spans="2:27" s="489" customFormat="1" ht="15" hidden="1">
      <c r="B168" s="329"/>
      <c r="C168" s="330"/>
      <c r="D168" s="294">
        <f>VLOOKUP(E168,'1.1a-Jaarprijzen'!$B$13:$G$29,6,FALSE)</f>
        <v>3</v>
      </c>
      <c r="E168" s="768" t="s">
        <v>781</v>
      </c>
      <c r="F168" s="294" t="s">
        <v>387</v>
      </c>
      <c r="G168" s="295"/>
      <c r="H168" s="293" t="s">
        <v>792</v>
      </c>
      <c r="I168" s="296" t="str">
        <f t="shared" si="17"/>
        <v>sanitaire ruimte (toilet-/doucheruimte)</v>
      </c>
      <c r="J168" s="294" t="s">
        <v>658</v>
      </c>
      <c r="K168" s="297">
        <v>3.68</v>
      </c>
      <c r="L168" s="297"/>
      <c r="M168" s="298">
        <v>4200</v>
      </c>
      <c r="N168" s="299">
        <f t="shared" si="29"/>
        <v>200</v>
      </c>
      <c r="O168" s="483">
        <v>1</v>
      </c>
      <c r="P168" s="483">
        <v>1</v>
      </c>
      <c r="Q168" s="291">
        <f t="shared" si="30"/>
        <v>0</v>
      </c>
      <c r="R168" s="291">
        <f t="shared" si="31"/>
        <v>0</v>
      </c>
      <c r="S168" s="300">
        <f t="shared" si="26"/>
        <v>0</v>
      </c>
      <c r="T168" s="300">
        <f t="shared" si="27"/>
        <v>0</v>
      </c>
      <c r="U168" s="769" t="str">
        <f t="shared" si="28"/>
        <v>S</v>
      </c>
      <c r="V168" s="302"/>
      <c r="W168" s="303">
        <f>(Q168+R168)*'1.0-Contractblad'!$L$37</f>
        <v>0</v>
      </c>
      <c r="X168" s="303">
        <f ca="1">VLOOKUP(E168,'1.1a-Jaarprijzen'!$B$32:$Q$51,16,FALSE)*K168</f>
        <v>0</v>
      </c>
      <c r="Z168" s="771">
        <f t="shared" si="32"/>
        <v>736</v>
      </c>
      <c r="AA168" s="491" t="str">
        <f t="shared" si="33"/>
        <v>4200-200</v>
      </c>
    </row>
    <row r="169" spans="2:27" s="489" customFormat="1" ht="15" hidden="1">
      <c r="B169" s="329"/>
      <c r="C169" s="330"/>
      <c r="D169" s="294">
        <f>VLOOKUP(E169,'1.1a-Jaarprijzen'!$B$13:$G$29,6,FALSE)</f>
        <v>3</v>
      </c>
      <c r="E169" s="768" t="s">
        <v>781</v>
      </c>
      <c r="F169" s="294" t="s">
        <v>387</v>
      </c>
      <c r="G169" s="295"/>
      <c r="H169" s="293" t="s">
        <v>646</v>
      </c>
      <c r="I169" s="296" t="str">
        <f t="shared" si="17"/>
        <v>leslokaal groep 1 t/m 3</v>
      </c>
      <c r="J169" s="294" t="s">
        <v>466</v>
      </c>
      <c r="K169" s="297">
        <v>54.54</v>
      </c>
      <c r="L169" s="297"/>
      <c r="M169" s="298">
        <v>7200</v>
      </c>
      <c r="N169" s="299">
        <f t="shared" si="29"/>
        <v>200</v>
      </c>
      <c r="O169" s="483">
        <v>1</v>
      </c>
      <c r="P169" s="483">
        <v>1</v>
      </c>
      <c r="Q169" s="291">
        <f t="shared" si="30"/>
        <v>0</v>
      </c>
      <c r="R169" s="291">
        <f t="shared" si="31"/>
        <v>0</v>
      </c>
      <c r="S169" s="300">
        <f t="shared" si="26"/>
        <v>0</v>
      </c>
      <c r="T169" s="300">
        <f t="shared" si="27"/>
        <v>0</v>
      </c>
      <c r="U169" s="769" t="str">
        <f t="shared" si="28"/>
        <v>L</v>
      </c>
      <c r="V169" s="302"/>
      <c r="W169" s="303">
        <f>(Q169+R169)*'1.0-Contractblad'!$L$37</f>
        <v>0</v>
      </c>
      <c r="X169" s="303">
        <f ca="1">VLOOKUP(E169,'1.1a-Jaarprijzen'!$B$32:$Q$51,16,FALSE)*K169</f>
        <v>0</v>
      </c>
      <c r="Z169" s="771">
        <f t="shared" si="32"/>
        <v>10908</v>
      </c>
      <c r="AA169" s="491" t="str">
        <f t="shared" si="33"/>
        <v>7200-200</v>
      </c>
    </row>
    <row r="170" spans="2:27" s="489" customFormat="1" ht="15" hidden="1">
      <c r="B170" s="329"/>
      <c r="C170" s="330"/>
      <c r="D170" s="294">
        <f>VLOOKUP(E170,'1.1a-Jaarprijzen'!$B$13:$G$29,6,FALSE)</f>
        <v>3</v>
      </c>
      <c r="E170" s="768" t="s">
        <v>781</v>
      </c>
      <c r="F170" s="294" t="s">
        <v>387</v>
      </c>
      <c r="G170" s="295"/>
      <c r="H170" s="293" t="s">
        <v>792</v>
      </c>
      <c r="I170" s="296" t="str">
        <f t="shared" si="17"/>
        <v>sanitaire ruimte (toilet-/doucheruimte)</v>
      </c>
      <c r="J170" s="294" t="s">
        <v>658</v>
      </c>
      <c r="K170" s="297">
        <v>4.88</v>
      </c>
      <c r="L170" s="297"/>
      <c r="M170" s="298">
        <v>4200</v>
      </c>
      <c r="N170" s="299">
        <f t="shared" si="29"/>
        <v>200</v>
      </c>
      <c r="O170" s="483">
        <v>1</v>
      </c>
      <c r="P170" s="483">
        <v>1</v>
      </c>
      <c r="Q170" s="291">
        <f t="shared" si="30"/>
        <v>0</v>
      </c>
      <c r="R170" s="291">
        <f t="shared" si="31"/>
        <v>0</v>
      </c>
      <c r="S170" s="300">
        <f t="shared" si="26"/>
        <v>0</v>
      </c>
      <c r="T170" s="300">
        <f t="shared" si="27"/>
        <v>0</v>
      </c>
      <c r="U170" s="769" t="str">
        <f t="shared" si="28"/>
        <v>S</v>
      </c>
      <c r="V170" s="302"/>
      <c r="W170" s="303">
        <f>(Q170+R170)*'1.0-Contractblad'!$L$37</f>
        <v>0</v>
      </c>
      <c r="X170" s="303">
        <f ca="1">VLOOKUP(E170,'1.1a-Jaarprijzen'!$B$32:$Q$51,16,FALSE)*K170</f>
        <v>0</v>
      </c>
      <c r="Z170" s="771">
        <f t="shared" si="32"/>
        <v>976</v>
      </c>
      <c r="AA170" s="491" t="str">
        <f t="shared" si="33"/>
        <v>4200-200</v>
      </c>
    </row>
    <row r="171" spans="2:27" s="489" customFormat="1" ht="15" hidden="1">
      <c r="B171" s="329"/>
      <c r="C171" s="330"/>
      <c r="D171" s="294">
        <f>VLOOKUP(E171,'1.1a-Jaarprijzen'!$B$13:$G$29,6,FALSE)</f>
        <v>3</v>
      </c>
      <c r="E171" s="768" t="s">
        <v>781</v>
      </c>
      <c r="F171" s="294" t="s">
        <v>387</v>
      </c>
      <c r="G171" s="295"/>
      <c r="H171" s="293" t="s">
        <v>636</v>
      </c>
      <c r="I171" s="296" t="str">
        <f t="shared" si="17"/>
        <v>entree, gang, hal, repro</v>
      </c>
      <c r="J171" s="294" t="s">
        <v>658</v>
      </c>
      <c r="K171" s="297">
        <v>18.28</v>
      </c>
      <c r="L171" s="297"/>
      <c r="M171" s="298">
        <v>3200</v>
      </c>
      <c r="N171" s="299">
        <f t="shared" si="29"/>
        <v>200</v>
      </c>
      <c r="O171" s="483">
        <v>1</v>
      </c>
      <c r="P171" s="483">
        <v>1</v>
      </c>
      <c r="Q171" s="291">
        <f t="shared" si="30"/>
        <v>0</v>
      </c>
      <c r="R171" s="291">
        <f t="shared" si="31"/>
        <v>0</v>
      </c>
      <c r="S171" s="300">
        <f t="shared" si="26"/>
        <v>0</v>
      </c>
      <c r="T171" s="300">
        <f t="shared" si="27"/>
        <v>0</v>
      </c>
      <c r="U171" s="769" t="str">
        <f t="shared" si="28"/>
        <v>V</v>
      </c>
      <c r="V171" s="302"/>
      <c r="W171" s="303">
        <f>(Q171+R171)*'1.0-Contractblad'!$L$37</f>
        <v>0</v>
      </c>
      <c r="X171" s="303">
        <f ca="1">VLOOKUP(E171,'1.1a-Jaarprijzen'!$B$32:$Q$51,16,FALSE)*K171</f>
        <v>0</v>
      </c>
      <c r="Z171" s="771">
        <f t="shared" si="32"/>
        <v>3656</v>
      </c>
      <c r="AA171" s="491" t="str">
        <f t="shared" si="33"/>
        <v>3200-200</v>
      </c>
    </row>
    <row r="172" spans="2:27" s="489" customFormat="1" ht="15" hidden="1">
      <c r="B172" s="329"/>
      <c r="C172" s="330"/>
      <c r="D172" s="294">
        <f>VLOOKUP(E172,'1.1a-Jaarprijzen'!$B$13:$G$29,6,FALSE)</f>
        <v>3</v>
      </c>
      <c r="E172" s="768" t="s">
        <v>781</v>
      </c>
      <c r="F172" s="294" t="s">
        <v>387</v>
      </c>
      <c r="G172" s="295"/>
      <c r="H172" s="293" t="s">
        <v>636</v>
      </c>
      <c r="I172" s="296" t="str">
        <f t="shared" si="17"/>
        <v>entree, gang, hal, repro</v>
      </c>
      <c r="J172" s="294" t="s">
        <v>466</v>
      </c>
      <c r="K172" s="297">
        <v>75.41</v>
      </c>
      <c r="L172" s="297"/>
      <c r="M172" s="298">
        <v>3200</v>
      </c>
      <c r="N172" s="299">
        <f t="shared" si="29"/>
        <v>200</v>
      </c>
      <c r="O172" s="483">
        <v>1</v>
      </c>
      <c r="P172" s="483">
        <v>1</v>
      </c>
      <c r="Q172" s="291">
        <f t="shared" si="30"/>
        <v>0</v>
      </c>
      <c r="R172" s="291">
        <f t="shared" si="31"/>
        <v>0</v>
      </c>
      <c r="S172" s="300">
        <f t="shared" si="26"/>
        <v>0</v>
      </c>
      <c r="T172" s="300">
        <f t="shared" si="27"/>
        <v>0</v>
      </c>
      <c r="U172" s="769" t="str">
        <f t="shared" si="28"/>
        <v>V</v>
      </c>
      <c r="V172" s="302"/>
      <c r="W172" s="303">
        <f>(Q172+R172)*'1.0-Contractblad'!$L$37</f>
        <v>0</v>
      </c>
      <c r="X172" s="303">
        <f ca="1">VLOOKUP(E172,'1.1a-Jaarprijzen'!$B$32:$Q$51,16,FALSE)*K172</f>
        <v>0</v>
      </c>
      <c r="Z172" s="771">
        <f t="shared" si="32"/>
        <v>15082</v>
      </c>
      <c r="AA172" s="491" t="str">
        <f t="shared" si="33"/>
        <v>3200-200</v>
      </c>
    </row>
    <row r="173" spans="2:27" s="489" customFormat="1" ht="15" hidden="1">
      <c r="B173" s="329"/>
      <c r="C173" s="330"/>
      <c r="D173" s="294">
        <f>VLOOKUP(E173,'1.1a-Jaarprijzen'!$B$13:$G$29,6,FALSE)</f>
        <v>3</v>
      </c>
      <c r="E173" s="768" t="s">
        <v>781</v>
      </c>
      <c r="F173" s="294" t="s">
        <v>387</v>
      </c>
      <c r="G173" s="295"/>
      <c r="H173" s="293" t="s">
        <v>636</v>
      </c>
      <c r="I173" s="296" t="str">
        <f t="shared" si="17"/>
        <v>entree, gang, hal, repro</v>
      </c>
      <c r="J173" s="294" t="s">
        <v>466</v>
      </c>
      <c r="K173" s="297">
        <v>31.45</v>
      </c>
      <c r="L173" s="297"/>
      <c r="M173" s="298">
        <v>3200</v>
      </c>
      <c r="N173" s="299">
        <f t="shared" si="29"/>
        <v>200</v>
      </c>
      <c r="O173" s="483">
        <v>1</v>
      </c>
      <c r="P173" s="483">
        <v>1</v>
      </c>
      <c r="Q173" s="291">
        <f t="shared" si="30"/>
        <v>0</v>
      </c>
      <c r="R173" s="291">
        <f t="shared" si="31"/>
        <v>0</v>
      </c>
      <c r="S173" s="300">
        <f t="shared" si="26"/>
        <v>0</v>
      </c>
      <c r="T173" s="300">
        <f t="shared" si="27"/>
        <v>0</v>
      </c>
      <c r="U173" s="769" t="str">
        <f t="shared" si="28"/>
        <v>V</v>
      </c>
      <c r="V173" s="302"/>
      <c r="W173" s="303">
        <f>(Q173+R173)*'1.0-Contractblad'!$L$37</f>
        <v>0</v>
      </c>
      <c r="X173" s="303">
        <f ca="1">VLOOKUP(E173,'1.1a-Jaarprijzen'!$B$32:$Q$51,16,FALSE)*K173</f>
        <v>0</v>
      </c>
      <c r="Z173" s="771">
        <f t="shared" si="32"/>
        <v>6290</v>
      </c>
      <c r="AA173" s="491" t="str">
        <f t="shared" si="33"/>
        <v>3200-200</v>
      </c>
    </row>
    <row r="174" spans="2:27" s="489" customFormat="1" ht="15" hidden="1">
      <c r="B174" s="329"/>
      <c r="C174" s="330"/>
      <c r="D174" s="294">
        <f>VLOOKUP(E174,'1.1a-Jaarprijzen'!$B$13:$G$29,6,FALSE)</f>
        <v>3</v>
      </c>
      <c r="E174" s="768" t="s">
        <v>781</v>
      </c>
      <c r="F174" s="294" t="s">
        <v>387</v>
      </c>
      <c r="G174" s="295"/>
      <c r="H174" s="293" t="s">
        <v>646</v>
      </c>
      <c r="I174" s="296" t="str">
        <f t="shared" si="17"/>
        <v>leslokaal groep 1 t/m 3</v>
      </c>
      <c r="J174" s="294" t="s">
        <v>466</v>
      </c>
      <c r="K174" s="297">
        <v>69.98</v>
      </c>
      <c r="L174" s="297"/>
      <c r="M174" s="298">
        <v>7200</v>
      </c>
      <c r="N174" s="299">
        <f t="shared" si="29"/>
        <v>200</v>
      </c>
      <c r="O174" s="483">
        <v>1</v>
      </c>
      <c r="P174" s="483">
        <v>1</v>
      </c>
      <c r="Q174" s="291">
        <f t="shared" si="30"/>
        <v>0</v>
      </c>
      <c r="R174" s="291">
        <f t="shared" si="31"/>
        <v>0</v>
      </c>
      <c r="S174" s="300">
        <f t="shared" si="26"/>
        <v>0</v>
      </c>
      <c r="T174" s="300">
        <f t="shared" si="27"/>
        <v>0</v>
      </c>
      <c r="U174" s="769" t="str">
        <f t="shared" si="28"/>
        <v>L</v>
      </c>
      <c r="V174" s="302"/>
      <c r="W174" s="303">
        <f>(Q174+R174)*'1.0-Contractblad'!$L$37</f>
        <v>0</v>
      </c>
      <c r="X174" s="303">
        <f ca="1">VLOOKUP(E174,'1.1a-Jaarprijzen'!$B$32:$Q$51,16,FALSE)*K174</f>
        <v>0</v>
      </c>
      <c r="Z174" s="771">
        <f t="shared" si="32"/>
        <v>13996</v>
      </c>
      <c r="AA174" s="491" t="str">
        <f t="shared" si="33"/>
        <v>7200-200</v>
      </c>
    </row>
    <row r="175" spans="2:27" s="489" customFormat="1" ht="15" hidden="1">
      <c r="B175" s="329"/>
      <c r="C175" s="330"/>
      <c r="D175" s="294">
        <f>VLOOKUP(E175,'1.1a-Jaarprijzen'!$B$13:$G$29,6,FALSE)</f>
        <v>3</v>
      </c>
      <c r="E175" s="768" t="s">
        <v>781</v>
      </c>
      <c r="F175" s="294" t="s">
        <v>387</v>
      </c>
      <c r="G175" s="295"/>
      <c r="H175" s="293" t="s">
        <v>792</v>
      </c>
      <c r="I175" s="296" t="str">
        <f t="shared" si="17"/>
        <v>sanitaire ruimte (toilet-/doucheruimte)</v>
      </c>
      <c r="J175" s="294" t="s">
        <v>658</v>
      </c>
      <c r="K175" s="297">
        <v>4.57</v>
      </c>
      <c r="L175" s="297"/>
      <c r="M175" s="298">
        <v>4200</v>
      </c>
      <c r="N175" s="299">
        <f t="shared" si="29"/>
        <v>200</v>
      </c>
      <c r="O175" s="483">
        <v>1</v>
      </c>
      <c r="P175" s="483">
        <v>1</v>
      </c>
      <c r="Q175" s="291">
        <f t="shared" si="30"/>
        <v>0</v>
      </c>
      <c r="R175" s="291">
        <f t="shared" si="31"/>
        <v>0</v>
      </c>
      <c r="S175" s="300">
        <f t="shared" si="26"/>
        <v>0</v>
      </c>
      <c r="T175" s="300">
        <f t="shared" si="27"/>
        <v>0</v>
      </c>
      <c r="U175" s="769" t="str">
        <f t="shared" si="28"/>
        <v>S</v>
      </c>
      <c r="V175" s="302"/>
      <c r="W175" s="303">
        <f>(Q175+R175)*'1.0-Contractblad'!$L$37</f>
        <v>0</v>
      </c>
      <c r="X175" s="303">
        <f ca="1">VLOOKUP(E175,'1.1a-Jaarprijzen'!$B$32:$Q$51,16,FALSE)*K175</f>
        <v>0</v>
      </c>
      <c r="Z175" s="771">
        <f t="shared" si="32"/>
        <v>914</v>
      </c>
      <c r="AA175" s="491" t="str">
        <f t="shared" si="33"/>
        <v>4200-200</v>
      </c>
    </row>
    <row r="176" spans="2:27" s="489" customFormat="1" ht="15" hidden="1">
      <c r="B176" s="329"/>
      <c r="C176" s="330"/>
      <c r="D176" s="294">
        <f>VLOOKUP(E176,'1.1a-Jaarprijzen'!$B$13:$G$29,6,FALSE)</f>
        <v>3</v>
      </c>
      <c r="E176" s="768" t="s">
        <v>781</v>
      </c>
      <c r="F176" s="294" t="s">
        <v>387</v>
      </c>
      <c r="G176" s="295"/>
      <c r="H176" s="293" t="s">
        <v>646</v>
      </c>
      <c r="I176" s="296" t="str">
        <f t="shared" si="17"/>
        <v>niet van toepassing</v>
      </c>
      <c r="J176" s="294" t="s">
        <v>466</v>
      </c>
      <c r="K176" s="297"/>
      <c r="L176" s="297">
        <v>70.98</v>
      </c>
      <c r="M176" s="298" t="s">
        <v>17</v>
      </c>
      <c r="N176" s="299">
        <f t="shared" si="29"/>
        <v>0</v>
      </c>
      <c r="O176" s="483">
        <v>1</v>
      </c>
      <c r="P176" s="483">
        <v>1</v>
      </c>
      <c r="Q176" s="291">
        <f t="shared" si="30"/>
        <v>0</v>
      </c>
      <c r="R176" s="291">
        <f t="shared" si="31"/>
        <v>0</v>
      </c>
      <c r="S176" s="300">
        <f t="shared" si="26"/>
        <v>0</v>
      </c>
      <c r="T176" s="300">
        <f t="shared" si="27"/>
        <v>0</v>
      </c>
      <c r="U176" s="769">
        <f t="shared" si="28"/>
        <v>0</v>
      </c>
      <c r="V176" s="302"/>
      <c r="W176" s="303">
        <f>(Q176+R176)*'1.0-Contractblad'!$L$37</f>
        <v>0</v>
      </c>
      <c r="X176" s="303">
        <f ca="1">VLOOKUP(E176,'1.1a-Jaarprijzen'!$B$32:$Q$51,16,FALSE)*K176</f>
        <v>0</v>
      </c>
      <c r="Z176" s="771">
        <f t="shared" si="32"/>
        <v>0</v>
      </c>
      <c r="AA176" s="491" t="str">
        <f t="shared" si="33"/>
        <v>nvt-0</v>
      </c>
    </row>
    <row r="177" spans="2:27" s="489" customFormat="1" ht="15" hidden="1">
      <c r="B177" s="329"/>
      <c r="C177" s="330"/>
      <c r="D177" s="294">
        <f>VLOOKUP(E177,'1.1a-Jaarprijzen'!$B$13:$G$29,6,FALSE)</f>
        <v>3</v>
      </c>
      <c r="E177" s="768" t="s">
        <v>781</v>
      </c>
      <c r="F177" s="294" t="s">
        <v>387</v>
      </c>
      <c r="G177" s="295"/>
      <c r="H177" s="293" t="s">
        <v>396</v>
      </c>
      <c r="I177" s="296" t="str">
        <f t="shared" si="17"/>
        <v>pantry/keuken</v>
      </c>
      <c r="J177" s="294" t="s">
        <v>466</v>
      </c>
      <c r="K177" s="297">
        <v>11</v>
      </c>
      <c r="L177" s="297"/>
      <c r="M177" s="298">
        <v>5200</v>
      </c>
      <c r="N177" s="299">
        <f t="shared" si="29"/>
        <v>200</v>
      </c>
      <c r="O177" s="483">
        <v>1</v>
      </c>
      <c r="P177" s="483">
        <v>1</v>
      </c>
      <c r="Q177" s="291">
        <f t="shared" si="30"/>
        <v>0</v>
      </c>
      <c r="R177" s="291">
        <f t="shared" si="31"/>
        <v>0</v>
      </c>
      <c r="S177" s="300">
        <f t="shared" si="26"/>
        <v>0</v>
      </c>
      <c r="T177" s="300">
        <f t="shared" si="27"/>
        <v>0</v>
      </c>
      <c r="U177" s="769" t="str">
        <f t="shared" si="28"/>
        <v>V</v>
      </c>
      <c r="V177" s="302"/>
      <c r="W177" s="303">
        <f>(Q177+R177)*'1.0-Contractblad'!$L$37</f>
        <v>0</v>
      </c>
      <c r="X177" s="303">
        <f ca="1">VLOOKUP(E177,'1.1a-Jaarprijzen'!$B$32:$Q$51,16,FALSE)*K177</f>
        <v>0</v>
      </c>
      <c r="Z177" s="771">
        <f t="shared" si="32"/>
        <v>2200</v>
      </c>
      <c r="AA177" s="491" t="str">
        <f t="shared" si="33"/>
        <v>5200-200</v>
      </c>
    </row>
    <row r="178" spans="2:27" s="489" customFormat="1" ht="15" hidden="1">
      <c r="B178" s="329"/>
      <c r="C178" s="330"/>
      <c r="D178" s="294">
        <f>VLOOKUP(E178,'1.1a-Jaarprijzen'!$B$13:$G$29,6,FALSE)</f>
        <v>3</v>
      </c>
      <c r="E178" s="768" t="s">
        <v>781</v>
      </c>
      <c r="F178" s="294" t="s">
        <v>387</v>
      </c>
      <c r="G178" s="295"/>
      <c r="H178" s="293" t="s">
        <v>646</v>
      </c>
      <c r="I178" s="296" t="str">
        <f t="shared" si="17"/>
        <v>leslokaal groep 1 t/m 3</v>
      </c>
      <c r="J178" s="294" t="s">
        <v>466</v>
      </c>
      <c r="K178" s="297">
        <v>64.7</v>
      </c>
      <c r="L178" s="297"/>
      <c r="M178" s="298">
        <v>7200</v>
      </c>
      <c r="N178" s="299">
        <f t="shared" si="29"/>
        <v>200</v>
      </c>
      <c r="O178" s="483">
        <v>1</v>
      </c>
      <c r="P178" s="483">
        <v>1</v>
      </c>
      <c r="Q178" s="291">
        <f t="shared" si="30"/>
        <v>0</v>
      </c>
      <c r="R178" s="291">
        <f t="shared" si="31"/>
        <v>0</v>
      </c>
      <c r="S178" s="300">
        <f t="shared" si="26"/>
        <v>0</v>
      </c>
      <c r="T178" s="300">
        <f t="shared" si="27"/>
        <v>0</v>
      </c>
      <c r="U178" s="769" t="str">
        <f t="shared" si="28"/>
        <v>L</v>
      </c>
      <c r="V178" s="302"/>
      <c r="W178" s="303">
        <f>(Q178+R178)*'1.0-Contractblad'!$L$37</f>
        <v>0</v>
      </c>
      <c r="X178" s="303">
        <f ca="1">VLOOKUP(E178,'1.1a-Jaarprijzen'!$B$32:$Q$51,16,FALSE)*K178</f>
        <v>0</v>
      </c>
      <c r="Z178" s="771">
        <f t="shared" si="32"/>
        <v>12940</v>
      </c>
      <c r="AA178" s="491" t="str">
        <f t="shared" si="33"/>
        <v>7200-200</v>
      </c>
    </row>
    <row r="179" spans="2:27" s="489" customFormat="1" ht="15" hidden="1">
      <c r="B179" s="329"/>
      <c r="C179" s="330"/>
      <c r="D179" s="294">
        <f>VLOOKUP(E179,'1.1a-Jaarprijzen'!$B$13:$G$29,6,FALSE)</f>
        <v>3</v>
      </c>
      <c r="E179" s="768" t="s">
        <v>781</v>
      </c>
      <c r="F179" s="294" t="s">
        <v>387</v>
      </c>
      <c r="G179" s="295"/>
      <c r="H179" s="293" t="s">
        <v>636</v>
      </c>
      <c r="I179" s="296" t="str">
        <f t="shared" si="17"/>
        <v>entree, gang, hal, repro</v>
      </c>
      <c r="J179" s="294" t="s">
        <v>48</v>
      </c>
      <c r="K179" s="297">
        <v>4.22</v>
      </c>
      <c r="L179" s="297"/>
      <c r="M179" s="298">
        <v>3200</v>
      </c>
      <c r="N179" s="299">
        <f t="shared" si="29"/>
        <v>200</v>
      </c>
      <c r="O179" s="483">
        <v>1</v>
      </c>
      <c r="P179" s="483">
        <v>1</v>
      </c>
      <c r="Q179" s="291">
        <f t="shared" si="30"/>
        <v>0</v>
      </c>
      <c r="R179" s="291">
        <f t="shared" si="31"/>
        <v>0</v>
      </c>
      <c r="S179" s="300">
        <f t="shared" si="26"/>
        <v>0</v>
      </c>
      <c r="T179" s="300">
        <f t="shared" si="27"/>
        <v>0</v>
      </c>
      <c r="U179" s="769" t="str">
        <f t="shared" si="28"/>
        <v>V</v>
      </c>
      <c r="V179" s="302"/>
      <c r="W179" s="303">
        <f>(Q179+R179)*'1.0-Contractblad'!$L$37</f>
        <v>0</v>
      </c>
      <c r="X179" s="303">
        <f ca="1">VLOOKUP(E179,'1.1a-Jaarprijzen'!$B$32:$Q$51,16,FALSE)*K179</f>
        <v>0</v>
      </c>
      <c r="Z179" s="771">
        <f t="shared" si="32"/>
        <v>844</v>
      </c>
      <c r="AA179" s="491" t="str">
        <f t="shared" si="33"/>
        <v>3200-200</v>
      </c>
    </row>
    <row r="180" spans="2:27" s="489" customFormat="1" ht="15" hidden="1">
      <c r="B180" s="329"/>
      <c r="C180" s="330"/>
      <c r="D180" s="294">
        <f>VLOOKUP(E180,'1.1a-Jaarprijzen'!$B$13:$G$29,6,FALSE)</f>
        <v>3</v>
      </c>
      <c r="E180" s="768" t="s">
        <v>781</v>
      </c>
      <c r="F180" s="294" t="s">
        <v>387</v>
      </c>
      <c r="G180" s="295"/>
      <c r="H180" s="293" t="s">
        <v>967</v>
      </c>
      <c r="I180" s="296" t="str">
        <f t="shared" si="17"/>
        <v>niet van toepassing</v>
      </c>
      <c r="J180" s="294" t="s">
        <v>466</v>
      </c>
      <c r="K180" s="297"/>
      <c r="L180" s="297">
        <v>75.72</v>
      </c>
      <c r="M180" s="298" t="s">
        <v>17</v>
      </c>
      <c r="N180" s="299">
        <f t="shared" si="29"/>
        <v>0</v>
      </c>
      <c r="O180" s="483">
        <v>1</v>
      </c>
      <c r="P180" s="483">
        <v>1</v>
      </c>
      <c r="Q180" s="291">
        <f t="shared" si="30"/>
        <v>0</v>
      </c>
      <c r="R180" s="291">
        <f t="shared" si="31"/>
        <v>0</v>
      </c>
      <c r="S180" s="300">
        <f t="shared" si="26"/>
        <v>0</v>
      </c>
      <c r="T180" s="300">
        <f t="shared" si="27"/>
        <v>0</v>
      </c>
      <c r="U180" s="769">
        <f t="shared" si="28"/>
        <v>0</v>
      </c>
      <c r="V180" s="302" t="s">
        <v>1039</v>
      </c>
      <c r="W180" s="303">
        <f>(Q180+R180)*'1.0-Contractblad'!$L$37</f>
        <v>0</v>
      </c>
      <c r="X180" s="303">
        <f ca="1">VLOOKUP(E180,'1.1a-Jaarprijzen'!$B$32:$Q$51,16,FALSE)*K180</f>
        <v>0</v>
      </c>
      <c r="Z180" s="771">
        <f t="shared" si="32"/>
        <v>0</v>
      </c>
      <c r="AA180" s="491" t="str">
        <f t="shared" si="33"/>
        <v>nvt-0</v>
      </c>
    </row>
    <row r="181" spans="2:27" s="489" customFormat="1" ht="15" hidden="1">
      <c r="B181" s="329"/>
      <c r="C181" s="330"/>
      <c r="D181" s="294">
        <f>VLOOKUP(E181,'1.1a-Jaarprijzen'!$B$13:$G$29,6,FALSE)</f>
        <v>3</v>
      </c>
      <c r="E181" s="768" t="s">
        <v>781</v>
      </c>
      <c r="F181" s="294" t="s">
        <v>387</v>
      </c>
      <c r="G181" s="295"/>
      <c r="H181" s="293" t="s">
        <v>987</v>
      </c>
      <c r="I181" s="296" t="str">
        <f t="shared" si="17"/>
        <v>niet van toepassing</v>
      </c>
      <c r="J181" s="294" t="s">
        <v>476</v>
      </c>
      <c r="K181" s="297"/>
      <c r="L181" s="297">
        <v>5.0199999999999996</v>
      </c>
      <c r="M181" s="298" t="s">
        <v>17</v>
      </c>
      <c r="N181" s="299">
        <f t="shared" si="29"/>
        <v>0</v>
      </c>
      <c r="O181" s="483">
        <v>1</v>
      </c>
      <c r="P181" s="483">
        <v>1</v>
      </c>
      <c r="Q181" s="291">
        <f t="shared" si="30"/>
        <v>0</v>
      </c>
      <c r="R181" s="291">
        <f t="shared" si="31"/>
        <v>0</v>
      </c>
      <c r="S181" s="300">
        <f t="shared" si="26"/>
        <v>0</v>
      </c>
      <c r="T181" s="300">
        <f t="shared" si="27"/>
        <v>0</v>
      </c>
      <c r="U181" s="769">
        <f t="shared" si="28"/>
        <v>0</v>
      </c>
      <c r="V181" s="302" t="s">
        <v>1039</v>
      </c>
      <c r="W181" s="303">
        <f>(Q181+R181)*'1.0-Contractblad'!$L$37</f>
        <v>0</v>
      </c>
      <c r="X181" s="303">
        <f ca="1">VLOOKUP(E181,'1.1a-Jaarprijzen'!$B$32:$Q$51,16,FALSE)*K181</f>
        <v>0</v>
      </c>
      <c r="Z181" s="771">
        <f t="shared" si="32"/>
        <v>0</v>
      </c>
      <c r="AA181" s="491" t="str">
        <f t="shared" si="33"/>
        <v>nvt-0</v>
      </c>
    </row>
    <row r="182" spans="2:27" s="489" customFormat="1" ht="15" hidden="1">
      <c r="B182" s="329"/>
      <c r="C182" s="330"/>
      <c r="D182" s="294">
        <f>VLOOKUP(E182,'1.1a-Jaarprijzen'!$B$13:$G$29,6,FALSE)</f>
        <v>3</v>
      </c>
      <c r="E182" s="768" t="s">
        <v>781</v>
      </c>
      <c r="F182" s="294" t="s">
        <v>387</v>
      </c>
      <c r="G182" s="295"/>
      <c r="H182" s="293" t="s">
        <v>967</v>
      </c>
      <c r="I182" s="296" t="str">
        <f t="shared" si="17"/>
        <v>niet van toepassing</v>
      </c>
      <c r="J182" s="294" t="s">
        <v>466</v>
      </c>
      <c r="K182" s="297"/>
      <c r="L182" s="297">
        <v>77.36</v>
      </c>
      <c r="M182" s="298" t="s">
        <v>17</v>
      </c>
      <c r="N182" s="299">
        <f t="shared" si="29"/>
        <v>0</v>
      </c>
      <c r="O182" s="483">
        <v>1</v>
      </c>
      <c r="P182" s="483">
        <v>1</v>
      </c>
      <c r="Q182" s="291">
        <f t="shared" si="30"/>
        <v>0</v>
      </c>
      <c r="R182" s="291">
        <f t="shared" si="31"/>
        <v>0</v>
      </c>
      <c r="S182" s="300">
        <f t="shared" si="26"/>
        <v>0</v>
      </c>
      <c r="T182" s="300">
        <f t="shared" si="27"/>
        <v>0</v>
      </c>
      <c r="U182" s="769">
        <f t="shared" si="28"/>
        <v>0</v>
      </c>
      <c r="V182" s="302" t="s">
        <v>1039</v>
      </c>
      <c r="W182" s="303">
        <f>(Q182+R182)*'1.0-Contractblad'!$L$37</f>
        <v>0</v>
      </c>
      <c r="X182" s="303">
        <f ca="1">VLOOKUP(E182,'1.1a-Jaarprijzen'!$B$32:$Q$51,16,FALSE)*K182</f>
        <v>0</v>
      </c>
      <c r="Z182" s="771">
        <f t="shared" si="32"/>
        <v>0</v>
      </c>
      <c r="AA182" s="491" t="str">
        <f t="shared" si="33"/>
        <v>nvt-0</v>
      </c>
    </row>
    <row r="183" spans="2:27" s="489" customFormat="1" ht="15" hidden="1">
      <c r="B183" s="329"/>
      <c r="C183" s="330"/>
      <c r="D183" s="294">
        <f>VLOOKUP(E183,'1.1a-Jaarprijzen'!$B$13:$G$29,6,FALSE)</f>
        <v>3</v>
      </c>
      <c r="E183" s="785" t="s">
        <v>782</v>
      </c>
      <c r="F183" s="294" t="s">
        <v>572</v>
      </c>
      <c r="G183" s="295" t="s">
        <v>475</v>
      </c>
      <c r="H183" s="293" t="s">
        <v>394</v>
      </c>
      <c r="I183" s="296" t="str">
        <f t="shared" si="17"/>
        <v>entree, gang, hal, repro</v>
      </c>
      <c r="J183" s="294" t="s">
        <v>655</v>
      </c>
      <c r="K183" s="297">
        <v>8.6199999999999992</v>
      </c>
      <c r="L183" s="297"/>
      <c r="M183" s="298">
        <v>3260</v>
      </c>
      <c r="N183" s="299">
        <f t="shared" si="29"/>
        <v>260</v>
      </c>
      <c r="O183" s="483">
        <v>1</v>
      </c>
      <c r="P183" s="483">
        <v>1</v>
      </c>
      <c r="Q183" s="291">
        <f t="shared" si="30"/>
        <v>0</v>
      </c>
      <c r="R183" s="291">
        <f t="shared" si="31"/>
        <v>0</v>
      </c>
      <c r="S183" s="300">
        <f t="shared" si="26"/>
        <v>0</v>
      </c>
      <c r="T183" s="300">
        <f t="shared" si="27"/>
        <v>0</v>
      </c>
      <c r="U183" s="769" t="str">
        <f t="shared" si="28"/>
        <v>V</v>
      </c>
      <c r="V183" s="302" t="s">
        <v>1036</v>
      </c>
      <c r="W183" s="303">
        <f>(Q183+R183)*'1.0-Contractblad'!$L$37</f>
        <v>0</v>
      </c>
      <c r="X183" s="303">
        <f ca="1">VLOOKUP(E183,'1.1a-Jaarprijzen'!$B$32:$Q$51,16,FALSE)*K183</f>
        <v>0</v>
      </c>
      <c r="Z183" s="771">
        <f t="shared" si="32"/>
        <v>2241.1999999999998</v>
      </c>
      <c r="AA183" s="491" t="str">
        <f t="shared" si="33"/>
        <v>3260-260</v>
      </c>
    </row>
    <row r="184" spans="2:27" s="489" customFormat="1" ht="15" hidden="1">
      <c r="B184" s="329"/>
      <c r="C184" s="330"/>
      <c r="D184" s="294">
        <f>VLOOKUP(E184,'1.1a-Jaarprijzen'!$B$13:$G$29,6,FALSE)</f>
        <v>3</v>
      </c>
      <c r="E184" s="768" t="s">
        <v>782</v>
      </c>
      <c r="F184" s="294" t="s">
        <v>572</v>
      </c>
      <c r="G184" s="295" t="s">
        <v>468</v>
      </c>
      <c r="H184" s="293" t="s">
        <v>545</v>
      </c>
      <c r="I184" s="296" t="str">
        <f t="shared" si="17"/>
        <v>administratieve -,  vergaderruimte</v>
      </c>
      <c r="J184" s="294" t="s">
        <v>655</v>
      </c>
      <c r="K184" s="297">
        <v>40.43</v>
      </c>
      <c r="L184" s="297"/>
      <c r="M184" s="298">
        <v>1040</v>
      </c>
      <c r="N184" s="299">
        <f t="shared" si="29"/>
        <v>40</v>
      </c>
      <c r="O184" s="483">
        <v>1</v>
      </c>
      <c r="P184" s="483">
        <v>1</v>
      </c>
      <c r="Q184" s="291">
        <f t="shared" si="30"/>
        <v>0</v>
      </c>
      <c r="R184" s="291">
        <f t="shared" si="31"/>
        <v>0</v>
      </c>
      <c r="S184" s="300">
        <f t="shared" si="26"/>
        <v>0</v>
      </c>
      <c r="T184" s="300">
        <f t="shared" si="27"/>
        <v>0</v>
      </c>
      <c r="U184" s="769" t="str">
        <f t="shared" si="28"/>
        <v>V</v>
      </c>
      <c r="V184" s="302"/>
      <c r="W184" s="303">
        <f>(Q184+R184)*'1.0-Contractblad'!$L$37</f>
        <v>0</v>
      </c>
      <c r="X184" s="303">
        <f ca="1">VLOOKUP(E184,'1.1a-Jaarprijzen'!$B$32:$Q$51,16,FALSE)*K184</f>
        <v>0</v>
      </c>
      <c r="Z184" s="771">
        <f t="shared" si="32"/>
        <v>1617.2</v>
      </c>
      <c r="AA184" s="491" t="str">
        <f t="shared" si="33"/>
        <v>1040-40</v>
      </c>
    </row>
    <row r="185" spans="2:27" s="489" customFormat="1" ht="15" hidden="1">
      <c r="B185" s="329"/>
      <c r="C185" s="330"/>
      <c r="D185" s="294">
        <f>VLOOKUP(E185,'1.1a-Jaarprijzen'!$B$13:$G$29,6,FALSE)</f>
        <v>3</v>
      </c>
      <c r="E185" s="768" t="s">
        <v>782</v>
      </c>
      <c r="F185" s="294" t="s">
        <v>572</v>
      </c>
      <c r="G185" s="295" t="s">
        <v>469</v>
      </c>
      <c r="H185" s="293" t="s">
        <v>477</v>
      </c>
      <c r="I185" s="296" t="str">
        <f t="shared" si="17"/>
        <v>sanitaire ruimte (toilet-/doucheruimte)</v>
      </c>
      <c r="J185" s="294" t="s">
        <v>476</v>
      </c>
      <c r="K185" s="297">
        <v>2.15</v>
      </c>
      <c r="L185" s="297"/>
      <c r="M185" s="298">
        <v>4200</v>
      </c>
      <c r="N185" s="299">
        <f t="shared" si="29"/>
        <v>200</v>
      </c>
      <c r="O185" s="483">
        <v>1</v>
      </c>
      <c r="P185" s="483">
        <v>1</v>
      </c>
      <c r="Q185" s="291">
        <f t="shared" si="30"/>
        <v>0</v>
      </c>
      <c r="R185" s="291">
        <f t="shared" si="31"/>
        <v>0</v>
      </c>
      <c r="S185" s="300">
        <f t="shared" si="26"/>
        <v>0</v>
      </c>
      <c r="T185" s="300">
        <f t="shared" si="27"/>
        <v>0</v>
      </c>
      <c r="U185" s="769" t="str">
        <f t="shared" si="28"/>
        <v>S</v>
      </c>
      <c r="V185" s="302"/>
      <c r="W185" s="303">
        <f>(Q185+R185)*'1.0-Contractblad'!$L$37</f>
        <v>0</v>
      </c>
      <c r="X185" s="303">
        <f ca="1">VLOOKUP(E185,'1.1a-Jaarprijzen'!$B$32:$Q$51,16,FALSE)*K185</f>
        <v>0</v>
      </c>
      <c r="Z185" s="771">
        <f t="shared" si="32"/>
        <v>430</v>
      </c>
      <c r="AA185" s="491" t="str">
        <f t="shared" si="33"/>
        <v>4200-200</v>
      </c>
    </row>
    <row r="186" spans="2:27" s="489" customFormat="1" ht="15" hidden="1">
      <c r="B186" s="329"/>
      <c r="C186" s="330"/>
      <c r="D186" s="294">
        <f>VLOOKUP(E186,'1.1a-Jaarprijzen'!$B$13:$G$29,6,FALSE)</f>
        <v>3</v>
      </c>
      <c r="E186" s="768" t="s">
        <v>782</v>
      </c>
      <c r="F186" s="294" t="s">
        <v>572</v>
      </c>
      <c r="G186" s="295" t="s">
        <v>470</v>
      </c>
      <c r="H186" s="293" t="s">
        <v>477</v>
      </c>
      <c r="I186" s="296" t="str">
        <f t="shared" si="17"/>
        <v>sanitaire ruimte (toilet-/doucheruimte)</v>
      </c>
      <c r="J186" s="294" t="s">
        <v>476</v>
      </c>
      <c r="K186" s="297">
        <v>10.24</v>
      </c>
      <c r="L186" s="297"/>
      <c r="M186" s="298">
        <v>4200</v>
      </c>
      <c r="N186" s="299">
        <f t="shared" si="29"/>
        <v>200</v>
      </c>
      <c r="O186" s="483">
        <v>1</v>
      </c>
      <c r="P186" s="483">
        <v>1</v>
      </c>
      <c r="Q186" s="291">
        <f t="shared" si="30"/>
        <v>0</v>
      </c>
      <c r="R186" s="291">
        <f t="shared" si="31"/>
        <v>0</v>
      </c>
      <c r="S186" s="300">
        <f t="shared" si="26"/>
        <v>0</v>
      </c>
      <c r="T186" s="300">
        <f t="shared" si="27"/>
        <v>0</v>
      </c>
      <c r="U186" s="769" t="str">
        <f t="shared" si="28"/>
        <v>S</v>
      </c>
      <c r="V186" s="302"/>
      <c r="W186" s="303">
        <f>(Q186+R186)*'1.0-Contractblad'!$L$37</f>
        <v>0</v>
      </c>
      <c r="X186" s="303">
        <f ca="1">VLOOKUP(E186,'1.1a-Jaarprijzen'!$B$32:$Q$51,16,FALSE)*K186</f>
        <v>0</v>
      </c>
      <c r="Z186" s="771">
        <f t="shared" si="32"/>
        <v>2048</v>
      </c>
      <c r="AA186" s="491" t="str">
        <f t="shared" si="33"/>
        <v>4200-200</v>
      </c>
    </row>
    <row r="187" spans="2:27" s="489" customFormat="1" ht="15" hidden="1">
      <c r="B187" s="329"/>
      <c r="C187" s="330"/>
      <c r="D187" s="294">
        <f>VLOOKUP(E187,'1.1a-Jaarprijzen'!$B$13:$G$29,6,FALSE)</f>
        <v>3</v>
      </c>
      <c r="E187" s="768" t="s">
        <v>782</v>
      </c>
      <c r="F187" s="294" t="s">
        <v>572</v>
      </c>
      <c r="G187" s="295" t="s">
        <v>471</v>
      </c>
      <c r="H187" s="293" t="s">
        <v>636</v>
      </c>
      <c r="I187" s="296" t="str">
        <f t="shared" si="17"/>
        <v>entree, gang, hal, repro</v>
      </c>
      <c r="J187" s="294" t="s">
        <v>655</v>
      </c>
      <c r="K187" s="297">
        <v>13.17</v>
      </c>
      <c r="L187" s="297"/>
      <c r="M187" s="298">
        <v>3200</v>
      </c>
      <c r="N187" s="299">
        <f t="shared" si="29"/>
        <v>200</v>
      </c>
      <c r="O187" s="483">
        <v>1</v>
      </c>
      <c r="P187" s="483">
        <v>1</v>
      </c>
      <c r="Q187" s="291">
        <f t="shared" si="30"/>
        <v>0</v>
      </c>
      <c r="R187" s="291">
        <f t="shared" si="31"/>
        <v>0</v>
      </c>
      <c r="S187" s="300">
        <f t="shared" si="26"/>
        <v>0</v>
      </c>
      <c r="T187" s="300">
        <f t="shared" si="27"/>
        <v>0</v>
      </c>
      <c r="U187" s="769" t="str">
        <f t="shared" si="28"/>
        <v>V</v>
      </c>
      <c r="V187" s="302"/>
      <c r="W187" s="303">
        <f>(Q187+R187)*'1.0-Contractblad'!$L$37</f>
        <v>0</v>
      </c>
      <c r="X187" s="303">
        <f ca="1">VLOOKUP(E187,'1.1a-Jaarprijzen'!$B$32:$Q$51,16,FALSE)*K187</f>
        <v>0</v>
      </c>
      <c r="Z187" s="771">
        <f t="shared" si="32"/>
        <v>2634</v>
      </c>
      <c r="AA187" s="491" t="str">
        <f t="shared" si="33"/>
        <v>3200-200</v>
      </c>
    </row>
    <row r="188" spans="2:27" s="489" customFormat="1" ht="15" hidden="1">
      <c r="B188" s="329"/>
      <c r="C188" s="330"/>
      <c r="D188" s="294">
        <f>VLOOKUP(E188,'1.1a-Jaarprijzen'!$B$13:$G$29,6,FALSE)</f>
        <v>3</v>
      </c>
      <c r="E188" s="785" t="s">
        <v>782</v>
      </c>
      <c r="F188" s="294" t="s">
        <v>572</v>
      </c>
      <c r="G188" s="295" t="s">
        <v>472</v>
      </c>
      <c r="H188" s="293" t="s">
        <v>388</v>
      </c>
      <c r="I188" s="296" t="str">
        <f t="shared" si="17"/>
        <v>entree, gang, hal, repro</v>
      </c>
      <c r="J188" s="294" t="s">
        <v>655</v>
      </c>
      <c r="K188" s="297">
        <v>91.9</v>
      </c>
      <c r="L188" s="297"/>
      <c r="M188" s="298">
        <v>3260</v>
      </c>
      <c r="N188" s="299">
        <f t="shared" si="29"/>
        <v>260</v>
      </c>
      <c r="O188" s="483">
        <v>1</v>
      </c>
      <c r="P188" s="483">
        <v>1</v>
      </c>
      <c r="Q188" s="291">
        <f t="shared" si="30"/>
        <v>0</v>
      </c>
      <c r="R188" s="291">
        <f t="shared" si="31"/>
        <v>0</v>
      </c>
      <c r="S188" s="300">
        <f t="shared" si="26"/>
        <v>0</v>
      </c>
      <c r="T188" s="300">
        <f t="shared" si="27"/>
        <v>0</v>
      </c>
      <c r="U188" s="769" t="str">
        <f t="shared" si="28"/>
        <v>V</v>
      </c>
      <c r="V188" s="302" t="s">
        <v>1036</v>
      </c>
      <c r="W188" s="303">
        <f>(Q188+R188)*'1.0-Contractblad'!$L$37</f>
        <v>0</v>
      </c>
      <c r="X188" s="303">
        <f ca="1">VLOOKUP(E188,'1.1a-Jaarprijzen'!$B$32:$Q$51,16,FALSE)*K188</f>
        <v>0</v>
      </c>
      <c r="Z188" s="771">
        <f t="shared" si="32"/>
        <v>23894</v>
      </c>
      <c r="AA188" s="491" t="str">
        <f t="shared" si="33"/>
        <v>3260-260</v>
      </c>
    </row>
    <row r="189" spans="2:27" s="489" customFormat="1" ht="15" hidden="1">
      <c r="B189" s="329"/>
      <c r="C189" s="330"/>
      <c r="D189" s="294">
        <f>VLOOKUP(E189,'1.1a-Jaarprijzen'!$B$13:$G$29,6,FALSE)</f>
        <v>3</v>
      </c>
      <c r="E189" s="768" t="s">
        <v>782</v>
      </c>
      <c r="F189" s="294" t="s">
        <v>572</v>
      </c>
      <c r="G189" s="295" t="s">
        <v>473</v>
      </c>
      <c r="H189" s="293" t="s">
        <v>404</v>
      </c>
      <c r="I189" s="296" t="str">
        <f t="shared" si="17"/>
        <v>leslokaal groep 1 t/m 3</v>
      </c>
      <c r="J189" s="297" t="s">
        <v>655</v>
      </c>
      <c r="K189" s="297">
        <v>56.23</v>
      </c>
      <c r="L189" s="297"/>
      <c r="M189" s="298">
        <v>7200</v>
      </c>
      <c r="N189" s="299">
        <f t="shared" si="29"/>
        <v>200</v>
      </c>
      <c r="O189" s="483">
        <v>1</v>
      </c>
      <c r="P189" s="483">
        <v>1</v>
      </c>
      <c r="Q189" s="291">
        <f t="shared" si="30"/>
        <v>0</v>
      </c>
      <c r="R189" s="291">
        <f t="shared" si="31"/>
        <v>0</v>
      </c>
      <c r="S189" s="300">
        <f t="shared" si="26"/>
        <v>0</v>
      </c>
      <c r="T189" s="300">
        <f t="shared" si="27"/>
        <v>0</v>
      </c>
      <c r="U189" s="769" t="str">
        <f t="shared" si="28"/>
        <v>L</v>
      </c>
      <c r="V189" s="302"/>
      <c r="W189" s="303">
        <f>(Q189+R189)*'1.0-Contractblad'!$L$37</f>
        <v>0</v>
      </c>
      <c r="X189" s="303">
        <f ca="1">VLOOKUP(E189,'1.1a-Jaarprijzen'!$B$32:$Q$51,16,FALSE)*K189</f>
        <v>0</v>
      </c>
      <c r="Z189" s="771">
        <f t="shared" si="32"/>
        <v>11246</v>
      </c>
      <c r="AA189" s="491" t="str">
        <f t="shared" si="33"/>
        <v>7200-200</v>
      </c>
    </row>
    <row r="190" spans="2:27" s="489" customFormat="1" ht="15" hidden="1">
      <c r="B190" s="329"/>
      <c r="C190" s="330"/>
      <c r="D190" s="294">
        <f>VLOOKUP(E190,'1.1a-Jaarprijzen'!$B$13:$G$29,6,FALSE)</f>
        <v>3</v>
      </c>
      <c r="E190" s="768" t="s">
        <v>782</v>
      </c>
      <c r="F190" s="294" t="s">
        <v>572</v>
      </c>
      <c r="G190" s="295" t="s">
        <v>474</v>
      </c>
      <c r="H190" s="293" t="s">
        <v>404</v>
      </c>
      <c r="I190" s="296" t="str">
        <f t="shared" si="17"/>
        <v>leslokaal groep 1 t/m 3</v>
      </c>
      <c r="J190" s="297" t="s">
        <v>655</v>
      </c>
      <c r="K190" s="297">
        <v>56.23</v>
      </c>
      <c r="L190" s="297"/>
      <c r="M190" s="298">
        <v>7200</v>
      </c>
      <c r="N190" s="299">
        <f t="shared" si="29"/>
        <v>200</v>
      </c>
      <c r="O190" s="483">
        <v>1</v>
      </c>
      <c r="P190" s="483">
        <v>1</v>
      </c>
      <c r="Q190" s="291">
        <f t="shared" si="30"/>
        <v>0</v>
      </c>
      <c r="R190" s="291">
        <f t="shared" si="31"/>
        <v>0</v>
      </c>
      <c r="S190" s="300">
        <f t="shared" si="26"/>
        <v>0</v>
      </c>
      <c r="T190" s="300">
        <f t="shared" si="27"/>
        <v>0</v>
      </c>
      <c r="U190" s="769" t="str">
        <f t="shared" si="28"/>
        <v>L</v>
      </c>
      <c r="V190" s="302"/>
      <c r="W190" s="303">
        <f>(Q190+R190)*'1.0-Contractblad'!$L$37</f>
        <v>0</v>
      </c>
      <c r="X190" s="303">
        <f ca="1">VLOOKUP(E190,'1.1a-Jaarprijzen'!$B$32:$Q$51,16,FALSE)*K190</f>
        <v>0</v>
      </c>
      <c r="Z190" s="771">
        <f t="shared" si="32"/>
        <v>11246</v>
      </c>
      <c r="AA190" s="491" t="str">
        <f t="shared" si="33"/>
        <v>7200-200</v>
      </c>
    </row>
    <row r="191" spans="2:27" s="489" customFormat="1" ht="15" hidden="1">
      <c r="B191" s="329"/>
      <c r="C191" s="330"/>
      <c r="D191" s="294">
        <f>VLOOKUP(E191,'1.1a-Jaarprijzen'!$B$13:$G$29,6,FALSE)</f>
        <v>3</v>
      </c>
      <c r="E191" s="768" t="s">
        <v>782</v>
      </c>
      <c r="F191" s="294" t="s">
        <v>572</v>
      </c>
      <c r="G191" s="295" t="s">
        <v>564</v>
      </c>
      <c r="H191" s="293" t="s">
        <v>404</v>
      </c>
      <c r="I191" s="296" t="str">
        <f t="shared" si="17"/>
        <v>leslokaal groep 1 t/m 3</v>
      </c>
      <c r="J191" s="294" t="s">
        <v>655</v>
      </c>
      <c r="K191" s="297">
        <v>57.64</v>
      </c>
      <c r="L191" s="297"/>
      <c r="M191" s="298">
        <v>7200</v>
      </c>
      <c r="N191" s="299">
        <f t="shared" si="29"/>
        <v>200</v>
      </c>
      <c r="O191" s="483">
        <v>1</v>
      </c>
      <c r="P191" s="483">
        <v>1</v>
      </c>
      <c r="Q191" s="291">
        <f t="shared" si="30"/>
        <v>0</v>
      </c>
      <c r="R191" s="291">
        <f t="shared" si="31"/>
        <v>0</v>
      </c>
      <c r="S191" s="300">
        <f t="shared" si="26"/>
        <v>0</v>
      </c>
      <c r="T191" s="300">
        <f t="shared" si="27"/>
        <v>0</v>
      </c>
      <c r="U191" s="769" t="str">
        <f t="shared" si="28"/>
        <v>L</v>
      </c>
      <c r="V191" s="302"/>
      <c r="W191" s="303">
        <f>(Q191+R191)*'1.0-Contractblad'!$L$37</f>
        <v>0</v>
      </c>
      <c r="X191" s="303">
        <f ca="1">VLOOKUP(E191,'1.1a-Jaarprijzen'!$B$32:$Q$51,16,FALSE)*K191</f>
        <v>0</v>
      </c>
      <c r="Z191" s="771">
        <f t="shared" si="32"/>
        <v>11528</v>
      </c>
      <c r="AA191" s="491" t="str">
        <f t="shared" si="33"/>
        <v>7200-200</v>
      </c>
    </row>
    <row r="192" spans="2:27" s="489" customFormat="1" ht="15" hidden="1">
      <c r="B192" s="329"/>
      <c r="C192" s="330"/>
      <c r="D192" s="294">
        <f>VLOOKUP(E192,'1.1a-Jaarprijzen'!$B$13:$G$29,6,FALSE)</f>
        <v>3</v>
      </c>
      <c r="E192" s="768" t="s">
        <v>782</v>
      </c>
      <c r="F192" s="294" t="s">
        <v>572</v>
      </c>
      <c r="G192" s="295" t="s">
        <v>565</v>
      </c>
      <c r="H192" s="293" t="s">
        <v>988</v>
      </c>
      <c r="I192" s="296" t="str">
        <f t="shared" si="17"/>
        <v>administratieve -,  vergaderruimte</v>
      </c>
      <c r="J192" s="294" t="s">
        <v>655</v>
      </c>
      <c r="K192" s="297">
        <v>30.58</v>
      </c>
      <c r="L192" s="297"/>
      <c r="M192" s="298">
        <v>1040</v>
      </c>
      <c r="N192" s="299">
        <f t="shared" si="29"/>
        <v>40</v>
      </c>
      <c r="O192" s="483">
        <v>1</v>
      </c>
      <c r="P192" s="483">
        <v>1</v>
      </c>
      <c r="Q192" s="291">
        <f t="shared" si="30"/>
        <v>0</v>
      </c>
      <c r="R192" s="291">
        <f t="shared" si="31"/>
        <v>0</v>
      </c>
      <c r="S192" s="300">
        <f t="shared" si="26"/>
        <v>0</v>
      </c>
      <c r="T192" s="300">
        <f t="shared" si="27"/>
        <v>0</v>
      </c>
      <c r="U192" s="769" t="str">
        <f t="shared" si="28"/>
        <v>V</v>
      </c>
      <c r="V192" s="302"/>
      <c r="W192" s="303">
        <f>(Q192+R192)*'1.0-Contractblad'!$L$37</f>
        <v>0</v>
      </c>
      <c r="X192" s="303">
        <f ca="1">VLOOKUP(E192,'1.1a-Jaarprijzen'!$B$32:$Q$51,16,FALSE)*K192</f>
        <v>0</v>
      </c>
      <c r="Z192" s="771">
        <f t="shared" si="32"/>
        <v>1223.1999999999998</v>
      </c>
      <c r="AA192" s="491" t="str">
        <f t="shared" si="33"/>
        <v>1040-40</v>
      </c>
    </row>
    <row r="193" spans="2:27" s="489" customFormat="1" ht="15" hidden="1">
      <c r="B193" s="329"/>
      <c r="C193" s="330"/>
      <c r="D193" s="294">
        <f>VLOOKUP(E193,'1.1a-Jaarprijzen'!$B$13:$G$29,6,FALSE)</f>
        <v>3</v>
      </c>
      <c r="E193" s="768" t="s">
        <v>782</v>
      </c>
      <c r="F193" s="294" t="s">
        <v>572</v>
      </c>
      <c r="G193" s="295" t="s">
        <v>566</v>
      </c>
      <c r="H193" s="293" t="s">
        <v>536</v>
      </c>
      <c r="I193" s="296" t="str">
        <f t="shared" si="17"/>
        <v>administratieve -,  vergaderruimte</v>
      </c>
      <c r="J193" s="294" t="s">
        <v>655</v>
      </c>
      <c r="K193" s="297">
        <v>17.829999999999998</v>
      </c>
      <c r="L193" s="297"/>
      <c r="M193" s="298">
        <v>1040</v>
      </c>
      <c r="N193" s="299">
        <f t="shared" si="29"/>
        <v>40</v>
      </c>
      <c r="O193" s="483">
        <v>1</v>
      </c>
      <c r="P193" s="483">
        <v>1</v>
      </c>
      <c r="Q193" s="291">
        <f t="shared" si="30"/>
        <v>0</v>
      </c>
      <c r="R193" s="291">
        <f t="shared" si="31"/>
        <v>0</v>
      </c>
      <c r="S193" s="300">
        <f t="shared" si="26"/>
        <v>0</v>
      </c>
      <c r="T193" s="300">
        <f t="shared" si="27"/>
        <v>0</v>
      </c>
      <c r="U193" s="769" t="str">
        <f t="shared" si="28"/>
        <v>V</v>
      </c>
      <c r="V193" s="302"/>
      <c r="W193" s="303">
        <f>(Q193+R193)*'1.0-Contractblad'!$L$37</f>
        <v>0</v>
      </c>
      <c r="X193" s="303">
        <f ca="1">VLOOKUP(E193,'1.1a-Jaarprijzen'!$B$32:$Q$51,16,FALSE)*K193</f>
        <v>0</v>
      </c>
      <c r="Z193" s="771">
        <f t="shared" si="32"/>
        <v>713.19999999999993</v>
      </c>
      <c r="AA193" s="491" t="str">
        <f t="shared" si="33"/>
        <v>1040-40</v>
      </c>
    </row>
    <row r="194" spans="2:27" s="489" customFormat="1" ht="15" hidden="1">
      <c r="B194" s="329"/>
      <c r="C194" s="330"/>
      <c r="D194" s="294">
        <f>VLOOKUP(E194,'1.1a-Jaarprijzen'!$B$13:$G$29,6,FALSE)</f>
        <v>3</v>
      </c>
      <c r="E194" s="768" t="s">
        <v>782</v>
      </c>
      <c r="F194" s="294" t="s">
        <v>572</v>
      </c>
      <c r="G194" s="295" t="s">
        <v>574</v>
      </c>
      <c r="H194" s="293" t="s">
        <v>388</v>
      </c>
      <c r="I194" s="296" t="str">
        <f t="shared" si="17"/>
        <v>entree, gang, hal, repro</v>
      </c>
      <c r="J194" s="294" t="s">
        <v>655</v>
      </c>
      <c r="K194" s="297">
        <v>20.29</v>
      </c>
      <c r="L194" s="297"/>
      <c r="M194" s="298">
        <v>3200</v>
      </c>
      <c r="N194" s="299">
        <f t="shared" si="29"/>
        <v>200</v>
      </c>
      <c r="O194" s="483">
        <v>1</v>
      </c>
      <c r="P194" s="483">
        <v>1</v>
      </c>
      <c r="Q194" s="291">
        <f t="shared" si="30"/>
        <v>0</v>
      </c>
      <c r="R194" s="291">
        <f t="shared" si="31"/>
        <v>0</v>
      </c>
      <c r="S194" s="300">
        <f t="shared" si="26"/>
        <v>0</v>
      </c>
      <c r="T194" s="300">
        <f t="shared" si="27"/>
        <v>0</v>
      </c>
      <c r="U194" s="769" t="str">
        <f t="shared" si="28"/>
        <v>V</v>
      </c>
      <c r="V194" s="302"/>
      <c r="W194" s="303">
        <f>(Q194+R194)*'1.0-Contractblad'!$L$37</f>
        <v>0</v>
      </c>
      <c r="X194" s="303">
        <f ca="1">VLOOKUP(E194,'1.1a-Jaarprijzen'!$B$32:$Q$51,16,FALSE)*K194</f>
        <v>0</v>
      </c>
      <c r="Z194" s="771">
        <f t="shared" si="32"/>
        <v>4058</v>
      </c>
      <c r="AA194" s="491" t="str">
        <f t="shared" si="33"/>
        <v>3200-200</v>
      </c>
    </row>
    <row r="195" spans="2:27" s="489" customFormat="1" ht="15" hidden="1">
      <c r="B195" s="329"/>
      <c r="C195" s="330"/>
      <c r="D195" s="294">
        <f>VLOOKUP(E195,'1.1a-Jaarprijzen'!$B$13:$G$29,6,FALSE)</f>
        <v>3</v>
      </c>
      <c r="E195" s="768" t="s">
        <v>782</v>
      </c>
      <c r="F195" s="294" t="s">
        <v>572</v>
      </c>
      <c r="G195" s="295" t="s">
        <v>575</v>
      </c>
      <c r="H195" s="293" t="s">
        <v>477</v>
      </c>
      <c r="I195" s="296" t="str">
        <f t="shared" si="17"/>
        <v>sanitaire ruimte (toilet-/doucheruimte)</v>
      </c>
      <c r="J195" s="294" t="s">
        <v>476</v>
      </c>
      <c r="K195" s="297">
        <v>3.89</v>
      </c>
      <c r="L195" s="297"/>
      <c r="M195" s="298">
        <v>4200</v>
      </c>
      <c r="N195" s="299">
        <f t="shared" si="29"/>
        <v>200</v>
      </c>
      <c r="O195" s="483">
        <v>1</v>
      </c>
      <c r="P195" s="483">
        <v>1</v>
      </c>
      <c r="Q195" s="291">
        <f t="shared" si="30"/>
        <v>0</v>
      </c>
      <c r="R195" s="291">
        <f t="shared" si="31"/>
        <v>0</v>
      </c>
      <c r="S195" s="300">
        <f t="shared" si="26"/>
        <v>0</v>
      </c>
      <c r="T195" s="300">
        <f t="shared" si="27"/>
        <v>0</v>
      </c>
      <c r="U195" s="769" t="str">
        <f t="shared" si="28"/>
        <v>S</v>
      </c>
      <c r="V195" s="302"/>
      <c r="W195" s="303">
        <f>(Q195+R195)*'1.0-Contractblad'!$L$37</f>
        <v>0</v>
      </c>
      <c r="X195" s="303">
        <f ca="1">VLOOKUP(E195,'1.1a-Jaarprijzen'!$B$32:$Q$51,16,FALSE)*K195</f>
        <v>0</v>
      </c>
      <c r="Z195" s="771">
        <f t="shared" si="32"/>
        <v>778</v>
      </c>
      <c r="AA195" s="491" t="str">
        <f t="shared" si="33"/>
        <v>4200-200</v>
      </c>
    </row>
    <row r="196" spans="2:27" s="489" customFormat="1" ht="15" hidden="1">
      <c r="B196" s="329"/>
      <c r="C196" s="330"/>
      <c r="D196" s="294">
        <f>VLOOKUP(E196,'1.1a-Jaarprijzen'!$B$13:$G$29,6,FALSE)</f>
        <v>3</v>
      </c>
      <c r="E196" s="768" t="s">
        <v>782</v>
      </c>
      <c r="F196" s="294" t="s">
        <v>572</v>
      </c>
      <c r="G196" s="295" t="s">
        <v>576</v>
      </c>
      <c r="H196" s="293" t="s">
        <v>388</v>
      </c>
      <c r="I196" s="296" t="str">
        <f t="shared" si="17"/>
        <v>entree, gang, hal, repro</v>
      </c>
      <c r="J196" s="294" t="s">
        <v>655</v>
      </c>
      <c r="K196" s="297">
        <v>16.95</v>
      </c>
      <c r="L196" s="297"/>
      <c r="M196" s="298">
        <v>3200</v>
      </c>
      <c r="N196" s="299">
        <f t="shared" si="29"/>
        <v>200</v>
      </c>
      <c r="O196" s="483">
        <v>1</v>
      </c>
      <c r="P196" s="483">
        <v>1</v>
      </c>
      <c r="Q196" s="291">
        <f t="shared" si="30"/>
        <v>0</v>
      </c>
      <c r="R196" s="291">
        <f t="shared" si="31"/>
        <v>0</v>
      </c>
      <c r="S196" s="300">
        <f t="shared" si="26"/>
        <v>0</v>
      </c>
      <c r="T196" s="300">
        <f t="shared" si="27"/>
        <v>0</v>
      </c>
      <c r="U196" s="769" t="str">
        <f t="shared" si="28"/>
        <v>V</v>
      </c>
      <c r="V196" s="302"/>
      <c r="W196" s="303">
        <f>(Q196+R196)*'1.0-Contractblad'!$L$37</f>
        <v>0</v>
      </c>
      <c r="X196" s="303">
        <f ca="1">VLOOKUP(E196,'1.1a-Jaarprijzen'!$B$32:$Q$51,16,FALSE)*K196</f>
        <v>0</v>
      </c>
      <c r="Z196" s="771">
        <f t="shared" si="32"/>
        <v>3390</v>
      </c>
      <c r="AA196" s="491" t="str">
        <f t="shared" si="33"/>
        <v>3200-200</v>
      </c>
    </row>
    <row r="197" spans="2:27" s="489" customFormat="1" ht="15" hidden="1">
      <c r="B197" s="329"/>
      <c r="C197" s="330"/>
      <c r="D197" s="294">
        <f>VLOOKUP(E197,'1.1a-Jaarprijzen'!$B$13:$G$29,6,FALSE)</f>
        <v>3</v>
      </c>
      <c r="E197" s="768" t="s">
        <v>782</v>
      </c>
      <c r="F197" s="294" t="s">
        <v>572</v>
      </c>
      <c r="G197" s="295" t="s">
        <v>577</v>
      </c>
      <c r="H197" s="293" t="s">
        <v>783</v>
      </c>
      <c r="I197" s="296" t="str">
        <f t="shared" si="17"/>
        <v>speellokaal</v>
      </c>
      <c r="J197" s="294" t="s">
        <v>655</v>
      </c>
      <c r="K197" s="297">
        <v>88</v>
      </c>
      <c r="L197" s="297"/>
      <c r="M197" s="298">
        <v>8200</v>
      </c>
      <c r="N197" s="299">
        <f t="shared" si="29"/>
        <v>200</v>
      </c>
      <c r="O197" s="483">
        <v>1</v>
      </c>
      <c r="P197" s="483">
        <v>1</v>
      </c>
      <c r="Q197" s="291">
        <f t="shared" si="30"/>
        <v>0</v>
      </c>
      <c r="R197" s="291">
        <f t="shared" si="31"/>
        <v>0</v>
      </c>
      <c r="S197" s="300">
        <f t="shared" si="26"/>
        <v>0</v>
      </c>
      <c r="T197" s="300">
        <f t="shared" si="27"/>
        <v>0</v>
      </c>
      <c r="U197" s="769" t="str">
        <f t="shared" si="28"/>
        <v>L</v>
      </c>
      <c r="V197" s="302"/>
      <c r="W197" s="303">
        <f>(Q197+R197)*'1.0-Contractblad'!$L$37</f>
        <v>0</v>
      </c>
      <c r="X197" s="303">
        <f ca="1">VLOOKUP(E197,'1.1a-Jaarprijzen'!$B$32:$Q$51,16,FALSE)*K197</f>
        <v>0</v>
      </c>
      <c r="Z197" s="771">
        <f t="shared" si="32"/>
        <v>17600</v>
      </c>
      <c r="AA197" s="491" t="str">
        <f t="shared" si="33"/>
        <v>8200-200</v>
      </c>
    </row>
    <row r="198" spans="2:27" s="489" customFormat="1" ht="15" hidden="1">
      <c r="B198" s="329"/>
      <c r="C198" s="330"/>
      <c r="D198" s="294">
        <f>VLOOKUP(E198,'1.1a-Jaarprijzen'!$B$13:$G$29,6,FALSE)</f>
        <v>3</v>
      </c>
      <c r="E198" s="768" t="s">
        <v>782</v>
      </c>
      <c r="F198" s="294" t="s">
        <v>572</v>
      </c>
      <c r="G198" s="295" t="s">
        <v>578</v>
      </c>
      <c r="H198" s="293" t="s">
        <v>397</v>
      </c>
      <c r="I198" s="296" t="str">
        <f t="shared" si="17"/>
        <v>aula, gemeenschappelijke ruimte, bibliotheek</v>
      </c>
      <c r="J198" s="294" t="s">
        <v>655</v>
      </c>
      <c r="K198" s="297">
        <v>121.26</v>
      </c>
      <c r="L198" s="297"/>
      <c r="M198" s="298">
        <v>2200</v>
      </c>
      <c r="N198" s="299">
        <f t="shared" si="29"/>
        <v>200</v>
      </c>
      <c r="O198" s="483">
        <v>1</v>
      </c>
      <c r="P198" s="483">
        <v>1</v>
      </c>
      <c r="Q198" s="291">
        <f t="shared" si="30"/>
        <v>0</v>
      </c>
      <c r="R198" s="291">
        <f t="shared" si="31"/>
        <v>0</v>
      </c>
      <c r="S198" s="300">
        <f t="shared" si="26"/>
        <v>0</v>
      </c>
      <c r="T198" s="300">
        <f t="shared" si="27"/>
        <v>0</v>
      </c>
      <c r="U198" s="769" t="str">
        <f t="shared" si="28"/>
        <v>V</v>
      </c>
      <c r="V198" s="302"/>
      <c r="W198" s="303">
        <f>(Q198+R198)*'1.0-Contractblad'!$L$37</f>
        <v>0</v>
      </c>
      <c r="X198" s="303">
        <f ca="1">VLOOKUP(E198,'1.1a-Jaarprijzen'!$B$32:$Q$51,16,FALSE)*K198</f>
        <v>0</v>
      </c>
      <c r="Z198" s="771">
        <f t="shared" si="32"/>
        <v>24252</v>
      </c>
      <c r="AA198" s="491" t="str">
        <f t="shared" si="33"/>
        <v>2200-200</v>
      </c>
    </row>
    <row r="199" spans="2:27" s="489" customFormat="1" ht="15" hidden="1">
      <c r="B199" s="329"/>
      <c r="C199" s="330"/>
      <c r="D199" s="294">
        <f>VLOOKUP(E199,'1.1a-Jaarprijzen'!$B$13:$G$29,6,FALSE)</f>
        <v>3</v>
      </c>
      <c r="E199" s="768" t="s">
        <v>782</v>
      </c>
      <c r="F199" s="294" t="s">
        <v>572</v>
      </c>
      <c r="G199" s="295" t="s">
        <v>579</v>
      </c>
      <c r="H199" s="293" t="s">
        <v>404</v>
      </c>
      <c r="I199" s="296" t="str">
        <f t="shared" si="17"/>
        <v>leslokaal/leerplein groep 4 t/m 8</v>
      </c>
      <c r="J199" s="294" t="s">
        <v>655</v>
      </c>
      <c r="K199" s="297">
        <v>59.67</v>
      </c>
      <c r="L199" s="297"/>
      <c r="M199" s="298">
        <v>18200</v>
      </c>
      <c r="N199" s="299">
        <f t="shared" si="29"/>
        <v>200</v>
      </c>
      <c r="O199" s="483">
        <v>1</v>
      </c>
      <c r="P199" s="483">
        <v>1</v>
      </c>
      <c r="Q199" s="291">
        <f t="shared" si="30"/>
        <v>0</v>
      </c>
      <c r="R199" s="291">
        <f t="shared" si="31"/>
        <v>0</v>
      </c>
      <c r="S199" s="300">
        <f t="shared" si="26"/>
        <v>0</v>
      </c>
      <c r="T199" s="300">
        <f t="shared" si="27"/>
        <v>0</v>
      </c>
      <c r="U199" s="769" t="str">
        <f t="shared" si="28"/>
        <v>L</v>
      </c>
      <c r="V199" s="302"/>
      <c r="W199" s="303">
        <f>(Q199+R199)*'1.0-Contractblad'!$L$37</f>
        <v>0</v>
      </c>
      <c r="X199" s="303">
        <f ca="1">VLOOKUP(E199,'1.1a-Jaarprijzen'!$B$32:$Q$51,16,FALSE)*K199</f>
        <v>0</v>
      </c>
      <c r="Z199" s="771">
        <f t="shared" si="32"/>
        <v>11934</v>
      </c>
      <c r="AA199" s="491" t="str">
        <f t="shared" si="33"/>
        <v>18200-200</v>
      </c>
    </row>
    <row r="200" spans="2:27" s="489" customFormat="1" ht="15" hidden="1">
      <c r="B200" s="329"/>
      <c r="C200" s="330"/>
      <c r="D200" s="294">
        <f>VLOOKUP(E200,'1.1a-Jaarprijzen'!$B$13:$G$29,6,FALSE)</f>
        <v>3</v>
      </c>
      <c r="E200" s="768" t="s">
        <v>782</v>
      </c>
      <c r="F200" s="294" t="s">
        <v>572</v>
      </c>
      <c r="G200" s="295" t="s">
        <v>580</v>
      </c>
      <c r="H200" s="293" t="s">
        <v>477</v>
      </c>
      <c r="I200" s="296" t="str">
        <f t="shared" si="17"/>
        <v>sanitaire ruimte (toilet-/doucheruimte)</v>
      </c>
      <c r="J200" s="294" t="s">
        <v>476</v>
      </c>
      <c r="K200" s="297">
        <v>6.73</v>
      </c>
      <c r="L200" s="297"/>
      <c r="M200" s="298">
        <v>4200</v>
      </c>
      <c r="N200" s="299">
        <f t="shared" si="29"/>
        <v>200</v>
      </c>
      <c r="O200" s="483">
        <v>1</v>
      </c>
      <c r="P200" s="483">
        <v>1</v>
      </c>
      <c r="Q200" s="291">
        <f t="shared" si="30"/>
        <v>0</v>
      </c>
      <c r="R200" s="291">
        <f t="shared" si="31"/>
        <v>0</v>
      </c>
      <c r="S200" s="300">
        <f t="shared" si="26"/>
        <v>0</v>
      </c>
      <c r="T200" s="300">
        <f t="shared" si="27"/>
        <v>0</v>
      </c>
      <c r="U200" s="769" t="str">
        <f t="shared" si="28"/>
        <v>S</v>
      </c>
      <c r="V200" s="302"/>
      <c r="W200" s="303">
        <f>(Q200+R200)*'1.0-Contractblad'!$L$37</f>
        <v>0</v>
      </c>
      <c r="X200" s="303">
        <f ca="1">VLOOKUP(E200,'1.1a-Jaarprijzen'!$B$32:$Q$51,16,FALSE)*K200</f>
        <v>0</v>
      </c>
      <c r="Z200" s="771">
        <f t="shared" si="32"/>
        <v>1346</v>
      </c>
      <c r="AA200" s="491" t="str">
        <f t="shared" si="33"/>
        <v>4200-200</v>
      </c>
    </row>
    <row r="201" spans="2:27" s="489" customFormat="1" ht="15" hidden="1">
      <c r="B201" s="329"/>
      <c r="C201" s="330"/>
      <c r="D201" s="294">
        <f>VLOOKUP(E201,'1.1a-Jaarprijzen'!$B$13:$G$29,6,FALSE)</f>
        <v>3</v>
      </c>
      <c r="E201" s="768" t="s">
        <v>782</v>
      </c>
      <c r="F201" s="294" t="s">
        <v>572</v>
      </c>
      <c r="G201" s="295" t="s">
        <v>581</v>
      </c>
      <c r="H201" s="293" t="s">
        <v>404</v>
      </c>
      <c r="I201" s="296" t="str">
        <f t="shared" si="17"/>
        <v>leslokaal/leerplein groep 4 t/m 8</v>
      </c>
      <c r="J201" s="294" t="s">
        <v>655</v>
      </c>
      <c r="K201" s="297">
        <v>63.1</v>
      </c>
      <c r="L201" s="297"/>
      <c r="M201" s="298">
        <v>18200</v>
      </c>
      <c r="N201" s="299">
        <f t="shared" si="29"/>
        <v>200</v>
      </c>
      <c r="O201" s="483">
        <v>1</v>
      </c>
      <c r="P201" s="483">
        <v>1</v>
      </c>
      <c r="Q201" s="291">
        <f t="shared" si="30"/>
        <v>0</v>
      </c>
      <c r="R201" s="291">
        <f t="shared" si="31"/>
        <v>0</v>
      </c>
      <c r="S201" s="300">
        <f t="shared" si="26"/>
        <v>0</v>
      </c>
      <c r="T201" s="300">
        <f t="shared" si="27"/>
        <v>0</v>
      </c>
      <c r="U201" s="769" t="str">
        <f t="shared" si="28"/>
        <v>L</v>
      </c>
      <c r="V201" s="302"/>
      <c r="W201" s="303">
        <f>(Q201+R201)*'1.0-Contractblad'!$L$37</f>
        <v>0</v>
      </c>
      <c r="X201" s="303">
        <f ca="1">VLOOKUP(E201,'1.1a-Jaarprijzen'!$B$32:$Q$51,16,FALSE)*K201</f>
        <v>0</v>
      </c>
      <c r="Z201" s="771">
        <f t="shared" si="32"/>
        <v>12620</v>
      </c>
      <c r="AA201" s="491" t="str">
        <f t="shared" si="33"/>
        <v>18200-200</v>
      </c>
    </row>
    <row r="202" spans="2:27" s="489" customFormat="1" ht="15" hidden="1">
      <c r="B202" s="329"/>
      <c r="C202" s="330"/>
      <c r="D202" s="294">
        <f>VLOOKUP(E202,'1.1a-Jaarprijzen'!$B$13:$G$29,6,FALSE)</f>
        <v>3</v>
      </c>
      <c r="E202" s="768" t="s">
        <v>782</v>
      </c>
      <c r="F202" s="294" t="s">
        <v>572</v>
      </c>
      <c r="G202" s="295" t="s">
        <v>582</v>
      </c>
      <c r="H202" s="293" t="s">
        <v>477</v>
      </c>
      <c r="I202" s="296" t="str">
        <f t="shared" si="17"/>
        <v>sanitaire ruimte (toilet-/doucheruimte)</v>
      </c>
      <c r="J202" s="294" t="s">
        <v>476</v>
      </c>
      <c r="K202" s="297">
        <v>6.73</v>
      </c>
      <c r="L202" s="297"/>
      <c r="M202" s="298">
        <v>4200</v>
      </c>
      <c r="N202" s="299">
        <f t="shared" si="29"/>
        <v>200</v>
      </c>
      <c r="O202" s="483">
        <v>1</v>
      </c>
      <c r="P202" s="483">
        <v>1</v>
      </c>
      <c r="Q202" s="291">
        <f t="shared" si="30"/>
        <v>0</v>
      </c>
      <c r="R202" s="291">
        <f t="shared" si="31"/>
        <v>0</v>
      </c>
      <c r="S202" s="300">
        <f t="shared" si="26"/>
        <v>0</v>
      </c>
      <c r="T202" s="300">
        <f t="shared" si="27"/>
        <v>0</v>
      </c>
      <c r="U202" s="769" t="str">
        <f t="shared" si="28"/>
        <v>S</v>
      </c>
      <c r="V202" s="302"/>
      <c r="W202" s="303">
        <f>(Q202+R202)*'1.0-Contractblad'!$L$37</f>
        <v>0</v>
      </c>
      <c r="X202" s="303">
        <f ca="1">VLOOKUP(E202,'1.1a-Jaarprijzen'!$B$32:$Q$51,16,FALSE)*K202</f>
        <v>0</v>
      </c>
      <c r="Z202" s="771">
        <f t="shared" si="32"/>
        <v>1346</v>
      </c>
      <c r="AA202" s="491" t="str">
        <f t="shared" si="33"/>
        <v>4200-200</v>
      </c>
    </row>
    <row r="203" spans="2:27" s="489" customFormat="1" ht="15" hidden="1">
      <c r="B203" s="329"/>
      <c r="C203" s="330"/>
      <c r="D203" s="294">
        <f>VLOOKUP(E203,'1.1a-Jaarprijzen'!$B$13:$G$29,6,FALSE)</f>
        <v>3</v>
      </c>
      <c r="E203" s="768" t="s">
        <v>782</v>
      </c>
      <c r="F203" s="294" t="s">
        <v>572</v>
      </c>
      <c r="G203" s="295" t="s">
        <v>583</v>
      </c>
      <c r="H203" s="293" t="s">
        <v>404</v>
      </c>
      <c r="I203" s="296" t="str">
        <f t="shared" si="17"/>
        <v>leslokaal/leerplein groep 4 t/m 8</v>
      </c>
      <c r="J203" s="294" t="s">
        <v>655</v>
      </c>
      <c r="K203" s="297">
        <v>60.52</v>
      </c>
      <c r="L203" s="297"/>
      <c r="M203" s="298">
        <v>18200</v>
      </c>
      <c r="N203" s="299">
        <f t="shared" si="29"/>
        <v>200</v>
      </c>
      <c r="O203" s="483">
        <v>1</v>
      </c>
      <c r="P203" s="483">
        <v>1</v>
      </c>
      <c r="Q203" s="291">
        <f t="shared" si="30"/>
        <v>0</v>
      </c>
      <c r="R203" s="291">
        <f t="shared" si="31"/>
        <v>0</v>
      </c>
      <c r="S203" s="300">
        <f t="shared" si="26"/>
        <v>0</v>
      </c>
      <c r="T203" s="300">
        <f t="shared" si="27"/>
        <v>0</v>
      </c>
      <c r="U203" s="769" t="str">
        <f t="shared" si="28"/>
        <v>L</v>
      </c>
      <c r="V203" s="302"/>
      <c r="W203" s="303">
        <f>(Q203+R203)*'1.0-Contractblad'!$L$37</f>
        <v>0</v>
      </c>
      <c r="X203" s="303">
        <f ca="1">VLOOKUP(E203,'1.1a-Jaarprijzen'!$B$32:$Q$51,16,FALSE)*K203</f>
        <v>0</v>
      </c>
      <c r="Z203" s="771">
        <f t="shared" si="32"/>
        <v>12104</v>
      </c>
      <c r="AA203" s="491" t="str">
        <f t="shared" si="33"/>
        <v>18200-200</v>
      </c>
    </row>
    <row r="204" spans="2:27" s="489" customFormat="1" ht="15" hidden="1">
      <c r="B204" s="329"/>
      <c r="C204" s="330"/>
      <c r="D204" s="294">
        <f>VLOOKUP(E204,'1.1a-Jaarprijzen'!$B$13:$G$29,6,FALSE)</f>
        <v>3</v>
      </c>
      <c r="E204" s="785" t="s">
        <v>782</v>
      </c>
      <c r="F204" s="294" t="s">
        <v>572</v>
      </c>
      <c r="G204" s="295" t="s">
        <v>584</v>
      </c>
      <c r="H204" s="293" t="s">
        <v>477</v>
      </c>
      <c r="I204" s="296" t="str">
        <f t="shared" si="17"/>
        <v>sanitaire ruimte (toilet-/doucheruimte)</v>
      </c>
      <c r="J204" s="294" t="s">
        <v>476</v>
      </c>
      <c r="K204" s="297">
        <v>5.54</v>
      </c>
      <c r="L204" s="297"/>
      <c r="M204" s="298">
        <v>4260</v>
      </c>
      <c r="N204" s="299">
        <f t="shared" si="29"/>
        <v>260</v>
      </c>
      <c r="O204" s="483">
        <v>1</v>
      </c>
      <c r="P204" s="483">
        <v>1</v>
      </c>
      <c r="Q204" s="291">
        <f t="shared" si="30"/>
        <v>0</v>
      </c>
      <c r="R204" s="291">
        <f t="shared" si="31"/>
        <v>0</v>
      </c>
      <c r="S204" s="300">
        <f t="shared" si="26"/>
        <v>0</v>
      </c>
      <c r="T204" s="300">
        <f t="shared" si="27"/>
        <v>0</v>
      </c>
      <c r="U204" s="769" t="str">
        <f t="shared" si="28"/>
        <v>S</v>
      </c>
      <c r="V204" s="302" t="s">
        <v>1036</v>
      </c>
      <c r="W204" s="303">
        <f>(Q204+R204)*'1.0-Contractblad'!$L$37</f>
        <v>0</v>
      </c>
      <c r="X204" s="303">
        <f ca="1">VLOOKUP(E204,'1.1a-Jaarprijzen'!$B$32:$Q$51,16,FALSE)*K204</f>
        <v>0</v>
      </c>
      <c r="Z204" s="771">
        <f t="shared" si="32"/>
        <v>1440.4</v>
      </c>
      <c r="AA204" s="491" t="str">
        <f t="shared" si="33"/>
        <v>4260-260</v>
      </c>
    </row>
    <row r="205" spans="2:27" s="489" customFormat="1" ht="15" hidden="1">
      <c r="B205" s="329"/>
      <c r="C205" s="330"/>
      <c r="D205" s="294">
        <f>VLOOKUP(E205,'1.1a-Jaarprijzen'!$B$13:$G$29,6,FALSE)</f>
        <v>3</v>
      </c>
      <c r="E205" s="770" t="s">
        <v>782</v>
      </c>
      <c r="F205" s="778" t="s">
        <v>572</v>
      </c>
      <c r="G205" s="295" t="s">
        <v>699</v>
      </c>
      <c r="H205" s="293" t="s">
        <v>404</v>
      </c>
      <c r="I205" s="296" t="str">
        <f t="shared" si="17"/>
        <v>Kinderopvang</v>
      </c>
      <c r="J205" s="294" t="s">
        <v>655</v>
      </c>
      <c r="K205" s="297">
        <v>82.52</v>
      </c>
      <c r="L205" s="297"/>
      <c r="M205" s="298">
        <v>22260</v>
      </c>
      <c r="N205" s="299">
        <f t="shared" si="29"/>
        <v>260</v>
      </c>
      <c r="O205" s="483">
        <v>1</v>
      </c>
      <c r="P205" s="483">
        <v>1</v>
      </c>
      <c r="Q205" s="291">
        <f t="shared" si="30"/>
        <v>0</v>
      </c>
      <c r="R205" s="291">
        <f t="shared" si="31"/>
        <v>0</v>
      </c>
      <c r="S205" s="300">
        <f t="shared" si="26"/>
        <v>0</v>
      </c>
      <c r="T205" s="300">
        <f t="shared" si="27"/>
        <v>0</v>
      </c>
      <c r="U205" s="769" t="str">
        <f t="shared" si="28"/>
        <v>L</v>
      </c>
      <c r="V205" s="302"/>
      <c r="W205" s="303">
        <f>(Q205+R205)*'1.0-Contractblad'!$L$37</f>
        <v>0</v>
      </c>
      <c r="X205" s="303">
        <f ca="1">VLOOKUP(E205,'1.1a-Jaarprijzen'!$B$32:$Q$51,16,FALSE)*K205</f>
        <v>0</v>
      </c>
      <c r="Z205" s="771">
        <f t="shared" si="32"/>
        <v>21455.200000000001</v>
      </c>
      <c r="AA205" s="491" t="str">
        <f t="shared" si="33"/>
        <v>22260-260</v>
      </c>
    </row>
    <row r="206" spans="2:27" s="489" customFormat="1" ht="15" hidden="1">
      <c r="B206" s="329"/>
      <c r="C206" s="330"/>
      <c r="D206" s="294">
        <f>VLOOKUP(E206,'1.1a-Jaarprijzen'!$B$13:$G$29,6,FALSE)</f>
        <v>3</v>
      </c>
      <c r="E206" s="785" t="s">
        <v>782</v>
      </c>
      <c r="F206" s="294" t="s">
        <v>572</v>
      </c>
      <c r="G206" s="295" t="s">
        <v>585</v>
      </c>
      <c r="H206" s="293" t="s">
        <v>388</v>
      </c>
      <c r="I206" s="296" t="str">
        <f t="shared" si="17"/>
        <v>entree, gang, hal, repro</v>
      </c>
      <c r="J206" s="294" t="s">
        <v>655</v>
      </c>
      <c r="K206" s="297">
        <v>8.48</v>
      </c>
      <c r="L206" s="297"/>
      <c r="M206" s="298">
        <v>3260</v>
      </c>
      <c r="N206" s="299">
        <f t="shared" si="29"/>
        <v>260</v>
      </c>
      <c r="O206" s="483">
        <v>1</v>
      </c>
      <c r="P206" s="483">
        <v>1</v>
      </c>
      <c r="Q206" s="291">
        <f t="shared" si="30"/>
        <v>0</v>
      </c>
      <c r="R206" s="291">
        <f t="shared" si="31"/>
        <v>0</v>
      </c>
      <c r="S206" s="300">
        <f t="shared" si="26"/>
        <v>0</v>
      </c>
      <c r="T206" s="300">
        <f t="shared" si="27"/>
        <v>0</v>
      </c>
      <c r="U206" s="769" t="str">
        <f t="shared" si="28"/>
        <v>V</v>
      </c>
      <c r="V206" s="302" t="s">
        <v>1036</v>
      </c>
      <c r="W206" s="303">
        <f>(Q206+R206)*'1.0-Contractblad'!$L$37</f>
        <v>0</v>
      </c>
      <c r="X206" s="303">
        <f ca="1">VLOOKUP(E206,'1.1a-Jaarprijzen'!$B$32:$Q$51,16,FALSE)*K206</f>
        <v>0</v>
      </c>
      <c r="Z206" s="771">
        <f t="shared" si="32"/>
        <v>2204.8000000000002</v>
      </c>
      <c r="AA206" s="491" t="str">
        <f t="shared" si="33"/>
        <v>3260-260</v>
      </c>
    </row>
    <row r="207" spans="2:27" s="489" customFormat="1" ht="15" hidden="1">
      <c r="B207" s="329"/>
      <c r="C207" s="330"/>
      <c r="D207" s="294">
        <f>VLOOKUP(E207,'1.1a-Jaarprijzen'!$B$13:$G$29,6,FALSE)</f>
        <v>3</v>
      </c>
      <c r="E207" s="785" t="s">
        <v>782</v>
      </c>
      <c r="F207" s="294" t="s">
        <v>572</v>
      </c>
      <c r="G207" s="295" t="s">
        <v>586</v>
      </c>
      <c r="H207" s="293" t="s">
        <v>388</v>
      </c>
      <c r="I207" s="296" t="str">
        <f t="shared" si="17"/>
        <v>entree, gang, hal, repro</v>
      </c>
      <c r="J207" s="294" t="s">
        <v>655</v>
      </c>
      <c r="K207" s="297">
        <v>38.630000000000003</v>
      </c>
      <c r="L207" s="297"/>
      <c r="M207" s="298">
        <v>3260</v>
      </c>
      <c r="N207" s="299">
        <f t="shared" si="29"/>
        <v>260</v>
      </c>
      <c r="O207" s="483">
        <v>1</v>
      </c>
      <c r="P207" s="483">
        <v>1</v>
      </c>
      <c r="Q207" s="291">
        <f t="shared" si="30"/>
        <v>0</v>
      </c>
      <c r="R207" s="291">
        <f t="shared" si="31"/>
        <v>0</v>
      </c>
      <c r="S207" s="300">
        <f t="shared" si="26"/>
        <v>0</v>
      </c>
      <c r="T207" s="300">
        <f t="shared" si="27"/>
        <v>0</v>
      </c>
      <c r="U207" s="769" t="str">
        <f t="shared" si="28"/>
        <v>V</v>
      </c>
      <c r="V207" s="302" t="s">
        <v>1036</v>
      </c>
      <c r="W207" s="303">
        <f>(Q207+R207)*'1.0-Contractblad'!$L$37</f>
        <v>0</v>
      </c>
      <c r="X207" s="303">
        <f ca="1">VLOOKUP(E207,'1.1a-Jaarprijzen'!$B$32:$Q$51,16,FALSE)*K207</f>
        <v>0</v>
      </c>
      <c r="Z207" s="771">
        <f t="shared" si="32"/>
        <v>10043.800000000001</v>
      </c>
      <c r="AA207" s="491" t="str">
        <f t="shared" si="33"/>
        <v>3260-260</v>
      </c>
    </row>
    <row r="208" spans="2:27" s="489" customFormat="1" ht="15" hidden="1">
      <c r="B208" s="329"/>
      <c r="C208" s="330"/>
      <c r="D208" s="294">
        <f>VLOOKUP(E208,'1.1a-Jaarprijzen'!$B$13:$G$29,6,FALSE)</f>
        <v>3</v>
      </c>
      <c r="E208" s="785" t="s">
        <v>782</v>
      </c>
      <c r="F208" s="294" t="s">
        <v>261</v>
      </c>
      <c r="G208" s="295" t="s">
        <v>567</v>
      </c>
      <c r="H208" s="293" t="s">
        <v>291</v>
      </c>
      <c r="I208" s="296" t="str">
        <f t="shared" si="17"/>
        <v>trappenhuis</v>
      </c>
      <c r="J208" s="294" t="s">
        <v>476</v>
      </c>
      <c r="K208" s="297">
        <v>8.7799999999999994</v>
      </c>
      <c r="L208" s="297"/>
      <c r="M208" s="298">
        <v>9260</v>
      </c>
      <c r="N208" s="299">
        <f t="shared" si="29"/>
        <v>260</v>
      </c>
      <c r="O208" s="483">
        <v>1</v>
      </c>
      <c r="P208" s="483">
        <v>1</v>
      </c>
      <c r="Q208" s="291">
        <f t="shared" si="30"/>
        <v>0</v>
      </c>
      <c r="R208" s="291">
        <f t="shared" si="31"/>
        <v>0</v>
      </c>
      <c r="S208" s="300">
        <f t="shared" si="26"/>
        <v>0</v>
      </c>
      <c r="T208" s="300">
        <f t="shared" si="27"/>
        <v>0</v>
      </c>
      <c r="U208" s="769" t="str">
        <f t="shared" si="28"/>
        <v>V</v>
      </c>
      <c r="V208" s="302" t="s">
        <v>1036</v>
      </c>
      <c r="W208" s="303">
        <f>(Q208+R208)*'1.0-Contractblad'!$L$37</f>
        <v>0</v>
      </c>
      <c r="X208" s="303">
        <f ca="1">VLOOKUP(E208,'1.1a-Jaarprijzen'!$B$32:$Q$51,16,FALSE)*K208</f>
        <v>0</v>
      </c>
      <c r="Z208" s="771">
        <f t="shared" si="32"/>
        <v>2282.7999999999997</v>
      </c>
      <c r="AA208" s="491" t="str">
        <f t="shared" si="33"/>
        <v>9260-260</v>
      </c>
    </row>
    <row r="209" spans="2:27" s="489" customFormat="1" ht="15" hidden="1">
      <c r="B209" s="329"/>
      <c r="C209" s="330"/>
      <c r="D209" s="294">
        <f>VLOOKUP(E209,'1.1a-Jaarprijzen'!$B$13:$G$29,6,FALSE)</f>
        <v>3</v>
      </c>
      <c r="E209" s="785" t="s">
        <v>782</v>
      </c>
      <c r="F209" s="294" t="s">
        <v>261</v>
      </c>
      <c r="G209" s="295" t="s">
        <v>568</v>
      </c>
      <c r="H209" s="293" t="s">
        <v>636</v>
      </c>
      <c r="I209" s="296" t="str">
        <f t="shared" si="17"/>
        <v>entree, gang, hal, repro</v>
      </c>
      <c r="J209" s="294" t="s">
        <v>655</v>
      </c>
      <c r="K209" s="297">
        <v>7.72</v>
      </c>
      <c r="L209" s="297"/>
      <c r="M209" s="298">
        <v>3260</v>
      </c>
      <c r="N209" s="299">
        <f t="shared" si="29"/>
        <v>260</v>
      </c>
      <c r="O209" s="483">
        <v>1</v>
      </c>
      <c r="P209" s="483">
        <v>1</v>
      </c>
      <c r="Q209" s="291">
        <f t="shared" si="30"/>
        <v>0</v>
      </c>
      <c r="R209" s="291">
        <f t="shared" si="31"/>
        <v>0</v>
      </c>
      <c r="S209" s="300">
        <f t="shared" si="26"/>
        <v>0</v>
      </c>
      <c r="T209" s="300">
        <f t="shared" si="27"/>
        <v>0</v>
      </c>
      <c r="U209" s="769" t="str">
        <f t="shared" si="28"/>
        <v>V</v>
      </c>
      <c r="V209" s="302" t="s">
        <v>1036</v>
      </c>
      <c r="W209" s="303">
        <f>(Q209+R209)*'1.0-Contractblad'!$L$37</f>
        <v>0</v>
      </c>
      <c r="X209" s="303">
        <f ca="1">VLOOKUP(E209,'1.1a-Jaarprijzen'!$B$32:$Q$51,16,FALSE)*K209</f>
        <v>0</v>
      </c>
      <c r="Z209" s="771">
        <f t="shared" si="32"/>
        <v>2007.2</v>
      </c>
      <c r="AA209" s="491" t="str">
        <f t="shared" si="33"/>
        <v>3260-260</v>
      </c>
    </row>
    <row r="210" spans="2:27" s="489" customFormat="1" ht="15" hidden="1">
      <c r="B210" s="329"/>
      <c r="C210" s="330"/>
      <c r="D210" s="294">
        <f>VLOOKUP(E210,'1.1a-Jaarprijzen'!$B$13:$G$29,6,FALSE)</f>
        <v>3</v>
      </c>
      <c r="E210" s="768" t="s">
        <v>782</v>
      </c>
      <c r="F210" s="294" t="s">
        <v>261</v>
      </c>
      <c r="G210" s="295" t="s">
        <v>569</v>
      </c>
      <c r="H210" s="293" t="s">
        <v>477</v>
      </c>
      <c r="I210" s="296" t="str">
        <f t="shared" si="17"/>
        <v>sanitaire ruimte (toilet-/doucheruimte)</v>
      </c>
      <c r="J210" s="294" t="s">
        <v>476</v>
      </c>
      <c r="K210" s="297">
        <v>7.47</v>
      </c>
      <c r="L210" s="297"/>
      <c r="M210" s="298">
        <v>4200</v>
      </c>
      <c r="N210" s="299">
        <f t="shared" si="29"/>
        <v>200</v>
      </c>
      <c r="O210" s="483">
        <v>1</v>
      </c>
      <c r="P210" s="483">
        <v>1</v>
      </c>
      <c r="Q210" s="291">
        <f t="shared" si="30"/>
        <v>0</v>
      </c>
      <c r="R210" s="291">
        <f t="shared" si="31"/>
        <v>0</v>
      </c>
      <c r="S210" s="300">
        <f t="shared" si="26"/>
        <v>0</v>
      </c>
      <c r="T210" s="300">
        <f t="shared" si="27"/>
        <v>0</v>
      </c>
      <c r="U210" s="769" t="str">
        <f t="shared" si="28"/>
        <v>S</v>
      </c>
      <c r="V210" s="302"/>
      <c r="W210" s="303">
        <f>(Q210+R210)*'1.0-Contractblad'!$L$37</f>
        <v>0</v>
      </c>
      <c r="X210" s="303">
        <f ca="1">VLOOKUP(E210,'1.1a-Jaarprijzen'!$B$32:$Q$51,16,FALSE)*K210</f>
        <v>0</v>
      </c>
      <c r="Z210" s="771">
        <f t="shared" si="32"/>
        <v>1494</v>
      </c>
      <c r="AA210" s="491" t="str">
        <f t="shared" si="33"/>
        <v>4200-200</v>
      </c>
    </row>
    <row r="211" spans="2:27" s="489" customFormat="1" ht="15" hidden="1">
      <c r="B211" s="329"/>
      <c r="C211" s="330"/>
      <c r="D211" s="294">
        <f>VLOOKUP(E211,'1.1a-Jaarprijzen'!$B$13:$G$29,6,FALSE)</f>
        <v>3</v>
      </c>
      <c r="E211" s="768" t="s">
        <v>782</v>
      </c>
      <c r="F211" s="294" t="s">
        <v>261</v>
      </c>
      <c r="G211" s="295" t="s">
        <v>570</v>
      </c>
      <c r="H211" s="293" t="s">
        <v>393</v>
      </c>
      <c r="I211" s="296" t="str">
        <f t="shared" si="17"/>
        <v>aula, gemeenschappelijke ruimte, bibliotheek</v>
      </c>
      <c r="J211" s="294" t="s">
        <v>655</v>
      </c>
      <c r="K211" s="297">
        <v>53.93</v>
      </c>
      <c r="L211" s="297"/>
      <c r="M211" s="298">
        <v>2200</v>
      </c>
      <c r="N211" s="299">
        <f t="shared" si="29"/>
        <v>200</v>
      </c>
      <c r="O211" s="483">
        <v>1</v>
      </c>
      <c r="P211" s="483">
        <v>1</v>
      </c>
      <c r="Q211" s="291">
        <f t="shared" si="30"/>
        <v>0</v>
      </c>
      <c r="R211" s="291">
        <f t="shared" si="31"/>
        <v>0</v>
      </c>
      <c r="S211" s="300">
        <f t="shared" si="26"/>
        <v>0</v>
      </c>
      <c r="T211" s="300">
        <f t="shared" si="27"/>
        <v>0</v>
      </c>
      <c r="U211" s="769" t="str">
        <f t="shared" si="28"/>
        <v>V</v>
      </c>
      <c r="V211" s="302"/>
      <c r="W211" s="303">
        <f>(Q211+R211)*'1.0-Contractblad'!$L$37</f>
        <v>0</v>
      </c>
      <c r="X211" s="303">
        <f ca="1">VLOOKUP(E211,'1.1a-Jaarprijzen'!$B$32:$Q$51,16,FALSE)*K211</f>
        <v>0</v>
      </c>
      <c r="Z211" s="771">
        <f t="shared" si="32"/>
        <v>10786</v>
      </c>
      <c r="AA211" s="491" t="str">
        <f t="shared" si="33"/>
        <v>2200-200</v>
      </c>
    </row>
    <row r="212" spans="2:27" s="489" customFormat="1" ht="15" hidden="1">
      <c r="B212" s="329"/>
      <c r="C212" s="330"/>
      <c r="D212" s="294">
        <f>VLOOKUP(E212,'1.1a-Jaarprijzen'!$B$13:$G$29,6,FALSE)</f>
        <v>3</v>
      </c>
      <c r="E212" s="785" t="s">
        <v>782</v>
      </c>
      <c r="F212" s="294" t="s">
        <v>261</v>
      </c>
      <c r="G212" s="295" t="s">
        <v>571</v>
      </c>
      <c r="H212" s="293" t="s">
        <v>388</v>
      </c>
      <c r="I212" s="296" t="str">
        <f t="shared" si="17"/>
        <v>entree, gang, hal, repro</v>
      </c>
      <c r="J212" s="294" t="s">
        <v>655</v>
      </c>
      <c r="K212" s="297">
        <v>102.39</v>
      </c>
      <c r="L212" s="297"/>
      <c r="M212" s="298">
        <v>3260</v>
      </c>
      <c r="N212" s="299">
        <f t="shared" si="29"/>
        <v>260</v>
      </c>
      <c r="O212" s="483">
        <v>1</v>
      </c>
      <c r="P212" s="483">
        <v>1</v>
      </c>
      <c r="Q212" s="291">
        <f t="shared" si="30"/>
        <v>0</v>
      </c>
      <c r="R212" s="291">
        <f t="shared" si="31"/>
        <v>0</v>
      </c>
      <c r="S212" s="300">
        <f t="shared" si="26"/>
        <v>0</v>
      </c>
      <c r="T212" s="300">
        <f t="shared" si="27"/>
        <v>0</v>
      </c>
      <c r="U212" s="769" t="str">
        <f t="shared" si="28"/>
        <v>V</v>
      </c>
      <c r="V212" s="302" t="s">
        <v>1036</v>
      </c>
      <c r="W212" s="303">
        <f>(Q212+R212)*'1.0-Contractblad'!$L$37</f>
        <v>0</v>
      </c>
      <c r="X212" s="303">
        <f ca="1">VLOOKUP(E212,'1.1a-Jaarprijzen'!$B$32:$Q$51,16,FALSE)*K212</f>
        <v>0</v>
      </c>
      <c r="Z212" s="771">
        <f t="shared" si="32"/>
        <v>26621.4</v>
      </c>
      <c r="AA212" s="491" t="str">
        <f t="shared" si="33"/>
        <v>3260-260</v>
      </c>
    </row>
    <row r="213" spans="2:27" s="489" customFormat="1" ht="15" hidden="1">
      <c r="B213" s="329"/>
      <c r="C213" s="330"/>
      <c r="D213" s="294">
        <f>VLOOKUP(E213,'1.1a-Jaarprijzen'!$B$13:$G$29,6,FALSE)</f>
        <v>3</v>
      </c>
      <c r="E213" s="768" t="s">
        <v>782</v>
      </c>
      <c r="F213" s="294" t="s">
        <v>261</v>
      </c>
      <c r="G213" s="295" t="s">
        <v>605</v>
      </c>
      <c r="H213" s="293" t="s">
        <v>404</v>
      </c>
      <c r="I213" s="296" t="str">
        <f t="shared" si="17"/>
        <v>leslokaal/leerplein groep 4 t/m 8</v>
      </c>
      <c r="J213" s="294" t="s">
        <v>655</v>
      </c>
      <c r="K213" s="297">
        <v>53.66</v>
      </c>
      <c r="L213" s="297"/>
      <c r="M213" s="298">
        <v>18200</v>
      </c>
      <c r="N213" s="299">
        <f t="shared" si="29"/>
        <v>200</v>
      </c>
      <c r="O213" s="483">
        <v>1</v>
      </c>
      <c r="P213" s="483">
        <v>1</v>
      </c>
      <c r="Q213" s="291">
        <f t="shared" si="30"/>
        <v>0</v>
      </c>
      <c r="R213" s="291">
        <f t="shared" si="31"/>
        <v>0</v>
      </c>
      <c r="S213" s="300">
        <f t="shared" si="26"/>
        <v>0</v>
      </c>
      <c r="T213" s="300">
        <f t="shared" si="27"/>
        <v>0</v>
      </c>
      <c r="U213" s="769" t="str">
        <f t="shared" si="28"/>
        <v>L</v>
      </c>
      <c r="V213" s="302"/>
      <c r="W213" s="303">
        <f>(Q213+R213)*'1.0-Contractblad'!$L$37</f>
        <v>0</v>
      </c>
      <c r="X213" s="303">
        <f ca="1">VLOOKUP(E213,'1.1a-Jaarprijzen'!$B$32:$Q$51,16,FALSE)*K213</f>
        <v>0</v>
      </c>
      <c r="Z213" s="771">
        <f t="shared" si="32"/>
        <v>10732</v>
      </c>
      <c r="AA213" s="491" t="str">
        <f t="shared" si="33"/>
        <v>18200-200</v>
      </c>
    </row>
    <row r="214" spans="2:27" s="489" customFormat="1" ht="15" hidden="1">
      <c r="B214" s="329"/>
      <c r="C214" s="330"/>
      <c r="D214" s="294">
        <f>VLOOKUP(E214,'1.1a-Jaarprijzen'!$B$13:$G$29,6,FALSE)</f>
        <v>3</v>
      </c>
      <c r="E214" s="768" t="s">
        <v>782</v>
      </c>
      <c r="F214" s="294" t="s">
        <v>261</v>
      </c>
      <c r="G214" s="295" t="s">
        <v>606</v>
      </c>
      <c r="H214" s="293" t="s">
        <v>404</v>
      </c>
      <c r="I214" s="296" t="str">
        <f t="shared" si="17"/>
        <v>leslokaal/leerplein groep 4 t/m 8</v>
      </c>
      <c r="J214" s="294" t="s">
        <v>655</v>
      </c>
      <c r="K214" s="297">
        <v>53.66</v>
      </c>
      <c r="L214" s="297"/>
      <c r="M214" s="298">
        <v>18200</v>
      </c>
      <c r="N214" s="299">
        <f t="shared" si="29"/>
        <v>200</v>
      </c>
      <c r="O214" s="483">
        <v>1</v>
      </c>
      <c r="P214" s="483">
        <v>1</v>
      </c>
      <c r="Q214" s="291">
        <f t="shared" si="30"/>
        <v>0</v>
      </c>
      <c r="R214" s="291">
        <f t="shared" si="31"/>
        <v>0</v>
      </c>
      <c r="S214" s="300">
        <f t="shared" si="26"/>
        <v>0</v>
      </c>
      <c r="T214" s="300">
        <f t="shared" si="27"/>
        <v>0</v>
      </c>
      <c r="U214" s="769" t="str">
        <f t="shared" si="28"/>
        <v>L</v>
      </c>
      <c r="V214" s="302"/>
      <c r="W214" s="303">
        <f>(Q214+R214)*'1.0-Contractblad'!$L$37</f>
        <v>0</v>
      </c>
      <c r="X214" s="303">
        <f ca="1">VLOOKUP(E214,'1.1a-Jaarprijzen'!$B$32:$Q$51,16,FALSE)*K214</f>
        <v>0</v>
      </c>
      <c r="Z214" s="771">
        <f t="shared" si="32"/>
        <v>10732</v>
      </c>
      <c r="AA214" s="491" t="str">
        <f t="shared" si="33"/>
        <v>18200-200</v>
      </c>
    </row>
    <row r="215" spans="2:27" s="489" customFormat="1" ht="15" hidden="1">
      <c r="B215" s="329"/>
      <c r="C215" s="330"/>
      <c r="D215" s="294">
        <f>VLOOKUP(E215,'1.1a-Jaarprijzen'!$B$13:$G$29,6,FALSE)</f>
        <v>3</v>
      </c>
      <c r="E215" s="768" t="s">
        <v>782</v>
      </c>
      <c r="F215" s="294" t="s">
        <v>261</v>
      </c>
      <c r="G215" s="295" t="s">
        <v>640</v>
      </c>
      <c r="H215" s="293" t="s">
        <v>404</v>
      </c>
      <c r="I215" s="296" t="str">
        <f t="shared" si="17"/>
        <v>leslokaal/leerplein groep 4 t/m 8</v>
      </c>
      <c r="J215" s="294" t="s">
        <v>655</v>
      </c>
      <c r="K215" s="297">
        <v>53.66</v>
      </c>
      <c r="L215" s="297"/>
      <c r="M215" s="298">
        <v>18200</v>
      </c>
      <c r="N215" s="299">
        <f t="shared" si="29"/>
        <v>200</v>
      </c>
      <c r="O215" s="483">
        <v>1</v>
      </c>
      <c r="P215" s="483">
        <v>1</v>
      </c>
      <c r="Q215" s="291">
        <f t="shared" si="30"/>
        <v>0</v>
      </c>
      <c r="R215" s="291">
        <f t="shared" si="31"/>
        <v>0</v>
      </c>
      <c r="S215" s="300">
        <f t="shared" si="26"/>
        <v>0</v>
      </c>
      <c r="T215" s="300">
        <f t="shared" si="27"/>
        <v>0</v>
      </c>
      <c r="U215" s="769" t="str">
        <f t="shared" si="28"/>
        <v>L</v>
      </c>
      <c r="V215" s="302"/>
      <c r="W215" s="303">
        <f>(Q215+R215)*'1.0-Contractblad'!$L$37</f>
        <v>0</v>
      </c>
      <c r="X215" s="303">
        <f ca="1">VLOOKUP(E215,'1.1a-Jaarprijzen'!$B$32:$Q$51,16,FALSE)*K215</f>
        <v>0</v>
      </c>
      <c r="Z215" s="771">
        <f t="shared" si="32"/>
        <v>10732</v>
      </c>
      <c r="AA215" s="491" t="str">
        <f t="shared" si="33"/>
        <v>18200-200</v>
      </c>
    </row>
    <row r="216" spans="2:27" s="489" customFormat="1" ht="15" hidden="1">
      <c r="B216" s="329"/>
      <c r="C216" s="330"/>
      <c r="D216" s="294">
        <f>VLOOKUP(E216,'1.1a-Jaarprijzen'!$B$13:$G$29,6,FALSE)</f>
        <v>3</v>
      </c>
      <c r="E216" s="785" t="s">
        <v>782</v>
      </c>
      <c r="F216" s="294" t="s">
        <v>261</v>
      </c>
      <c r="G216" s="295" t="s">
        <v>641</v>
      </c>
      <c r="H216" s="293" t="s">
        <v>404</v>
      </c>
      <c r="I216" s="296" t="str">
        <f t="shared" si="17"/>
        <v>Kinderopvang</v>
      </c>
      <c r="J216" s="294" t="s">
        <v>655</v>
      </c>
      <c r="K216" s="297">
        <v>53.66</v>
      </c>
      <c r="L216" s="297"/>
      <c r="M216" s="298">
        <v>22260</v>
      </c>
      <c r="N216" s="299">
        <f t="shared" si="29"/>
        <v>260</v>
      </c>
      <c r="O216" s="483">
        <v>1</v>
      </c>
      <c r="P216" s="483">
        <v>1</v>
      </c>
      <c r="Q216" s="291">
        <f t="shared" si="30"/>
        <v>0</v>
      </c>
      <c r="R216" s="291">
        <f t="shared" si="31"/>
        <v>0</v>
      </c>
      <c r="S216" s="300">
        <f t="shared" si="26"/>
        <v>0</v>
      </c>
      <c r="T216" s="300">
        <f t="shared" si="27"/>
        <v>0</v>
      </c>
      <c r="U216" s="769" t="str">
        <f t="shared" si="28"/>
        <v>L</v>
      </c>
      <c r="V216" s="302" t="s">
        <v>1036</v>
      </c>
      <c r="W216" s="303">
        <f>(Q216+R216)*'1.0-Contractblad'!$L$37</f>
        <v>0</v>
      </c>
      <c r="X216" s="303">
        <f ca="1">VLOOKUP(E216,'1.1a-Jaarprijzen'!$B$32:$Q$51,16,FALSE)*K216</f>
        <v>0</v>
      </c>
      <c r="Z216" s="771">
        <f t="shared" si="32"/>
        <v>13951.599999999999</v>
      </c>
      <c r="AA216" s="491" t="str">
        <f t="shared" si="33"/>
        <v>22260-260</v>
      </c>
    </row>
    <row r="217" spans="2:27" s="489" customFormat="1" ht="15" hidden="1">
      <c r="B217" s="329"/>
      <c r="C217" s="330"/>
      <c r="D217" s="294">
        <f>VLOOKUP(E217,'1.1a-Jaarprijzen'!$B$13:$G$29,6,FALSE)</f>
        <v>3</v>
      </c>
      <c r="E217" s="785" t="s">
        <v>782</v>
      </c>
      <c r="F217" s="294" t="s">
        <v>261</v>
      </c>
      <c r="G217" s="295" t="s">
        <v>642</v>
      </c>
      <c r="H217" s="293" t="s">
        <v>477</v>
      </c>
      <c r="I217" s="296" t="str">
        <f t="shared" si="17"/>
        <v>sanitaire ruimte (toilet-/doucheruimte)</v>
      </c>
      <c r="J217" s="294" t="s">
        <v>476</v>
      </c>
      <c r="K217" s="297">
        <v>7.48</v>
      </c>
      <c r="L217" s="297"/>
      <c r="M217" s="298">
        <v>4260</v>
      </c>
      <c r="N217" s="299">
        <f t="shared" si="29"/>
        <v>260</v>
      </c>
      <c r="O217" s="483">
        <v>1</v>
      </c>
      <c r="P217" s="483">
        <v>1</v>
      </c>
      <c r="Q217" s="291">
        <f t="shared" si="30"/>
        <v>0</v>
      </c>
      <c r="R217" s="291">
        <f t="shared" si="31"/>
        <v>0</v>
      </c>
      <c r="S217" s="300">
        <f t="shared" si="26"/>
        <v>0</v>
      </c>
      <c r="T217" s="300">
        <f t="shared" si="27"/>
        <v>0</v>
      </c>
      <c r="U217" s="769" t="str">
        <f t="shared" si="28"/>
        <v>S</v>
      </c>
      <c r="V217" s="302" t="s">
        <v>1036</v>
      </c>
      <c r="W217" s="303">
        <f>(Q217+R217)*'1.0-Contractblad'!$L$37</f>
        <v>0</v>
      </c>
      <c r="X217" s="303">
        <f ca="1">VLOOKUP(E217,'1.1a-Jaarprijzen'!$B$32:$Q$51,16,FALSE)*K217</f>
        <v>0</v>
      </c>
      <c r="Z217" s="771">
        <f t="shared" si="32"/>
        <v>1944.8000000000002</v>
      </c>
      <c r="AA217" s="491" t="str">
        <f t="shared" si="33"/>
        <v>4260-260</v>
      </c>
    </row>
    <row r="218" spans="2:27" s="489" customFormat="1" ht="15" hidden="1">
      <c r="B218" s="329"/>
      <c r="C218" s="330"/>
      <c r="D218" s="294">
        <f>VLOOKUP(E218,'1.1a-Jaarprijzen'!$B$13:$G$29,6,FALSE)</f>
        <v>3</v>
      </c>
      <c r="E218" s="768" t="s">
        <v>782</v>
      </c>
      <c r="F218" s="294" t="s">
        <v>261</v>
      </c>
      <c r="G218" s="295" t="s">
        <v>643</v>
      </c>
      <c r="H218" s="293" t="s">
        <v>988</v>
      </c>
      <c r="I218" s="296" t="str">
        <f t="shared" si="17"/>
        <v>administratieve -,  vergaderruimte</v>
      </c>
      <c r="J218" s="294" t="s">
        <v>655</v>
      </c>
      <c r="K218" s="297">
        <v>11.48</v>
      </c>
      <c r="L218" s="297"/>
      <c r="M218" s="298">
        <v>1040</v>
      </c>
      <c r="N218" s="299">
        <f t="shared" si="29"/>
        <v>40</v>
      </c>
      <c r="O218" s="483">
        <v>1</v>
      </c>
      <c r="P218" s="483">
        <v>1</v>
      </c>
      <c r="Q218" s="291">
        <f t="shared" si="30"/>
        <v>0</v>
      </c>
      <c r="R218" s="291">
        <f t="shared" si="31"/>
        <v>0</v>
      </c>
      <c r="S218" s="300">
        <f t="shared" si="26"/>
        <v>0</v>
      </c>
      <c r="T218" s="300">
        <f t="shared" si="27"/>
        <v>0</v>
      </c>
      <c r="U218" s="769" t="str">
        <f t="shared" si="28"/>
        <v>V</v>
      </c>
      <c r="V218" s="302"/>
      <c r="W218" s="303">
        <f>(Q218+R218)*'1.0-Contractblad'!$L$37</f>
        <v>0</v>
      </c>
      <c r="X218" s="303">
        <f ca="1">VLOOKUP(E218,'1.1a-Jaarprijzen'!$B$32:$Q$51,16,FALSE)*K218</f>
        <v>0</v>
      </c>
      <c r="Z218" s="771">
        <f t="shared" si="32"/>
        <v>459.20000000000005</v>
      </c>
      <c r="AA218" s="491" t="str">
        <f t="shared" si="33"/>
        <v>1040-40</v>
      </c>
    </row>
    <row r="219" spans="2:27" s="489" customFormat="1" ht="15" hidden="1">
      <c r="B219" s="329"/>
      <c r="C219" s="330"/>
      <c r="D219" s="294">
        <f>VLOOKUP(E219,'1.1a-Jaarprijzen'!$B$13:$G$29,6,FALSE)</f>
        <v>3</v>
      </c>
      <c r="E219" s="785" t="s">
        <v>782</v>
      </c>
      <c r="F219" s="294" t="s">
        <v>261</v>
      </c>
      <c r="G219" s="295" t="s">
        <v>644</v>
      </c>
      <c r="H219" s="293" t="s">
        <v>636</v>
      </c>
      <c r="I219" s="296" t="str">
        <f t="shared" si="17"/>
        <v>entree, gang, hal, repro</v>
      </c>
      <c r="J219" s="294" t="s">
        <v>655</v>
      </c>
      <c r="K219" s="297">
        <v>7.72</v>
      </c>
      <c r="L219" s="297"/>
      <c r="M219" s="298">
        <v>3260</v>
      </c>
      <c r="N219" s="299">
        <f t="shared" si="29"/>
        <v>260</v>
      </c>
      <c r="O219" s="483">
        <v>1</v>
      </c>
      <c r="P219" s="483">
        <v>1</v>
      </c>
      <c r="Q219" s="291">
        <f t="shared" si="30"/>
        <v>0</v>
      </c>
      <c r="R219" s="291">
        <f t="shared" si="31"/>
        <v>0</v>
      </c>
      <c r="S219" s="300">
        <f t="shared" si="26"/>
        <v>0</v>
      </c>
      <c r="T219" s="300">
        <f t="shared" si="27"/>
        <v>0</v>
      </c>
      <c r="U219" s="769" t="str">
        <f t="shared" si="28"/>
        <v>V</v>
      </c>
      <c r="V219" s="302" t="s">
        <v>1036</v>
      </c>
      <c r="W219" s="303">
        <f>(Q219+R219)*'1.0-Contractblad'!$L$37</f>
        <v>0</v>
      </c>
      <c r="X219" s="303">
        <f ca="1">VLOOKUP(E219,'1.1a-Jaarprijzen'!$B$32:$Q$51,16,FALSE)*K219</f>
        <v>0</v>
      </c>
      <c r="Z219" s="771">
        <f t="shared" si="32"/>
        <v>2007.2</v>
      </c>
      <c r="AA219" s="491" t="str">
        <f t="shared" si="33"/>
        <v>3260-260</v>
      </c>
    </row>
    <row r="220" spans="2:27" s="489" customFormat="1" ht="15" hidden="1">
      <c r="B220" s="329"/>
      <c r="C220" s="330"/>
      <c r="D220" s="294">
        <f>VLOOKUP(E220,'1.1a-Jaarprijzen'!$B$13:$G$29,6,FALSE)</f>
        <v>3</v>
      </c>
      <c r="E220" s="785" t="s">
        <v>782</v>
      </c>
      <c r="F220" s="294" t="s">
        <v>261</v>
      </c>
      <c r="G220" s="295" t="s">
        <v>645</v>
      </c>
      <c r="H220" s="293" t="s">
        <v>291</v>
      </c>
      <c r="I220" s="296" t="str">
        <f t="shared" si="17"/>
        <v>trappenhuis</v>
      </c>
      <c r="J220" s="294" t="s">
        <v>476</v>
      </c>
      <c r="K220" s="297">
        <v>8.7799999999999994</v>
      </c>
      <c r="L220" s="297"/>
      <c r="M220" s="298">
        <v>9260</v>
      </c>
      <c r="N220" s="299">
        <f t="shared" si="29"/>
        <v>260</v>
      </c>
      <c r="O220" s="483">
        <v>1</v>
      </c>
      <c r="P220" s="483">
        <v>1</v>
      </c>
      <c r="Q220" s="291">
        <f t="shared" si="30"/>
        <v>0</v>
      </c>
      <c r="R220" s="291">
        <f t="shared" si="31"/>
        <v>0</v>
      </c>
      <c r="S220" s="300">
        <f t="shared" si="26"/>
        <v>0</v>
      </c>
      <c r="T220" s="300">
        <f t="shared" si="27"/>
        <v>0</v>
      </c>
      <c r="U220" s="769" t="str">
        <f t="shared" si="28"/>
        <v>V</v>
      </c>
      <c r="V220" s="302" t="s">
        <v>1036</v>
      </c>
      <c r="W220" s="303">
        <f>(Q220+R220)*'1.0-Contractblad'!$L$37</f>
        <v>0</v>
      </c>
      <c r="X220" s="303">
        <f ca="1">VLOOKUP(E220,'1.1a-Jaarprijzen'!$B$32:$Q$51,16,FALSE)*K220</f>
        <v>0</v>
      </c>
      <c r="Z220" s="771">
        <f t="shared" si="32"/>
        <v>2282.7999999999997</v>
      </c>
      <c r="AA220" s="491" t="str">
        <f t="shared" si="33"/>
        <v>9260-260</v>
      </c>
    </row>
    <row r="221" spans="2:27" s="489" customFormat="1" ht="15" hidden="1">
      <c r="B221" s="329"/>
      <c r="C221" s="330"/>
      <c r="D221" s="294">
        <f>VLOOKUP(E221,'1.1a-Jaarprijzen'!$B$13:$G$29,6,FALSE)</f>
        <v>3</v>
      </c>
      <c r="E221" s="768" t="s">
        <v>782</v>
      </c>
      <c r="F221" s="294" t="s">
        <v>960</v>
      </c>
      <c r="G221" s="295" t="s">
        <v>784</v>
      </c>
      <c r="H221" s="293" t="s">
        <v>785</v>
      </c>
      <c r="I221" s="296" t="str">
        <f t="shared" si="17"/>
        <v>entree, gang, hal, repro</v>
      </c>
      <c r="J221" s="294" t="s">
        <v>655</v>
      </c>
      <c r="K221" s="297">
        <v>32.85</v>
      </c>
      <c r="L221" s="297"/>
      <c r="M221" s="298">
        <v>3200</v>
      </c>
      <c r="N221" s="299">
        <f t="shared" si="29"/>
        <v>200</v>
      </c>
      <c r="O221" s="483">
        <v>1</v>
      </c>
      <c r="P221" s="483">
        <v>1</v>
      </c>
      <c r="Q221" s="291">
        <f t="shared" si="30"/>
        <v>0</v>
      </c>
      <c r="R221" s="291">
        <f t="shared" si="31"/>
        <v>0</v>
      </c>
      <c r="S221" s="300">
        <f t="shared" si="26"/>
        <v>0</v>
      </c>
      <c r="T221" s="300">
        <f t="shared" si="27"/>
        <v>0</v>
      </c>
      <c r="U221" s="769" t="str">
        <f t="shared" si="28"/>
        <v>V</v>
      </c>
      <c r="V221" s="302"/>
      <c r="W221" s="303">
        <f>(Q221+R221)*'1.0-Contractblad'!$L$37</f>
        <v>0</v>
      </c>
      <c r="X221" s="303">
        <f ca="1">VLOOKUP(E221,'1.1a-Jaarprijzen'!$B$32:$Q$51,16,FALSE)*K221</f>
        <v>0</v>
      </c>
      <c r="Z221" s="771">
        <f t="shared" si="32"/>
        <v>6570</v>
      </c>
      <c r="AA221" s="491" t="str">
        <f t="shared" si="33"/>
        <v>3200-200</v>
      </c>
    </row>
    <row r="222" spans="2:27" s="489" customFormat="1" ht="15" hidden="1">
      <c r="B222" s="329"/>
      <c r="C222" s="330"/>
      <c r="D222" s="294">
        <f>VLOOKUP(E222,'1.1a-Jaarprijzen'!$B$13:$G$29,6,FALSE)</f>
        <v>3</v>
      </c>
      <c r="E222" s="768" t="s">
        <v>782</v>
      </c>
      <c r="F222" s="294" t="s">
        <v>960</v>
      </c>
      <c r="G222" s="295" t="s">
        <v>786</v>
      </c>
      <c r="H222" s="293" t="s">
        <v>477</v>
      </c>
      <c r="I222" s="296" t="str">
        <f t="shared" si="17"/>
        <v>sanitaire ruimte (toilet-/doucheruimte)</v>
      </c>
      <c r="J222" s="294" t="s">
        <v>476</v>
      </c>
      <c r="K222" s="297">
        <v>7.57</v>
      </c>
      <c r="L222" s="297"/>
      <c r="M222" s="298">
        <v>4200</v>
      </c>
      <c r="N222" s="299">
        <f t="shared" si="29"/>
        <v>200</v>
      </c>
      <c r="O222" s="483">
        <v>1</v>
      </c>
      <c r="P222" s="483">
        <v>1</v>
      </c>
      <c r="Q222" s="291">
        <f t="shared" si="30"/>
        <v>0</v>
      </c>
      <c r="R222" s="291">
        <f t="shared" si="31"/>
        <v>0</v>
      </c>
      <c r="S222" s="300">
        <f t="shared" ref="S222:S285" si="34">IF($M222=0,0,VLOOKUP($M222,Kengetal,6,FALSE))</f>
        <v>0</v>
      </c>
      <c r="T222" s="300">
        <f t="shared" ref="T222:T285" si="35">IF($M222=0,0,VLOOKUP($M222,Kengetal,7,FALSE))</f>
        <v>0</v>
      </c>
      <c r="U222" s="769" t="str">
        <f t="shared" si="28"/>
        <v>S</v>
      </c>
      <c r="V222" s="302"/>
      <c r="W222" s="303">
        <f>(Q222+R222)*'1.0-Contractblad'!$L$37</f>
        <v>0</v>
      </c>
      <c r="X222" s="303">
        <f ca="1">VLOOKUP(E222,'1.1a-Jaarprijzen'!$B$32:$Q$51,16,FALSE)*K222</f>
        <v>0</v>
      </c>
      <c r="Z222" s="771">
        <f t="shared" si="32"/>
        <v>1514</v>
      </c>
      <c r="AA222" s="491" t="str">
        <f t="shared" si="33"/>
        <v>4200-200</v>
      </c>
    </row>
    <row r="223" spans="2:27" s="489" customFormat="1" ht="15" hidden="1">
      <c r="B223" s="329"/>
      <c r="C223" s="330"/>
      <c r="D223" s="294">
        <f>VLOOKUP(E223,'1.1a-Jaarprijzen'!$B$13:$G$29,6,FALSE)</f>
        <v>3</v>
      </c>
      <c r="E223" s="768" t="s">
        <v>782</v>
      </c>
      <c r="F223" s="294" t="s">
        <v>960</v>
      </c>
      <c r="G223" s="295" t="s">
        <v>787</v>
      </c>
      <c r="H223" s="293" t="s">
        <v>404</v>
      </c>
      <c r="I223" s="296" t="str">
        <f t="shared" si="17"/>
        <v>leslokaal/leerplein groep 4 t/m 8</v>
      </c>
      <c r="J223" s="294" t="s">
        <v>655</v>
      </c>
      <c r="K223" s="297">
        <v>56.86</v>
      </c>
      <c r="L223" s="297"/>
      <c r="M223" s="298">
        <v>18200</v>
      </c>
      <c r="N223" s="299">
        <f t="shared" si="29"/>
        <v>200</v>
      </c>
      <c r="O223" s="483">
        <v>1</v>
      </c>
      <c r="P223" s="483">
        <v>1</v>
      </c>
      <c r="Q223" s="291">
        <f t="shared" si="30"/>
        <v>0</v>
      </c>
      <c r="R223" s="291">
        <f t="shared" si="31"/>
        <v>0</v>
      </c>
      <c r="S223" s="300">
        <f t="shared" si="34"/>
        <v>0</v>
      </c>
      <c r="T223" s="300">
        <f t="shared" si="35"/>
        <v>0</v>
      </c>
      <c r="U223" s="769" t="str">
        <f t="shared" si="28"/>
        <v>L</v>
      </c>
      <c r="V223" s="302"/>
      <c r="W223" s="303">
        <f>(Q223+R223)*'1.0-Contractblad'!$L$37</f>
        <v>0</v>
      </c>
      <c r="X223" s="303">
        <f ca="1">VLOOKUP(E223,'1.1a-Jaarprijzen'!$B$32:$Q$51,16,FALSE)*K223</f>
        <v>0</v>
      </c>
      <c r="Z223" s="771">
        <f t="shared" si="32"/>
        <v>11372</v>
      </c>
      <c r="AA223" s="491" t="str">
        <f t="shared" si="33"/>
        <v>18200-200</v>
      </c>
    </row>
    <row r="224" spans="2:27" s="489" customFormat="1" ht="15" hidden="1">
      <c r="B224" s="329"/>
      <c r="C224" s="330"/>
      <c r="D224" s="294">
        <f>VLOOKUP(E224,'1.1a-Jaarprijzen'!$B$13:$G$29,6,FALSE)</f>
        <v>3</v>
      </c>
      <c r="E224" s="768" t="s">
        <v>782</v>
      </c>
      <c r="F224" s="294" t="s">
        <v>960</v>
      </c>
      <c r="G224" s="295" t="s">
        <v>788</v>
      </c>
      <c r="H224" s="293" t="s">
        <v>404</v>
      </c>
      <c r="I224" s="296" t="str">
        <f t="shared" si="17"/>
        <v>leslokaal/leerplein groep 4 t/m 8</v>
      </c>
      <c r="J224" s="294" t="s">
        <v>655</v>
      </c>
      <c r="K224" s="297">
        <v>56.49</v>
      </c>
      <c r="L224" s="297"/>
      <c r="M224" s="298">
        <v>18200</v>
      </c>
      <c r="N224" s="299">
        <f t="shared" si="29"/>
        <v>200</v>
      </c>
      <c r="O224" s="483">
        <v>1</v>
      </c>
      <c r="P224" s="483">
        <v>1</v>
      </c>
      <c r="Q224" s="291">
        <f t="shared" si="30"/>
        <v>0</v>
      </c>
      <c r="R224" s="291">
        <f t="shared" si="31"/>
        <v>0</v>
      </c>
      <c r="S224" s="300">
        <f t="shared" si="34"/>
        <v>0</v>
      </c>
      <c r="T224" s="300">
        <f t="shared" si="35"/>
        <v>0</v>
      </c>
      <c r="U224" s="769" t="str">
        <f t="shared" si="28"/>
        <v>L</v>
      </c>
      <c r="V224" s="302"/>
      <c r="W224" s="303">
        <f>(Q224+R224)*'1.0-Contractblad'!$L$37</f>
        <v>0</v>
      </c>
      <c r="X224" s="303">
        <f ca="1">VLOOKUP(E224,'1.1a-Jaarprijzen'!$B$32:$Q$51,16,FALSE)*K224</f>
        <v>0</v>
      </c>
      <c r="Z224" s="771">
        <f t="shared" si="32"/>
        <v>11298</v>
      </c>
      <c r="AA224" s="491" t="str">
        <f t="shared" si="33"/>
        <v>18200-200</v>
      </c>
    </row>
    <row r="225" spans="2:27" s="489" customFormat="1" ht="15" hidden="1">
      <c r="B225" s="329"/>
      <c r="C225" s="330"/>
      <c r="D225" s="294">
        <f>VLOOKUP(E225,'1.1a-Jaarprijzen'!$B$13:$G$29,6,FALSE)</f>
        <v>3</v>
      </c>
      <c r="E225" s="768" t="s">
        <v>782</v>
      </c>
      <c r="F225" s="294" t="s">
        <v>960</v>
      </c>
      <c r="G225" s="295" t="s">
        <v>789</v>
      </c>
      <c r="H225" s="293" t="s">
        <v>404</v>
      </c>
      <c r="I225" s="296" t="str">
        <f>IF($M225="",0,VLOOKUP($M225,Kengetal,4,FALSE))</f>
        <v>leslokaal/leerplein groep 4 t/m 8</v>
      </c>
      <c r="J225" s="294" t="s">
        <v>655</v>
      </c>
      <c r="K225" s="297">
        <v>55.11</v>
      </c>
      <c r="L225" s="297"/>
      <c r="M225" s="298">
        <v>18200</v>
      </c>
      <c r="N225" s="299">
        <f t="shared" si="29"/>
        <v>200</v>
      </c>
      <c r="O225" s="483">
        <v>1</v>
      </c>
      <c r="P225" s="483">
        <v>1</v>
      </c>
      <c r="Q225" s="291">
        <f t="shared" si="30"/>
        <v>0</v>
      </c>
      <c r="R225" s="291">
        <f t="shared" si="31"/>
        <v>0</v>
      </c>
      <c r="S225" s="300">
        <f t="shared" si="34"/>
        <v>0</v>
      </c>
      <c r="T225" s="300">
        <f t="shared" si="35"/>
        <v>0</v>
      </c>
      <c r="U225" s="769" t="str">
        <f t="shared" si="28"/>
        <v>L</v>
      </c>
      <c r="V225" s="302"/>
      <c r="W225" s="303">
        <f>(Q225+R225)*'1.0-Contractblad'!$L$37</f>
        <v>0</v>
      </c>
      <c r="X225" s="303">
        <f ca="1">VLOOKUP(E225,'1.1a-Jaarprijzen'!$B$32:$Q$51,16,FALSE)*K225</f>
        <v>0</v>
      </c>
      <c r="Z225" s="771">
        <f t="shared" si="32"/>
        <v>11022</v>
      </c>
      <c r="AA225" s="491" t="str">
        <f t="shared" si="33"/>
        <v>18200-200</v>
      </c>
    </row>
    <row r="226" spans="2:27" s="489" customFormat="1" ht="15" hidden="1">
      <c r="B226" s="329"/>
      <c r="C226" s="330"/>
      <c r="D226" s="294">
        <f>VLOOKUP(E226,'1.1a-Jaarprijzen'!$B$13:$G$29,6,FALSE)</f>
        <v>3</v>
      </c>
      <c r="E226" s="768" t="s">
        <v>782</v>
      </c>
      <c r="F226" s="294" t="s">
        <v>960</v>
      </c>
      <c r="G226" s="295" t="s">
        <v>790</v>
      </c>
      <c r="H226" s="293" t="s">
        <v>477</v>
      </c>
      <c r="I226" s="296" t="str">
        <f>IF($M226="",0,VLOOKUP($M226,Kengetal,4,FALSE))</f>
        <v>sanitaire ruimte (toilet-/doucheruimte)</v>
      </c>
      <c r="J226" s="294" t="s">
        <v>476</v>
      </c>
      <c r="K226" s="297">
        <v>7.57</v>
      </c>
      <c r="L226" s="297"/>
      <c r="M226" s="298">
        <v>4200</v>
      </c>
      <c r="N226" s="299">
        <f t="shared" si="29"/>
        <v>200</v>
      </c>
      <c r="O226" s="483">
        <v>1</v>
      </c>
      <c r="P226" s="483">
        <v>1</v>
      </c>
      <c r="Q226" s="291">
        <f t="shared" si="30"/>
        <v>0</v>
      </c>
      <c r="R226" s="291">
        <f t="shared" si="31"/>
        <v>0</v>
      </c>
      <c r="S226" s="300">
        <f t="shared" si="34"/>
        <v>0</v>
      </c>
      <c r="T226" s="300">
        <f t="shared" si="35"/>
        <v>0</v>
      </c>
      <c r="U226" s="769" t="str">
        <f t="shared" si="28"/>
        <v>S</v>
      </c>
      <c r="V226" s="302"/>
      <c r="W226" s="303">
        <f>(Q226+R226)*'1.0-Contractblad'!$L$37</f>
        <v>0</v>
      </c>
      <c r="X226" s="303">
        <f ca="1">VLOOKUP(E226,'1.1a-Jaarprijzen'!$B$32:$Q$51,16,FALSE)*K226</f>
        <v>0</v>
      </c>
      <c r="Z226" s="771">
        <f t="shared" si="32"/>
        <v>1514</v>
      </c>
      <c r="AA226" s="491" t="str">
        <f t="shared" si="33"/>
        <v>4200-200</v>
      </c>
    </row>
    <row r="227" spans="2:27" s="489" customFormat="1" ht="15" hidden="1">
      <c r="B227" s="329"/>
      <c r="C227" s="330"/>
      <c r="D227" s="294">
        <f>VLOOKUP(E227,'1.1a-Jaarprijzen'!$B$13:$G$29,6,FALSE)</f>
        <v>3</v>
      </c>
      <c r="E227" s="768" t="s">
        <v>791</v>
      </c>
      <c r="F227" s="294" t="s">
        <v>387</v>
      </c>
      <c r="G227" s="295" t="s">
        <v>596</v>
      </c>
      <c r="H227" s="293" t="s">
        <v>404</v>
      </c>
      <c r="I227" s="296" t="str">
        <f>IF($M227="",0,VLOOKUP($M227,Kengetal,4,FALSE))</f>
        <v>leslokaal groep 1 t/m 3</v>
      </c>
      <c r="J227" s="294" t="s">
        <v>655</v>
      </c>
      <c r="K227" s="297">
        <v>60.58</v>
      </c>
      <c r="L227" s="297"/>
      <c r="M227" s="298">
        <v>7210</v>
      </c>
      <c r="N227" s="299">
        <f t="shared" si="29"/>
        <v>210</v>
      </c>
      <c r="O227" s="483">
        <v>1</v>
      </c>
      <c r="P227" s="483">
        <v>1</v>
      </c>
      <c r="Q227" s="291">
        <f t="shared" si="30"/>
        <v>0</v>
      </c>
      <c r="R227" s="291">
        <f t="shared" si="31"/>
        <v>0</v>
      </c>
      <c r="S227" s="300">
        <f t="shared" si="34"/>
        <v>0</v>
      </c>
      <c r="T227" s="300">
        <f t="shared" si="35"/>
        <v>0</v>
      </c>
      <c r="U227" s="769" t="str">
        <f t="shared" si="28"/>
        <v>L</v>
      </c>
      <c r="V227" s="302"/>
      <c r="W227" s="303">
        <f>(Q227+R227)*'1.0-Contractblad'!$L$37</f>
        <v>0</v>
      </c>
      <c r="X227" s="303">
        <f ca="1">VLOOKUP(E227,'1.1a-Jaarprijzen'!$B$32:$Q$51,16,FALSE)*K227</f>
        <v>0</v>
      </c>
      <c r="Z227" s="771">
        <f t="shared" si="32"/>
        <v>12721.8</v>
      </c>
      <c r="AA227" s="491" t="str">
        <f t="shared" si="33"/>
        <v>7210-210</v>
      </c>
    </row>
    <row r="228" spans="2:27" s="489" customFormat="1" ht="15" hidden="1">
      <c r="B228" s="329"/>
      <c r="C228" s="330"/>
      <c r="D228" s="294">
        <f>VLOOKUP(E228,'1.1a-Jaarprijzen'!$B$13:$G$29,6,FALSE)</f>
        <v>3</v>
      </c>
      <c r="E228" s="768" t="s">
        <v>791</v>
      </c>
      <c r="F228" s="294" t="s">
        <v>387</v>
      </c>
      <c r="G228" s="295" t="s">
        <v>597</v>
      </c>
      <c r="H228" s="293" t="s">
        <v>404</v>
      </c>
      <c r="I228" s="296" t="str">
        <f>IF($M228="",0,VLOOKUP($M228,Kengetal,4,FALSE))</f>
        <v>leslokaal groep 1 t/m 3</v>
      </c>
      <c r="J228" s="294" t="s">
        <v>655</v>
      </c>
      <c r="K228" s="297">
        <v>56.75</v>
      </c>
      <c r="L228" s="297"/>
      <c r="M228" s="298">
        <v>7200</v>
      </c>
      <c r="N228" s="299">
        <f t="shared" si="29"/>
        <v>200</v>
      </c>
      <c r="O228" s="483">
        <v>1</v>
      </c>
      <c r="P228" s="483">
        <v>1</v>
      </c>
      <c r="Q228" s="291">
        <f t="shared" si="30"/>
        <v>0</v>
      </c>
      <c r="R228" s="291">
        <f t="shared" si="31"/>
        <v>0</v>
      </c>
      <c r="S228" s="300">
        <f t="shared" si="34"/>
        <v>0</v>
      </c>
      <c r="T228" s="300">
        <f t="shared" si="35"/>
        <v>0</v>
      </c>
      <c r="U228" s="769" t="str">
        <f t="shared" si="28"/>
        <v>L</v>
      </c>
      <c r="V228" s="302"/>
      <c r="W228" s="303">
        <f>(Q228+R228)*'1.0-Contractblad'!$L$37</f>
        <v>0</v>
      </c>
      <c r="X228" s="303">
        <f ca="1">VLOOKUP(E228,'1.1a-Jaarprijzen'!$B$32:$Q$51,16,FALSE)*K228</f>
        <v>0</v>
      </c>
      <c r="Z228" s="771">
        <f t="shared" si="32"/>
        <v>11350</v>
      </c>
      <c r="AA228" s="491" t="str">
        <f t="shared" si="33"/>
        <v>7200-200</v>
      </c>
    </row>
    <row r="229" spans="2:27" s="489" customFormat="1" ht="15" hidden="1">
      <c r="B229" s="329"/>
      <c r="C229" s="330"/>
      <c r="D229" s="294">
        <f>VLOOKUP(E229,'1.1a-Jaarprijzen'!$B$13:$G$29,6,FALSE)</f>
        <v>3</v>
      </c>
      <c r="E229" s="768" t="s">
        <v>791</v>
      </c>
      <c r="F229" s="294" t="s">
        <v>387</v>
      </c>
      <c r="G229" s="295" t="s">
        <v>589</v>
      </c>
      <c r="H229" s="293" t="s">
        <v>404</v>
      </c>
      <c r="I229" s="296" t="str">
        <f t="shared" ref="I229:I268" si="36">IF($M229="",0,VLOOKUP($M229,Kengetal,4,FALSE))</f>
        <v>leslokaal groep 1 t/m 3</v>
      </c>
      <c r="J229" s="294" t="s">
        <v>655</v>
      </c>
      <c r="K229" s="297">
        <v>57.04</v>
      </c>
      <c r="L229" s="297"/>
      <c r="M229" s="298">
        <v>7210</v>
      </c>
      <c r="N229" s="299">
        <f t="shared" si="29"/>
        <v>210</v>
      </c>
      <c r="O229" s="483">
        <v>1</v>
      </c>
      <c r="P229" s="483">
        <v>1</v>
      </c>
      <c r="Q229" s="291">
        <f t="shared" si="30"/>
        <v>0</v>
      </c>
      <c r="R229" s="291">
        <f t="shared" si="31"/>
        <v>0</v>
      </c>
      <c r="S229" s="300">
        <f t="shared" si="34"/>
        <v>0</v>
      </c>
      <c r="T229" s="300">
        <f t="shared" si="35"/>
        <v>0</v>
      </c>
      <c r="U229" s="769" t="str">
        <f t="shared" ref="U229:U292" si="37">IF(M229="","",VLOOKUP(M229,Kengetal,14,FALSE))</f>
        <v>L</v>
      </c>
      <c r="V229" s="302"/>
      <c r="W229" s="303">
        <f>(Q229+R229)*'1.0-Contractblad'!$L$37</f>
        <v>0</v>
      </c>
      <c r="X229" s="303">
        <f ca="1">VLOOKUP(E229,'1.1a-Jaarprijzen'!$B$32:$Q$51,16,FALSE)*K229</f>
        <v>0</v>
      </c>
      <c r="Z229" s="771">
        <f t="shared" si="32"/>
        <v>11978.4</v>
      </c>
      <c r="AA229" s="491" t="str">
        <f t="shared" si="33"/>
        <v>7210-210</v>
      </c>
    </row>
    <row r="230" spans="2:27" s="489" customFormat="1" ht="15" hidden="1">
      <c r="B230" s="329"/>
      <c r="C230" s="330"/>
      <c r="D230" s="294">
        <f>VLOOKUP(E230,'1.1a-Jaarprijzen'!$B$13:$G$29,6,FALSE)</f>
        <v>3</v>
      </c>
      <c r="E230" s="768" t="s">
        <v>791</v>
      </c>
      <c r="F230" s="294" t="s">
        <v>387</v>
      </c>
      <c r="G230" s="295" t="s">
        <v>590</v>
      </c>
      <c r="H230" s="293" t="s">
        <v>404</v>
      </c>
      <c r="I230" s="296" t="str">
        <f t="shared" si="36"/>
        <v>leslokaal groep 1 t/m 3</v>
      </c>
      <c r="J230" s="294" t="s">
        <v>655</v>
      </c>
      <c r="K230" s="297">
        <v>57.28</v>
      </c>
      <c r="L230" s="297"/>
      <c r="M230" s="298">
        <v>7210</v>
      </c>
      <c r="N230" s="299">
        <f t="shared" ref="N230:N293" si="38">VLOOKUP(M230,Kengetal,3,FALSE)</f>
        <v>210</v>
      </c>
      <c r="O230" s="483">
        <v>1</v>
      </c>
      <c r="P230" s="483">
        <v>1</v>
      </c>
      <c r="Q230" s="291">
        <f t="shared" ref="Q230:Q293" si="39">S230*K230*O230</f>
        <v>0</v>
      </c>
      <c r="R230" s="291">
        <f t="shared" ref="R230:R293" si="40">T230*K230*P230</f>
        <v>0</v>
      </c>
      <c r="S230" s="300">
        <f t="shared" si="34"/>
        <v>0</v>
      </c>
      <c r="T230" s="300">
        <f t="shared" si="35"/>
        <v>0</v>
      </c>
      <c r="U230" s="769" t="str">
        <f t="shared" si="37"/>
        <v>L</v>
      </c>
      <c r="V230" s="302"/>
      <c r="W230" s="303">
        <f>(Q230+R230)*'1.0-Contractblad'!$L$37</f>
        <v>0</v>
      </c>
      <c r="X230" s="303">
        <f ca="1">VLOOKUP(E230,'1.1a-Jaarprijzen'!$B$32:$Q$51,16,FALSE)*K230</f>
        <v>0</v>
      </c>
      <c r="Z230" s="771">
        <f t="shared" ref="Z230:Z293" si="41">K230*N230</f>
        <v>12028.800000000001</v>
      </c>
      <c r="AA230" s="491" t="str">
        <f t="shared" ref="AA230:AA293" si="42">CONCATENATE(M230,"-",N230)</f>
        <v>7210-210</v>
      </c>
    </row>
    <row r="231" spans="2:27" s="489" customFormat="1" ht="15" hidden="1">
      <c r="B231" s="329"/>
      <c r="C231" s="330"/>
      <c r="D231" s="294">
        <f>VLOOKUP(E231,'1.1a-Jaarprijzen'!$B$13:$G$29,6,FALSE)</f>
        <v>3</v>
      </c>
      <c r="E231" s="768" t="s">
        <v>791</v>
      </c>
      <c r="F231" s="294" t="s">
        <v>387</v>
      </c>
      <c r="G231" s="295" t="s">
        <v>591</v>
      </c>
      <c r="H231" s="293" t="s">
        <v>404</v>
      </c>
      <c r="I231" s="296" t="str">
        <f t="shared" si="36"/>
        <v>leslokaal groep 1 t/m 3</v>
      </c>
      <c r="J231" s="294" t="s">
        <v>655</v>
      </c>
      <c r="K231" s="297">
        <v>56.12</v>
      </c>
      <c r="L231" s="297"/>
      <c r="M231" s="298">
        <v>7200</v>
      </c>
      <c r="N231" s="299">
        <f t="shared" si="38"/>
        <v>200</v>
      </c>
      <c r="O231" s="483">
        <v>1</v>
      </c>
      <c r="P231" s="483">
        <v>1</v>
      </c>
      <c r="Q231" s="291">
        <f t="shared" si="39"/>
        <v>0</v>
      </c>
      <c r="R231" s="291">
        <f t="shared" si="40"/>
        <v>0</v>
      </c>
      <c r="S231" s="300">
        <f t="shared" si="34"/>
        <v>0</v>
      </c>
      <c r="T231" s="300">
        <f t="shared" si="35"/>
        <v>0</v>
      </c>
      <c r="U231" s="769" t="str">
        <f t="shared" si="37"/>
        <v>L</v>
      </c>
      <c r="V231" s="302"/>
      <c r="W231" s="303">
        <f>(Q231+R231)*'1.0-Contractblad'!$L$37</f>
        <v>0</v>
      </c>
      <c r="X231" s="303">
        <f ca="1">VLOOKUP(E231,'1.1a-Jaarprijzen'!$B$32:$Q$51,16,FALSE)*K231</f>
        <v>0</v>
      </c>
      <c r="Z231" s="771">
        <f t="shared" si="41"/>
        <v>11224</v>
      </c>
      <c r="AA231" s="491" t="str">
        <f t="shared" si="42"/>
        <v>7200-200</v>
      </c>
    </row>
    <row r="232" spans="2:27" s="489" customFormat="1" ht="15" hidden="1">
      <c r="B232" s="329"/>
      <c r="C232" s="330"/>
      <c r="D232" s="294">
        <f>VLOOKUP(E232,'1.1a-Jaarprijzen'!$B$13:$G$29,6,FALSE)</f>
        <v>3</v>
      </c>
      <c r="E232" s="770" t="s">
        <v>791</v>
      </c>
      <c r="F232" s="294" t="s">
        <v>387</v>
      </c>
      <c r="G232" s="295" t="s">
        <v>728</v>
      </c>
      <c r="H232" s="293" t="s">
        <v>967</v>
      </c>
      <c r="I232" s="296" t="str">
        <f t="shared" si="36"/>
        <v>Kinderopvang</v>
      </c>
      <c r="J232" s="294" t="s">
        <v>655</v>
      </c>
      <c r="K232" s="297">
        <v>56.91</v>
      </c>
      <c r="L232" s="297"/>
      <c r="M232" s="298">
        <v>22210</v>
      </c>
      <c r="N232" s="299">
        <f t="shared" si="38"/>
        <v>210</v>
      </c>
      <c r="O232" s="483">
        <v>1</v>
      </c>
      <c r="P232" s="483">
        <v>1</v>
      </c>
      <c r="Q232" s="291">
        <f t="shared" si="39"/>
        <v>0</v>
      </c>
      <c r="R232" s="291">
        <f t="shared" si="40"/>
        <v>0</v>
      </c>
      <c r="S232" s="300">
        <f t="shared" si="34"/>
        <v>0</v>
      </c>
      <c r="T232" s="300">
        <f t="shared" si="35"/>
        <v>0</v>
      </c>
      <c r="U232" s="769" t="str">
        <f t="shared" si="37"/>
        <v>L</v>
      </c>
      <c r="V232" s="302"/>
      <c r="W232" s="303">
        <f>(Q232+R232)*'1.0-Contractblad'!$L$37</f>
        <v>0</v>
      </c>
      <c r="X232" s="303">
        <f ca="1">VLOOKUP(E232,'1.1a-Jaarprijzen'!$B$32:$Q$51,16,FALSE)*K232</f>
        <v>0</v>
      </c>
      <c r="Z232" s="771">
        <f t="shared" si="41"/>
        <v>11951.099999999999</v>
      </c>
      <c r="AA232" s="491" t="str">
        <f t="shared" si="42"/>
        <v>22210-210</v>
      </c>
    </row>
    <row r="233" spans="2:27" s="489" customFormat="1" ht="15" hidden="1">
      <c r="B233" s="329"/>
      <c r="C233" s="330"/>
      <c r="D233" s="294">
        <f>VLOOKUP(E233,'1.1a-Jaarprijzen'!$B$13:$G$29,6,FALSE)</f>
        <v>3</v>
      </c>
      <c r="E233" s="768" t="s">
        <v>791</v>
      </c>
      <c r="F233" s="294" t="s">
        <v>387</v>
      </c>
      <c r="G233" s="295" t="s">
        <v>729</v>
      </c>
      <c r="H233" s="293" t="s">
        <v>404</v>
      </c>
      <c r="I233" s="296" t="str">
        <f t="shared" si="36"/>
        <v>leslokaal groep 1 t/m 3</v>
      </c>
      <c r="J233" s="294" t="s">
        <v>655</v>
      </c>
      <c r="K233" s="297">
        <v>56.66</v>
      </c>
      <c r="L233" s="297"/>
      <c r="M233" s="298">
        <v>7200</v>
      </c>
      <c r="N233" s="299">
        <f t="shared" si="38"/>
        <v>200</v>
      </c>
      <c r="O233" s="483">
        <v>1</v>
      </c>
      <c r="P233" s="483">
        <v>1</v>
      </c>
      <c r="Q233" s="291">
        <f t="shared" si="39"/>
        <v>0</v>
      </c>
      <c r="R233" s="291">
        <f t="shared" si="40"/>
        <v>0</v>
      </c>
      <c r="S233" s="300">
        <f t="shared" si="34"/>
        <v>0</v>
      </c>
      <c r="T233" s="300">
        <f t="shared" si="35"/>
        <v>0</v>
      </c>
      <c r="U233" s="769" t="str">
        <f t="shared" si="37"/>
        <v>L</v>
      </c>
      <c r="V233" s="302"/>
      <c r="W233" s="303">
        <f>(Q233+R233)*'1.0-Contractblad'!$L$37</f>
        <v>0</v>
      </c>
      <c r="X233" s="303">
        <f ca="1">VLOOKUP(E233,'1.1a-Jaarprijzen'!$B$32:$Q$51,16,FALSE)*K233</f>
        <v>0</v>
      </c>
      <c r="Z233" s="771">
        <f t="shared" si="41"/>
        <v>11332</v>
      </c>
      <c r="AA233" s="491" t="str">
        <f t="shared" si="42"/>
        <v>7200-200</v>
      </c>
    </row>
    <row r="234" spans="2:27" s="489" customFormat="1" ht="15" hidden="1">
      <c r="B234" s="329"/>
      <c r="C234" s="330"/>
      <c r="D234" s="294">
        <f>VLOOKUP(E234,'1.1a-Jaarprijzen'!$B$13:$G$29,6,FALSE)</f>
        <v>3</v>
      </c>
      <c r="E234" s="768" t="s">
        <v>791</v>
      </c>
      <c r="F234" s="294" t="s">
        <v>387</v>
      </c>
      <c r="G234" s="295" t="s">
        <v>592</v>
      </c>
      <c r="H234" s="293" t="s">
        <v>404</v>
      </c>
      <c r="I234" s="296" t="str">
        <f t="shared" si="36"/>
        <v>leslokaal groep 1 t/m 3</v>
      </c>
      <c r="J234" s="294" t="s">
        <v>655</v>
      </c>
      <c r="K234" s="297">
        <v>56.78</v>
      </c>
      <c r="L234" s="297"/>
      <c r="M234" s="298">
        <v>7200</v>
      </c>
      <c r="N234" s="299">
        <f t="shared" si="38"/>
        <v>200</v>
      </c>
      <c r="O234" s="483">
        <v>1</v>
      </c>
      <c r="P234" s="483">
        <v>1</v>
      </c>
      <c r="Q234" s="291">
        <f t="shared" si="39"/>
        <v>0</v>
      </c>
      <c r="R234" s="291">
        <f t="shared" si="40"/>
        <v>0</v>
      </c>
      <c r="S234" s="300">
        <f t="shared" si="34"/>
        <v>0</v>
      </c>
      <c r="T234" s="300">
        <f t="shared" si="35"/>
        <v>0</v>
      </c>
      <c r="U234" s="769" t="str">
        <f t="shared" si="37"/>
        <v>L</v>
      </c>
      <c r="V234" s="302"/>
      <c r="W234" s="303">
        <f>(Q234+R234)*'1.0-Contractblad'!$L$37</f>
        <v>0</v>
      </c>
      <c r="X234" s="303">
        <f ca="1">VLOOKUP(E234,'1.1a-Jaarprijzen'!$B$32:$Q$51,16,FALSE)*K234</f>
        <v>0</v>
      </c>
      <c r="Z234" s="771">
        <f t="shared" si="41"/>
        <v>11356</v>
      </c>
      <c r="AA234" s="491" t="str">
        <f t="shared" si="42"/>
        <v>7200-200</v>
      </c>
    </row>
    <row r="235" spans="2:27" s="489" customFormat="1" ht="15" hidden="1">
      <c r="B235" s="329"/>
      <c r="C235" s="330"/>
      <c r="D235" s="294">
        <f>VLOOKUP(E235,'1.1a-Jaarprijzen'!$B$13:$G$29,6,FALSE)</f>
        <v>3</v>
      </c>
      <c r="E235" s="768" t="s">
        <v>791</v>
      </c>
      <c r="F235" s="294" t="s">
        <v>387</v>
      </c>
      <c r="G235" s="295" t="s">
        <v>731</v>
      </c>
      <c r="H235" s="293" t="s">
        <v>792</v>
      </c>
      <c r="I235" s="296" t="str">
        <f t="shared" si="36"/>
        <v>sanitaire ruimte (toilet-/doucheruimte)</v>
      </c>
      <c r="J235" s="294" t="s">
        <v>682</v>
      </c>
      <c r="K235" s="297">
        <v>5.21</v>
      </c>
      <c r="L235" s="297"/>
      <c r="M235" s="298">
        <v>4210</v>
      </c>
      <c r="N235" s="299">
        <f t="shared" si="38"/>
        <v>210</v>
      </c>
      <c r="O235" s="483">
        <v>1</v>
      </c>
      <c r="P235" s="483">
        <v>1</v>
      </c>
      <c r="Q235" s="291">
        <f t="shared" si="39"/>
        <v>0</v>
      </c>
      <c r="R235" s="291">
        <f t="shared" si="40"/>
        <v>0</v>
      </c>
      <c r="S235" s="300">
        <f t="shared" si="34"/>
        <v>0</v>
      </c>
      <c r="T235" s="300">
        <f t="shared" si="35"/>
        <v>0</v>
      </c>
      <c r="U235" s="769" t="str">
        <f t="shared" si="37"/>
        <v>S</v>
      </c>
      <c r="V235" s="302"/>
      <c r="W235" s="303">
        <f>(Q235+R235)*'1.0-Contractblad'!$L$37</f>
        <v>0</v>
      </c>
      <c r="X235" s="303">
        <f ca="1">VLOOKUP(E235,'1.1a-Jaarprijzen'!$B$32:$Q$51,16,FALSE)*K235</f>
        <v>0</v>
      </c>
      <c r="Z235" s="771">
        <f t="shared" si="41"/>
        <v>1094.0999999999999</v>
      </c>
      <c r="AA235" s="491" t="str">
        <f t="shared" si="42"/>
        <v>4210-210</v>
      </c>
    </row>
    <row r="236" spans="2:27" s="489" customFormat="1" ht="15" hidden="1">
      <c r="B236" s="329"/>
      <c r="C236" s="330"/>
      <c r="D236" s="294">
        <f>VLOOKUP(E236,'1.1a-Jaarprijzen'!$B$13:$G$29,6,FALSE)</f>
        <v>3</v>
      </c>
      <c r="E236" s="768" t="s">
        <v>791</v>
      </c>
      <c r="F236" s="294" t="s">
        <v>387</v>
      </c>
      <c r="G236" s="295" t="s">
        <v>602</v>
      </c>
      <c r="H236" s="293" t="s">
        <v>792</v>
      </c>
      <c r="I236" s="296" t="str">
        <f t="shared" si="36"/>
        <v>sanitaire ruimte (toilet-/doucheruimte)</v>
      </c>
      <c r="J236" s="294" t="s">
        <v>682</v>
      </c>
      <c r="K236" s="297">
        <v>5.07</v>
      </c>
      <c r="L236" s="297"/>
      <c r="M236" s="298">
        <v>4210</v>
      </c>
      <c r="N236" s="299">
        <f t="shared" si="38"/>
        <v>210</v>
      </c>
      <c r="O236" s="483">
        <v>1</v>
      </c>
      <c r="P236" s="483">
        <v>1</v>
      </c>
      <c r="Q236" s="291">
        <f t="shared" si="39"/>
        <v>0</v>
      </c>
      <c r="R236" s="291">
        <f t="shared" si="40"/>
        <v>0</v>
      </c>
      <c r="S236" s="300">
        <f t="shared" si="34"/>
        <v>0</v>
      </c>
      <c r="T236" s="300">
        <f t="shared" si="35"/>
        <v>0</v>
      </c>
      <c r="U236" s="769" t="str">
        <f t="shared" si="37"/>
        <v>S</v>
      </c>
      <c r="V236" s="302"/>
      <c r="W236" s="303">
        <f>(Q236+R236)*'1.0-Contractblad'!$L$37</f>
        <v>0</v>
      </c>
      <c r="X236" s="303">
        <f ca="1">VLOOKUP(E236,'1.1a-Jaarprijzen'!$B$32:$Q$51,16,FALSE)*K236</f>
        <v>0</v>
      </c>
      <c r="Z236" s="771">
        <f t="shared" si="41"/>
        <v>1064.7</v>
      </c>
      <c r="AA236" s="491" t="str">
        <f t="shared" si="42"/>
        <v>4210-210</v>
      </c>
    </row>
    <row r="237" spans="2:27" s="489" customFormat="1" ht="15" hidden="1">
      <c r="B237" s="329"/>
      <c r="C237" s="330"/>
      <c r="D237" s="294">
        <f>VLOOKUP(E237,'1.1a-Jaarprijzen'!$B$13:$G$29,6,FALSE)</f>
        <v>3</v>
      </c>
      <c r="E237" s="785" t="s">
        <v>791</v>
      </c>
      <c r="F237" s="294" t="s">
        <v>387</v>
      </c>
      <c r="G237" s="295" t="s">
        <v>603</v>
      </c>
      <c r="H237" s="293" t="s">
        <v>792</v>
      </c>
      <c r="I237" s="296" t="str">
        <f t="shared" si="36"/>
        <v>sanitaire ruimte (toilet-/doucheruimte)</v>
      </c>
      <c r="J237" s="294" t="s">
        <v>682</v>
      </c>
      <c r="K237" s="297">
        <v>20.72</v>
      </c>
      <c r="L237" s="297"/>
      <c r="M237" s="298">
        <v>4210</v>
      </c>
      <c r="N237" s="299">
        <f t="shared" si="38"/>
        <v>210</v>
      </c>
      <c r="O237" s="483">
        <v>1</v>
      </c>
      <c r="P237" s="483">
        <v>1</v>
      </c>
      <c r="Q237" s="291">
        <f t="shared" si="39"/>
        <v>0</v>
      </c>
      <c r="R237" s="291">
        <f t="shared" si="40"/>
        <v>0</v>
      </c>
      <c r="S237" s="300">
        <f t="shared" si="34"/>
        <v>0</v>
      </c>
      <c r="T237" s="300">
        <f t="shared" si="35"/>
        <v>0</v>
      </c>
      <c r="U237" s="769" t="str">
        <f t="shared" si="37"/>
        <v>S</v>
      </c>
      <c r="V237" s="302" t="s">
        <v>1036</v>
      </c>
      <c r="W237" s="303">
        <f>(Q237+R237)*'1.0-Contractblad'!$L$37</f>
        <v>0</v>
      </c>
      <c r="X237" s="303">
        <f ca="1">VLOOKUP(E237,'1.1a-Jaarprijzen'!$B$32:$Q$51,16,FALSE)*K237</f>
        <v>0</v>
      </c>
      <c r="Z237" s="771">
        <f t="shared" si="41"/>
        <v>4351.2</v>
      </c>
      <c r="AA237" s="491" t="str">
        <f t="shared" si="42"/>
        <v>4210-210</v>
      </c>
    </row>
    <row r="238" spans="2:27" s="489" customFormat="1" ht="15" hidden="1">
      <c r="B238" s="329"/>
      <c r="C238" s="330"/>
      <c r="D238" s="294">
        <f>VLOOKUP(E238,'1.1a-Jaarprijzen'!$B$13:$G$29,6,FALSE)</f>
        <v>3</v>
      </c>
      <c r="E238" s="770" t="s">
        <v>791</v>
      </c>
      <c r="F238" s="294" t="s">
        <v>387</v>
      </c>
      <c r="G238" s="295" t="s">
        <v>604</v>
      </c>
      <c r="H238" s="293" t="s">
        <v>963</v>
      </c>
      <c r="I238" s="296" t="str">
        <f t="shared" si="36"/>
        <v>sanitaire ruimte (toilet-/doucheruimte)</v>
      </c>
      <c r="J238" s="294" t="s">
        <v>682</v>
      </c>
      <c r="K238" s="297">
        <v>8.1</v>
      </c>
      <c r="L238" s="297"/>
      <c r="M238" s="298">
        <v>4210</v>
      </c>
      <c r="N238" s="299">
        <f t="shared" si="38"/>
        <v>210</v>
      </c>
      <c r="O238" s="483">
        <v>1</v>
      </c>
      <c r="P238" s="483">
        <v>1</v>
      </c>
      <c r="Q238" s="291">
        <f t="shared" si="39"/>
        <v>0</v>
      </c>
      <c r="R238" s="291">
        <f t="shared" si="40"/>
        <v>0</v>
      </c>
      <c r="S238" s="300">
        <f t="shared" si="34"/>
        <v>0</v>
      </c>
      <c r="T238" s="300">
        <f t="shared" si="35"/>
        <v>0</v>
      </c>
      <c r="U238" s="769" t="str">
        <f t="shared" si="37"/>
        <v>S</v>
      </c>
      <c r="V238" s="302"/>
      <c r="W238" s="303">
        <f>(Q238+R238)*'1.0-Contractblad'!$L$37</f>
        <v>0</v>
      </c>
      <c r="X238" s="303">
        <f ca="1">VLOOKUP(E238,'1.1a-Jaarprijzen'!$B$32:$Q$51,16,FALSE)*K238</f>
        <v>0</v>
      </c>
      <c r="Z238" s="771">
        <f t="shared" si="41"/>
        <v>1701</v>
      </c>
      <c r="AA238" s="491" t="str">
        <f t="shared" si="42"/>
        <v>4210-210</v>
      </c>
    </row>
    <row r="239" spans="2:27" s="489" customFormat="1" ht="15" hidden="1">
      <c r="B239" s="329"/>
      <c r="C239" s="330"/>
      <c r="D239" s="294">
        <f>VLOOKUP(E239,'1.1a-Jaarprijzen'!$B$13:$G$29,6,FALSE)</f>
        <v>3</v>
      </c>
      <c r="E239" s="768" t="s">
        <v>791</v>
      </c>
      <c r="F239" s="294" t="s">
        <v>387</v>
      </c>
      <c r="G239" s="295" t="s">
        <v>793</v>
      </c>
      <c r="H239" s="293" t="s">
        <v>792</v>
      </c>
      <c r="I239" s="296" t="str">
        <f t="shared" si="36"/>
        <v>sanitaire ruimte (toilet-/doucheruimte)</v>
      </c>
      <c r="J239" s="294" t="s">
        <v>682</v>
      </c>
      <c r="K239" s="297">
        <v>10.88</v>
      </c>
      <c r="L239" s="297"/>
      <c r="M239" s="298">
        <v>4210</v>
      </c>
      <c r="N239" s="299">
        <f t="shared" si="38"/>
        <v>210</v>
      </c>
      <c r="O239" s="483">
        <v>1</v>
      </c>
      <c r="P239" s="483">
        <v>1</v>
      </c>
      <c r="Q239" s="291">
        <f t="shared" si="39"/>
        <v>0</v>
      </c>
      <c r="R239" s="291">
        <f t="shared" si="40"/>
        <v>0</v>
      </c>
      <c r="S239" s="300">
        <f t="shared" si="34"/>
        <v>0</v>
      </c>
      <c r="T239" s="300">
        <f t="shared" si="35"/>
        <v>0</v>
      </c>
      <c r="U239" s="769" t="str">
        <f t="shared" si="37"/>
        <v>S</v>
      </c>
      <c r="V239" s="302"/>
      <c r="W239" s="303">
        <f>(Q239+R239)*'1.0-Contractblad'!$L$37</f>
        <v>0</v>
      </c>
      <c r="X239" s="303">
        <f ca="1">VLOOKUP(E239,'1.1a-Jaarprijzen'!$B$32:$Q$51,16,FALSE)*K239</f>
        <v>0</v>
      </c>
      <c r="Z239" s="771">
        <f t="shared" si="41"/>
        <v>2284.8000000000002</v>
      </c>
      <c r="AA239" s="491" t="str">
        <f t="shared" si="42"/>
        <v>4210-210</v>
      </c>
    </row>
    <row r="240" spans="2:27" s="489" customFormat="1" ht="15" hidden="1">
      <c r="B240" s="329"/>
      <c r="C240" s="330"/>
      <c r="D240" s="294">
        <f>VLOOKUP(E240,'1.1a-Jaarprijzen'!$B$13:$G$29,6,FALSE)</f>
        <v>3</v>
      </c>
      <c r="E240" s="768" t="s">
        <v>791</v>
      </c>
      <c r="F240" s="294" t="s">
        <v>387</v>
      </c>
      <c r="G240" s="295" t="s">
        <v>727</v>
      </c>
      <c r="H240" s="293" t="s">
        <v>394</v>
      </c>
      <c r="I240" s="296" t="str">
        <f t="shared" si="36"/>
        <v>entree, gang, hal, repro</v>
      </c>
      <c r="J240" s="294" t="s">
        <v>656</v>
      </c>
      <c r="K240" s="297">
        <v>8.0299999999999994</v>
      </c>
      <c r="L240" s="297"/>
      <c r="M240" s="298">
        <v>3210</v>
      </c>
      <c r="N240" s="299">
        <f t="shared" si="38"/>
        <v>210</v>
      </c>
      <c r="O240" s="483">
        <v>1</v>
      </c>
      <c r="P240" s="483">
        <v>1</v>
      </c>
      <c r="Q240" s="291">
        <f t="shared" si="39"/>
        <v>0</v>
      </c>
      <c r="R240" s="291">
        <f t="shared" si="40"/>
        <v>0</v>
      </c>
      <c r="S240" s="300">
        <f t="shared" si="34"/>
        <v>0</v>
      </c>
      <c r="T240" s="300">
        <f t="shared" si="35"/>
        <v>0</v>
      </c>
      <c r="U240" s="769" t="str">
        <f t="shared" si="37"/>
        <v>V</v>
      </c>
      <c r="V240" s="302"/>
      <c r="W240" s="303">
        <f>(Q240+R240)*'1.0-Contractblad'!$L$37</f>
        <v>0</v>
      </c>
      <c r="X240" s="303">
        <f ca="1">VLOOKUP(E240,'1.1a-Jaarprijzen'!$B$32:$Q$51,16,FALSE)*K240</f>
        <v>0</v>
      </c>
      <c r="Z240" s="771">
        <f t="shared" si="41"/>
        <v>1686.3</v>
      </c>
      <c r="AA240" s="491" t="str">
        <f t="shared" si="42"/>
        <v>3210-210</v>
      </c>
    </row>
    <row r="241" spans="2:27" s="489" customFormat="1" ht="15" hidden="1">
      <c r="B241" s="329"/>
      <c r="C241" s="330"/>
      <c r="D241" s="294">
        <f>VLOOKUP(E241,'1.1a-Jaarprijzen'!$B$13:$G$29,6,FALSE)</f>
        <v>3</v>
      </c>
      <c r="E241" s="785" t="s">
        <v>791</v>
      </c>
      <c r="F241" s="294" t="s">
        <v>387</v>
      </c>
      <c r="G241" s="295" t="s">
        <v>593</v>
      </c>
      <c r="H241" s="293" t="s">
        <v>388</v>
      </c>
      <c r="I241" s="296" t="str">
        <f t="shared" si="36"/>
        <v>entree, gang, hal, repro</v>
      </c>
      <c r="J241" s="294" t="s">
        <v>655</v>
      </c>
      <c r="K241" s="297">
        <v>57.35</v>
      </c>
      <c r="L241" s="297"/>
      <c r="M241" s="298">
        <v>3210</v>
      </c>
      <c r="N241" s="299">
        <f t="shared" si="38"/>
        <v>210</v>
      </c>
      <c r="O241" s="483">
        <v>1</v>
      </c>
      <c r="P241" s="483">
        <v>1</v>
      </c>
      <c r="Q241" s="291">
        <f t="shared" si="39"/>
        <v>0</v>
      </c>
      <c r="R241" s="291">
        <f t="shared" si="40"/>
        <v>0</v>
      </c>
      <c r="S241" s="300">
        <f t="shared" si="34"/>
        <v>0</v>
      </c>
      <c r="T241" s="300">
        <f t="shared" si="35"/>
        <v>0</v>
      </c>
      <c r="U241" s="769" t="str">
        <f t="shared" si="37"/>
        <v>V</v>
      </c>
      <c r="V241" s="302" t="s">
        <v>1036</v>
      </c>
      <c r="W241" s="303">
        <f>(Q241+R241)*'1.0-Contractblad'!$L$37</f>
        <v>0</v>
      </c>
      <c r="X241" s="303">
        <f ca="1">VLOOKUP(E241,'1.1a-Jaarprijzen'!$B$32:$Q$51,16,FALSE)*K241</f>
        <v>0</v>
      </c>
      <c r="Z241" s="771">
        <f t="shared" si="41"/>
        <v>12043.5</v>
      </c>
      <c r="AA241" s="491" t="str">
        <f t="shared" si="42"/>
        <v>3210-210</v>
      </c>
    </row>
    <row r="242" spans="2:27" s="489" customFormat="1" ht="15" hidden="1">
      <c r="B242" s="329"/>
      <c r="C242" s="330"/>
      <c r="D242" s="294">
        <f>VLOOKUP(E242,'1.1a-Jaarprijzen'!$B$13:$G$29,6,FALSE)</f>
        <v>3</v>
      </c>
      <c r="E242" s="768" t="s">
        <v>791</v>
      </c>
      <c r="F242" s="294" t="s">
        <v>387</v>
      </c>
      <c r="G242" s="295" t="s">
        <v>594</v>
      </c>
      <c r="H242" s="293" t="s">
        <v>388</v>
      </c>
      <c r="I242" s="296" t="str">
        <f t="shared" si="36"/>
        <v>entree, gang, hal, repro</v>
      </c>
      <c r="J242" s="294" t="s">
        <v>655</v>
      </c>
      <c r="K242" s="297">
        <v>12.92</v>
      </c>
      <c r="L242" s="297"/>
      <c r="M242" s="298">
        <v>3210</v>
      </c>
      <c r="N242" s="299">
        <f t="shared" si="38"/>
        <v>210</v>
      </c>
      <c r="O242" s="483">
        <v>1</v>
      </c>
      <c r="P242" s="483">
        <v>1</v>
      </c>
      <c r="Q242" s="291">
        <f t="shared" si="39"/>
        <v>0</v>
      </c>
      <c r="R242" s="291">
        <f t="shared" si="40"/>
        <v>0</v>
      </c>
      <c r="S242" s="300">
        <f t="shared" si="34"/>
        <v>0</v>
      </c>
      <c r="T242" s="300">
        <f t="shared" si="35"/>
        <v>0</v>
      </c>
      <c r="U242" s="769" t="str">
        <f t="shared" si="37"/>
        <v>V</v>
      </c>
      <c r="V242" s="302"/>
      <c r="W242" s="303">
        <f>(Q242+R242)*'1.0-Contractblad'!$L$37</f>
        <v>0</v>
      </c>
      <c r="X242" s="303">
        <f ca="1">VLOOKUP(E242,'1.1a-Jaarprijzen'!$B$32:$Q$51,16,FALSE)*K242</f>
        <v>0</v>
      </c>
      <c r="Z242" s="771">
        <f t="shared" si="41"/>
        <v>2713.2</v>
      </c>
      <c r="AA242" s="491" t="str">
        <f t="shared" si="42"/>
        <v>3210-210</v>
      </c>
    </row>
    <row r="243" spans="2:27" s="489" customFormat="1" ht="15" hidden="1">
      <c r="B243" s="329"/>
      <c r="C243" s="330"/>
      <c r="D243" s="294">
        <f>VLOOKUP(E243,'1.1a-Jaarprijzen'!$B$13:$G$29,6,FALSE)</f>
        <v>3</v>
      </c>
      <c r="E243" s="785" t="s">
        <v>791</v>
      </c>
      <c r="F243" s="294" t="s">
        <v>387</v>
      </c>
      <c r="G243" s="295" t="s">
        <v>794</v>
      </c>
      <c r="H243" s="293" t="s">
        <v>388</v>
      </c>
      <c r="I243" s="296" t="str">
        <f t="shared" si="36"/>
        <v>entree, gang, hal, repro</v>
      </c>
      <c r="J243" s="294" t="s">
        <v>655</v>
      </c>
      <c r="K243" s="297">
        <v>48.73</v>
      </c>
      <c r="L243" s="297"/>
      <c r="M243" s="298">
        <v>3210</v>
      </c>
      <c r="N243" s="299">
        <f t="shared" si="38"/>
        <v>210</v>
      </c>
      <c r="O243" s="483">
        <v>1</v>
      </c>
      <c r="P243" s="483">
        <v>1</v>
      </c>
      <c r="Q243" s="291">
        <f t="shared" si="39"/>
        <v>0</v>
      </c>
      <c r="R243" s="291">
        <f t="shared" si="40"/>
        <v>0</v>
      </c>
      <c r="S243" s="300">
        <f t="shared" si="34"/>
        <v>0</v>
      </c>
      <c r="T243" s="300">
        <f t="shared" si="35"/>
        <v>0</v>
      </c>
      <c r="U243" s="769" t="str">
        <f t="shared" si="37"/>
        <v>V</v>
      </c>
      <c r="V243" s="302" t="s">
        <v>1036</v>
      </c>
      <c r="W243" s="303">
        <f>(Q243+R243)*'1.0-Contractblad'!$L$37</f>
        <v>0</v>
      </c>
      <c r="X243" s="303">
        <f ca="1">VLOOKUP(E243,'1.1a-Jaarprijzen'!$B$32:$Q$51,16,FALSE)*K243</f>
        <v>0</v>
      </c>
      <c r="Z243" s="771">
        <f t="shared" si="41"/>
        <v>10233.299999999999</v>
      </c>
      <c r="AA243" s="491" t="str">
        <f t="shared" si="42"/>
        <v>3210-210</v>
      </c>
    </row>
    <row r="244" spans="2:27" s="489" customFormat="1" ht="15" hidden="1">
      <c r="B244" s="329"/>
      <c r="C244" s="330"/>
      <c r="D244" s="294">
        <f>VLOOKUP(E244,'1.1a-Jaarprijzen'!$B$13:$G$29,6,FALSE)</f>
        <v>3</v>
      </c>
      <c r="E244" s="785" t="s">
        <v>791</v>
      </c>
      <c r="F244" s="294" t="s">
        <v>387</v>
      </c>
      <c r="G244" s="295" t="s">
        <v>595</v>
      </c>
      <c r="H244" s="293" t="s">
        <v>394</v>
      </c>
      <c r="I244" s="296" t="str">
        <f t="shared" si="36"/>
        <v>entree, gang, hal, repro</v>
      </c>
      <c r="J244" s="294" t="s">
        <v>656</v>
      </c>
      <c r="K244" s="297">
        <v>4.55</v>
      </c>
      <c r="L244" s="297"/>
      <c r="M244" s="298">
        <v>3210</v>
      </c>
      <c r="N244" s="299">
        <f t="shared" si="38"/>
        <v>210</v>
      </c>
      <c r="O244" s="483">
        <v>1</v>
      </c>
      <c r="P244" s="483">
        <v>1</v>
      </c>
      <c r="Q244" s="291">
        <f t="shared" si="39"/>
        <v>0</v>
      </c>
      <c r="R244" s="291">
        <f t="shared" si="40"/>
        <v>0</v>
      </c>
      <c r="S244" s="300">
        <f t="shared" si="34"/>
        <v>0</v>
      </c>
      <c r="T244" s="300">
        <f t="shared" si="35"/>
        <v>0</v>
      </c>
      <c r="U244" s="769" t="str">
        <f t="shared" si="37"/>
        <v>V</v>
      </c>
      <c r="V244" s="302" t="s">
        <v>1036</v>
      </c>
      <c r="W244" s="303">
        <f>(Q244+R244)*'1.0-Contractblad'!$L$37</f>
        <v>0</v>
      </c>
      <c r="X244" s="303">
        <f ca="1">VLOOKUP(E244,'1.1a-Jaarprijzen'!$B$32:$Q$51,16,FALSE)*K244</f>
        <v>0</v>
      </c>
      <c r="Z244" s="771">
        <f t="shared" si="41"/>
        <v>955.5</v>
      </c>
      <c r="AA244" s="491" t="str">
        <f t="shared" si="42"/>
        <v>3210-210</v>
      </c>
    </row>
    <row r="245" spans="2:27" s="489" customFormat="1" ht="15" hidden="1">
      <c r="B245" s="329"/>
      <c r="C245" s="330"/>
      <c r="D245" s="294">
        <f>VLOOKUP(E245,'1.1a-Jaarprijzen'!$B$13:$G$29,6,FALSE)</f>
        <v>3</v>
      </c>
      <c r="E245" s="768" t="s">
        <v>791</v>
      </c>
      <c r="F245" s="294" t="s">
        <v>387</v>
      </c>
      <c r="G245" s="295" t="s">
        <v>795</v>
      </c>
      <c r="H245" s="293" t="s">
        <v>388</v>
      </c>
      <c r="I245" s="296" t="str">
        <f t="shared" si="36"/>
        <v>entree, gang, hal, repro</v>
      </c>
      <c r="J245" s="294" t="s">
        <v>655</v>
      </c>
      <c r="K245" s="297">
        <v>49.9</v>
      </c>
      <c r="L245" s="297"/>
      <c r="M245" s="298">
        <v>3210</v>
      </c>
      <c r="N245" s="299">
        <f t="shared" si="38"/>
        <v>210</v>
      </c>
      <c r="O245" s="483">
        <v>1</v>
      </c>
      <c r="P245" s="483">
        <v>1</v>
      </c>
      <c r="Q245" s="291">
        <f t="shared" si="39"/>
        <v>0</v>
      </c>
      <c r="R245" s="291">
        <f t="shared" si="40"/>
        <v>0</v>
      </c>
      <c r="S245" s="300">
        <f t="shared" si="34"/>
        <v>0</v>
      </c>
      <c r="T245" s="300">
        <f t="shared" si="35"/>
        <v>0</v>
      </c>
      <c r="U245" s="769" t="str">
        <f t="shared" si="37"/>
        <v>V</v>
      </c>
      <c r="V245" s="302"/>
      <c r="W245" s="303">
        <f>(Q245+R245)*'1.0-Contractblad'!$L$37</f>
        <v>0</v>
      </c>
      <c r="X245" s="303">
        <f ca="1">VLOOKUP(E245,'1.1a-Jaarprijzen'!$B$32:$Q$51,16,FALSE)*K245</f>
        <v>0</v>
      </c>
      <c r="Z245" s="771">
        <f t="shared" si="41"/>
        <v>10479</v>
      </c>
      <c r="AA245" s="491" t="str">
        <f t="shared" si="42"/>
        <v>3210-210</v>
      </c>
    </row>
    <row r="246" spans="2:27" s="489" customFormat="1" ht="15" hidden="1">
      <c r="B246" s="329"/>
      <c r="C246" s="330"/>
      <c r="D246" s="294">
        <f>VLOOKUP(E246,'1.1a-Jaarprijzen'!$B$13:$G$29,6,FALSE)</f>
        <v>3</v>
      </c>
      <c r="E246" s="768" t="s">
        <v>791</v>
      </c>
      <c r="F246" s="294" t="s">
        <v>387</v>
      </c>
      <c r="G246" s="295" t="s">
        <v>796</v>
      </c>
      <c r="H246" s="293" t="s">
        <v>388</v>
      </c>
      <c r="I246" s="296" t="str">
        <f t="shared" si="36"/>
        <v>entree, gang, hal, repro</v>
      </c>
      <c r="J246" s="294" t="s">
        <v>655</v>
      </c>
      <c r="K246" s="297">
        <v>42.55</v>
      </c>
      <c r="L246" s="297"/>
      <c r="M246" s="298">
        <v>3210</v>
      </c>
      <c r="N246" s="299">
        <f t="shared" si="38"/>
        <v>210</v>
      </c>
      <c r="O246" s="483">
        <v>1</v>
      </c>
      <c r="P246" s="483">
        <v>1</v>
      </c>
      <c r="Q246" s="291">
        <f t="shared" si="39"/>
        <v>0</v>
      </c>
      <c r="R246" s="291">
        <f t="shared" si="40"/>
        <v>0</v>
      </c>
      <c r="S246" s="300">
        <f t="shared" si="34"/>
        <v>0</v>
      </c>
      <c r="T246" s="300">
        <f t="shared" si="35"/>
        <v>0</v>
      </c>
      <c r="U246" s="769" t="str">
        <f t="shared" si="37"/>
        <v>V</v>
      </c>
      <c r="V246" s="302"/>
      <c r="W246" s="303">
        <f>(Q246+R246)*'1.0-Contractblad'!$L$37</f>
        <v>0</v>
      </c>
      <c r="X246" s="303">
        <f ca="1">VLOOKUP(E246,'1.1a-Jaarprijzen'!$B$32:$Q$51,16,FALSE)*K246</f>
        <v>0</v>
      </c>
      <c r="Z246" s="771">
        <f t="shared" si="41"/>
        <v>8935.5</v>
      </c>
      <c r="AA246" s="491" t="str">
        <f t="shared" si="42"/>
        <v>3210-210</v>
      </c>
    </row>
    <row r="247" spans="2:27" s="489" customFormat="1" ht="15" hidden="1">
      <c r="B247" s="329"/>
      <c r="C247" s="330"/>
      <c r="D247" s="294">
        <f>VLOOKUP(E247,'1.1a-Jaarprijzen'!$B$13:$G$29,6,FALSE)</f>
        <v>3</v>
      </c>
      <c r="E247" s="768" t="s">
        <v>791</v>
      </c>
      <c r="F247" s="294" t="s">
        <v>387</v>
      </c>
      <c r="G247" s="295" t="s">
        <v>797</v>
      </c>
      <c r="H247" s="293" t="s">
        <v>397</v>
      </c>
      <c r="I247" s="296" t="str">
        <f t="shared" si="36"/>
        <v>aula, gemeenschappelijke ruimte, bibliotheek</v>
      </c>
      <c r="J247" s="294" t="s">
        <v>655</v>
      </c>
      <c r="K247" s="297">
        <v>78.53</v>
      </c>
      <c r="L247" s="297"/>
      <c r="M247" s="298">
        <v>2210</v>
      </c>
      <c r="N247" s="299">
        <f t="shared" si="38"/>
        <v>210</v>
      </c>
      <c r="O247" s="483">
        <v>1</v>
      </c>
      <c r="P247" s="483">
        <v>1</v>
      </c>
      <c r="Q247" s="291">
        <f t="shared" si="39"/>
        <v>0</v>
      </c>
      <c r="R247" s="291">
        <f t="shared" si="40"/>
        <v>0</v>
      </c>
      <c r="S247" s="300">
        <f t="shared" si="34"/>
        <v>0</v>
      </c>
      <c r="T247" s="300">
        <f t="shared" si="35"/>
        <v>0</v>
      </c>
      <c r="U247" s="769" t="str">
        <f t="shared" si="37"/>
        <v>V</v>
      </c>
      <c r="V247" s="302"/>
      <c r="W247" s="303">
        <f>(Q247+R247)*'1.0-Contractblad'!$L$37</f>
        <v>0</v>
      </c>
      <c r="X247" s="303">
        <f ca="1">VLOOKUP(E247,'1.1a-Jaarprijzen'!$B$32:$Q$51,16,FALSE)*K247</f>
        <v>0</v>
      </c>
      <c r="Z247" s="771">
        <f t="shared" si="41"/>
        <v>16491.3</v>
      </c>
      <c r="AA247" s="491" t="str">
        <f t="shared" si="42"/>
        <v>2210-210</v>
      </c>
    </row>
    <row r="248" spans="2:27" s="489" customFormat="1" ht="15" hidden="1">
      <c r="B248" s="329"/>
      <c r="C248" s="330"/>
      <c r="D248" s="294">
        <f>VLOOKUP(E248,'1.1a-Jaarprijzen'!$B$13:$G$29,6,FALSE)</f>
        <v>3</v>
      </c>
      <c r="E248" s="768" t="s">
        <v>791</v>
      </c>
      <c r="F248" s="294" t="s">
        <v>387</v>
      </c>
      <c r="G248" s="295" t="s">
        <v>798</v>
      </c>
      <c r="H248" s="293" t="s">
        <v>402</v>
      </c>
      <c r="I248" s="296" t="str">
        <f t="shared" si="36"/>
        <v>entree, gang, hal, repro</v>
      </c>
      <c r="J248" s="294" t="s">
        <v>465</v>
      </c>
      <c r="K248" s="297">
        <v>1.8</v>
      </c>
      <c r="L248" s="297"/>
      <c r="M248" s="298">
        <v>3200</v>
      </c>
      <c r="N248" s="299">
        <f t="shared" si="38"/>
        <v>200</v>
      </c>
      <c r="O248" s="483">
        <v>1</v>
      </c>
      <c r="P248" s="483">
        <v>1</v>
      </c>
      <c r="Q248" s="291">
        <f t="shared" si="39"/>
        <v>0</v>
      </c>
      <c r="R248" s="291">
        <f t="shared" si="40"/>
        <v>0</v>
      </c>
      <c r="S248" s="300">
        <f t="shared" si="34"/>
        <v>0</v>
      </c>
      <c r="T248" s="300">
        <f t="shared" si="35"/>
        <v>0</v>
      </c>
      <c r="U248" s="769" t="str">
        <f t="shared" si="37"/>
        <v>V</v>
      </c>
      <c r="V248" s="302"/>
      <c r="W248" s="303">
        <f>(Q248+R248)*'1.0-Contractblad'!$L$37</f>
        <v>0</v>
      </c>
      <c r="X248" s="303">
        <f ca="1">VLOOKUP(E248,'1.1a-Jaarprijzen'!$B$32:$Q$51,16,FALSE)*K248</f>
        <v>0</v>
      </c>
      <c r="Z248" s="771">
        <f t="shared" si="41"/>
        <v>360</v>
      </c>
      <c r="AA248" s="491" t="str">
        <f t="shared" si="42"/>
        <v>3200-200</v>
      </c>
    </row>
    <row r="249" spans="2:27" s="489" customFormat="1" ht="15" hidden="1">
      <c r="B249" s="329"/>
      <c r="C249" s="330"/>
      <c r="D249" s="294">
        <f>VLOOKUP(E249,'1.1a-Jaarprijzen'!$B$13:$G$29,6,FALSE)</f>
        <v>3</v>
      </c>
      <c r="E249" s="768" t="s">
        <v>791</v>
      </c>
      <c r="F249" s="294" t="s">
        <v>387</v>
      </c>
      <c r="G249" s="295" t="s">
        <v>799</v>
      </c>
      <c r="H249" s="293" t="s">
        <v>800</v>
      </c>
      <c r="I249" s="296" t="str">
        <f t="shared" si="36"/>
        <v>entree, gang, hal, repro</v>
      </c>
      <c r="J249" s="294" t="s">
        <v>655</v>
      </c>
      <c r="K249" s="297">
        <v>18.16</v>
      </c>
      <c r="L249" s="297"/>
      <c r="M249" s="298">
        <v>3200</v>
      </c>
      <c r="N249" s="299">
        <f t="shared" si="38"/>
        <v>200</v>
      </c>
      <c r="O249" s="483">
        <v>1</v>
      </c>
      <c r="P249" s="483">
        <v>1</v>
      </c>
      <c r="Q249" s="291">
        <f t="shared" si="39"/>
        <v>0</v>
      </c>
      <c r="R249" s="291">
        <f t="shared" si="40"/>
        <v>0</v>
      </c>
      <c r="S249" s="300">
        <f t="shared" si="34"/>
        <v>0</v>
      </c>
      <c r="T249" s="300">
        <f t="shared" si="35"/>
        <v>0</v>
      </c>
      <c r="U249" s="769" t="str">
        <f t="shared" si="37"/>
        <v>V</v>
      </c>
      <c r="V249" s="302"/>
      <c r="W249" s="303">
        <f>(Q249+R249)*'1.0-Contractblad'!$L$37</f>
        <v>0</v>
      </c>
      <c r="X249" s="303">
        <f ca="1">VLOOKUP(E249,'1.1a-Jaarprijzen'!$B$32:$Q$51,16,FALSE)*K249</f>
        <v>0</v>
      </c>
      <c r="Z249" s="771">
        <f t="shared" si="41"/>
        <v>3632</v>
      </c>
      <c r="AA249" s="491" t="str">
        <f t="shared" si="42"/>
        <v>3200-200</v>
      </c>
    </row>
    <row r="250" spans="2:27" s="489" customFormat="1" ht="15" hidden="1">
      <c r="B250" s="329"/>
      <c r="C250" s="330"/>
      <c r="D250" s="294">
        <f>VLOOKUP(E250,'1.1a-Jaarprijzen'!$B$13:$G$29,6,FALSE)</f>
        <v>3</v>
      </c>
      <c r="E250" s="785" t="s">
        <v>791</v>
      </c>
      <c r="F250" s="294" t="s">
        <v>387</v>
      </c>
      <c r="G250" s="295" t="s">
        <v>801</v>
      </c>
      <c r="H250" s="293" t="s">
        <v>390</v>
      </c>
      <c r="I250" s="296" t="str">
        <f t="shared" si="36"/>
        <v>administratieve -,  vergaderruimte</v>
      </c>
      <c r="J250" s="294" t="s">
        <v>655</v>
      </c>
      <c r="K250" s="297">
        <v>36.479999999999997</v>
      </c>
      <c r="L250" s="297"/>
      <c r="M250" s="298">
        <v>1210</v>
      </c>
      <c r="N250" s="299">
        <f t="shared" si="38"/>
        <v>210</v>
      </c>
      <c r="O250" s="483">
        <v>1</v>
      </c>
      <c r="P250" s="483">
        <v>1</v>
      </c>
      <c r="Q250" s="291">
        <f t="shared" si="39"/>
        <v>0</v>
      </c>
      <c r="R250" s="291">
        <f t="shared" si="40"/>
        <v>0</v>
      </c>
      <c r="S250" s="300">
        <f t="shared" si="34"/>
        <v>0</v>
      </c>
      <c r="T250" s="300">
        <f t="shared" si="35"/>
        <v>0</v>
      </c>
      <c r="U250" s="769" t="str">
        <f t="shared" si="37"/>
        <v>V</v>
      </c>
      <c r="V250" s="302" t="s">
        <v>1036</v>
      </c>
      <c r="W250" s="303">
        <f>(Q250+R250)*'1.0-Contractblad'!$L$37</f>
        <v>0</v>
      </c>
      <c r="X250" s="303">
        <f ca="1">VLOOKUP(E250,'1.1a-Jaarprijzen'!$B$32:$Q$51,16,FALSE)*K250</f>
        <v>0</v>
      </c>
      <c r="Z250" s="771">
        <f t="shared" si="41"/>
        <v>7660.7999999999993</v>
      </c>
      <c r="AA250" s="491" t="str">
        <f t="shared" si="42"/>
        <v>1210-210</v>
      </c>
    </row>
    <row r="251" spans="2:27" s="489" customFormat="1" ht="15" hidden="1">
      <c r="B251" s="329"/>
      <c r="C251" s="330"/>
      <c r="D251" s="294">
        <f>VLOOKUP(E251,'1.1a-Jaarprijzen'!$B$13:$G$29,6,FALSE)</f>
        <v>3</v>
      </c>
      <c r="E251" s="785" t="s">
        <v>791</v>
      </c>
      <c r="F251" s="294" t="s">
        <v>387</v>
      </c>
      <c r="G251" s="295" t="s">
        <v>802</v>
      </c>
      <c r="H251" s="293" t="s">
        <v>700</v>
      </c>
      <c r="I251" s="296" t="str">
        <f t="shared" si="36"/>
        <v>speellokaal</v>
      </c>
      <c r="J251" s="294" t="s">
        <v>463</v>
      </c>
      <c r="K251" s="297">
        <v>84.5</v>
      </c>
      <c r="L251" s="297"/>
      <c r="M251" s="298">
        <v>8210</v>
      </c>
      <c r="N251" s="299">
        <f t="shared" si="38"/>
        <v>210</v>
      </c>
      <c r="O251" s="483">
        <v>1</v>
      </c>
      <c r="P251" s="483">
        <v>1</v>
      </c>
      <c r="Q251" s="291">
        <f t="shared" si="39"/>
        <v>0</v>
      </c>
      <c r="R251" s="291">
        <f t="shared" si="40"/>
        <v>0</v>
      </c>
      <c r="S251" s="300">
        <f t="shared" si="34"/>
        <v>0</v>
      </c>
      <c r="T251" s="300">
        <f t="shared" si="35"/>
        <v>0</v>
      </c>
      <c r="U251" s="769" t="str">
        <f t="shared" si="37"/>
        <v>L</v>
      </c>
      <c r="V251" s="302" t="s">
        <v>1036</v>
      </c>
      <c r="W251" s="303">
        <f>(Q251+R251)*'1.0-Contractblad'!$L$37</f>
        <v>0</v>
      </c>
      <c r="X251" s="303">
        <f ca="1">VLOOKUP(E251,'1.1a-Jaarprijzen'!$B$32:$Q$51,16,FALSE)*K251</f>
        <v>0</v>
      </c>
      <c r="Z251" s="771">
        <f t="shared" si="41"/>
        <v>17745</v>
      </c>
      <c r="AA251" s="491" t="str">
        <f t="shared" si="42"/>
        <v>8210-210</v>
      </c>
    </row>
    <row r="252" spans="2:27" s="489" customFormat="1" ht="15" hidden="1">
      <c r="B252" s="329"/>
      <c r="C252" s="330"/>
      <c r="D252" s="294">
        <f>VLOOKUP(E252,'1.1a-Jaarprijzen'!$B$13:$G$29,6,FALSE)</f>
        <v>3</v>
      </c>
      <c r="E252" s="768" t="s">
        <v>791</v>
      </c>
      <c r="F252" s="294" t="s">
        <v>387</v>
      </c>
      <c r="G252" s="295" t="s">
        <v>803</v>
      </c>
      <c r="H252" s="293" t="s">
        <v>395</v>
      </c>
      <c r="I252" s="296" t="str">
        <f t="shared" si="36"/>
        <v>administratieve -,  vergaderruimte</v>
      </c>
      <c r="J252" s="294" t="s">
        <v>462</v>
      </c>
      <c r="K252" s="297">
        <v>40.83</v>
      </c>
      <c r="L252" s="297"/>
      <c r="M252" s="298">
        <v>1200</v>
      </c>
      <c r="N252" s="299">
        <f t="shared" si="38"/>
        <v>200</v>
      </c>
      <c r="O252" s="483">
        <v>1</v>
      </c>
      <c r="P252" s="483">
        <v>1</v>
      </c>
      <c r="Q252" s="291">
        <f t="shared" si="39"/>
        <v>0</v>
      </c>
      <c r="R252" s="291">
        <f t="shared" si="40"/>
        <v>0</v>
      </c>
      <c r="S252" s="300">
        <f t="shared" si="34"/>
        <v>0</v>
      </c>
      <c r="T252" s="300">
        <f t="shared" si="35"/>
        <v>0</v>
      </c>
      <c r="U252" s="769" t="str">
        <f t="shared" si="37"/>
        <v>V</v>
      </c>
      <c r="V252" s="302"/>
      <c r="W252" s="303">
        <f>(Q252+R252)*'1.0-Contractblad'!$L$37</f>
        <v>0</v>
      </c>
      <c r="X252" s="303">
        <f ca="1">VLOOKUP(E252,'1.1a-Jaarprijzen'!$B$32:$Q$51,16,FALSE)*K252</f>
        <v>0</v>
      </c>
      <c r="Z252" s="771">
        <f t="shared" si="41"/>
        <v>8166</v>
      </c>
      <c r="AA252" s="491" t="str">
        <f t="shared" si="42"/>
        <v>1200-200</v>
      </c>
    </row>
    <row r="253" spans="2:27" s="489" customFormat="1" ht="15" hidden="1">
      <c r="B253" s="329"/>
      <c r="C253" s="330"/>
      <c r="D253" s="294">
        <f>VLOOKUP(E253,'1.1a-Jaarprijzen'!$B$13:$G$29,6,FALSE)</f>
        <v>3</v>
      </c>
      <c r="E253" s="768" t="s">
        <v>791</v>
      </c>
      <c r="F253" s="294" t="s">
        <v>387</v>
      </c>
      <c r="G253" s="295" t="s">
        <v>804</v>
      </c>
      <c r="H253" s="293" t="s">
        <v>395</v>
      </c>
      <c r="I253" s="296" t="str">
        <f t="shared" si="36"/>
        <v>administratieve -,  vergaderruimte</v>
      </c>
      <c r="J253" s="294" t="s">
        <v>462</v>
      </c>
      <c r="K253" s="297">
        <v>17.05</v>
      </c>
      <c r="L253" s="297"/>
      <c r="M253" s="298">
        <v>1200</v>
      </c>
      <c r="N253" s="299">
        <f t="shared" si="38"/>
        <v>200</v>
      </c>
      <c r="O253" s="483">
        <v>1</v>
      </c>
      <c r="P253" s="483">
        <v>1</v>
      </c>
      <c r="Q253" s="291">
        <f t="shared" si="39"/>
        <v>0</v>
      </c>
      <c r="R253" s="291">
        <f t="shared" si="40"/>
        <v>0</v>
      </c>
      <c r="S253" s="300">
        <f t="shared" si="34"/>
        <v>0</v>
      </c>
      <c r="T253" s="300">
        <f t="shared" si="35"/>
        <v>0</v>
      </c>
      <c r="U253" s="769" t="str">
        <f t="shared" si="37"/>
        <v>V</v>
      </c>
      <c r="V253" s="302"/>
      <c r="W253" s="303">
        <f>(Q253+R253)*'1.0-Contractblad'!$L$37</f>
        <v>0</v>
      </c>
      <c r="X253" s="303">
        <f ca="1">VLOOKUP(E253,'1.1a-Jaarprijzen'!$B$32:$Q$51,16,FALSE)*K253</f>
        <v>0</v>
      </c>
      <c r="Z253" s="771">
        <f t="shared" si="41"/>
        <v>3410</v>
      </c>
      <c r="AA253" s="491" t="str">
        <f t="shared" si="42"/>
        <v>1200-200</v>
      </c>
    </row>
    <row r="254" spans="2:27" s="489" customFormat="1" ht="15" hidden="1">
      <c r="B254" s="329"/>
      <c r="C254" s="330"/>
      <c r="D254" s="294">
        <f>VLOOKUP(E254,'1.1a-Jaarprijzen'!$B$13:$G$29,6,FALSE)</f>
        <v>3</v>
      </c>
      <c r="E254" s="770" t="s">
        <v>791</v>
      </c>
      <c r="F254" s="294" t="s">
        <v>387</v>
      </c>
      <c r="G254" s="295" t="s">
        <v>805</v>
      </c>
      <c r="H254" s="293" t="s">
        <v>989</v>
      </c>
      <c r="I254" s="296" t="str">
        <f t="shared" si="36"/>
        <v>vervallen (mutatie)</v>
      </c>
      <c r="J254" s="294" t="s">
        <v>462</v>
      </c>
      <c r="K254" s="297"/>
      <c r="L254" s="297">
        <v>62.08</v>
      </c>
      <c r="M254" s="298" t="s">
        <v>424</v>
      </c>
      <c r="N254" s="299">
        <f t="shared" si="38"/>
        <v>0</v>
      </c>
      <c r="O254" s="483">
        <v>1</v>
      </c>
      <c r="P254" s="483">
        <v>1</v>
      </c>
      <c r="Q254" s="291">
        <f t="shared" si="39"/>
        <v>0</v>
      </c>
      <c r="R254" s="291">
        <f t="shared" si="40"/>
        <v>0</v>
      </c>
      <c r="S254" s="300">
        <f t="shared" si="34"/>
        <v>0</v>
      </c>
      <c r="T254" s="300">
        <f t="shared" si="35"/>
        <v>0</v>
      </c>
      <c r="U254" s="769">
        <f t="shared" si="37"/>
        <v>0</v>
      </c>
      <c r="V254" s="302"/>
      <c r="W254" s="303">
        <f>(Q254+R254)*'1.0-Contractblad'!$L$37</f>
        <v>0</v>
      </c>
      <c r="X254" s="303">
        <f ca="1">VLOOKUP(E254,'1.1a-Jaarprijzen'!$B$32:$Q$51,16,FALSE)*K254</f>
        <v>0</v>
      </c>
      <c r="Z254" s="771">
        <f t="shared" si="41"/>
        <v>0</v>
      </c>
      <c r="AA254" s="491" t="str">
        <f t="shared" si="42"/>
        <v>vervallen-0</v>
      </c>
    </row>
    <row r="255" spans="2:27" s="489" customFormat="1" ht="15" hidden="1">
      <c r="B255" s="329"/>
      <c r="C255" s="330"/>
      <c r="D255" s="294">
        <f>VLOOKUP(E255,'1.1a-Jaarprijzen'!$B$13:$G$29,6,FALSE)</f>
        <v>3</v>
      </c>
      <c r="E255" s="768" t="s">
        <v>806</v>
      </c>
      <c r="F255" s="294" t="s">
        <v>387</v>
      </c>
      <c r="G255" s="295" t="s">
        <v>712</v>
      </c>
      <c r="H255" s="293" t="s">
        <v>646</v>
      </c>
      <c r="I255" s="296" t="str">
        <f t="shared" si="36"/>
        <v>leslokaal groep 1 t/m 3</v>
      </c>
      <c r="J255" s="294" t="s">
        <v>655</v>
      </c>
      <c r="K255" s="297">
        <v>59</v>
      </c>
      <c r="L255" s="297"/>
      <c r="M255" s="298">
        <v>7200</v>
      </c>
      <c r="N255" s="299">
        <f t="shared" si="38"/>
        <v>200</v>
      </c>
      <c r="O255" s="483">
        <v>1</v>
      </c>
      <c r="P255" s="483">
        <v>1</v>
      </c>
      <c r="Q255" s="291">
        <f t="shared" si="39"/>
        <v>0</v>
      </c>
      <c r="R255" s="291">
        <f t="shared" si="40"/>
        <v>0</v>
      </c>
      <c r="S255" s="300">
        <f t="shared" si="34"/>
        <v>0</v>
      </c>
      <c r="T255" s="300">
        <f t="shared" si="35"/>
        <v>0</v>
      </c>
      <c r="U255" s="769" t="str">
        <f t="shared" si="37"/>
        <v>L</v>
      </c>
      <c r="V255" s="302"/>
      <c r="W255" s="303">
        <f>(Q255+R255)*'1.0-Contractblad'!$L$37</f>
        <v>0</v>
      </c>
      <c r="X255" s="303">
        <f ca="1">VLOOKUP(E255,'1.1a-Jaarprijzen'!$B$32:$Q$51,16,FALSE)*K255</f>
        <v>0</v>
      </c>
      <c r="Z255" s="771">
        <f t="shared" si="41"/>
        <v>11800</v>
      </c>
      <c r="AA255" s="491" t="str">
        <f t="shared" si="42"/>
        <v>7200-200</v>
      </c>
    </row>
    <row r="256" spans="2:27" s="489" customFormat="1" ht="15" hidden="1">
      <c r="B256" s="329"/>
      <c r="C256" s="330"/>
      <c r="D256" s="294">
        <f>VLOOKUP(E256,'1.1a-Jaarprijzen'!$B$13:$G$29,6,FALSE)</f>
        <v>3</v>
      </c>
      <c r="E256" s="768" t="s">
        <v>806</v>
      </c>
      <c r="F256" s="294" t="s">
        <v>387</v>
      </c>
      <c r="G256" s="295" t="s">
        <v>713</v>
      </c>
      <c r="H256" s="293" t="s">
        <v>646</v>
      </c>
      <c r="I256" s="296" t="str">
        <f t="shared" si="36"/>
        <v>leslokaal groep 1 t/m 3</v>
      </c>
      <c r="J256" s="294" t="s">
        <v>655</v>
      </c>
      <c r="K256" s="297">
        <v>50</v>
      </c>
      <c r="L256" s="297"/>
      <c r="M256" s="298">
        <v>7200</v>
      </c>
      <c r="N256" s="299">
        <f t="shared" si="38"/>
        <v>200</v>
      </c>
      <c r="O256" s="483">
        <v>1</v>
      </c>
      <c r="P256" s="483">
        <v>1</v>
      </c>
      <c r="Q256" s="291">
        <f t="shared" si="39"/>
        <v>0</v>
      </c>
      <c r="R256" s="291">
        <f t="shared" si="40"/>
        <v>0</v>
      </c>
      <c r="S256" s="300">
        <f t="shared" si="34"/>
        <v>0</v>
      </c>
      <c r="T256" s="300">
        <f t="shared" si="35"/>
        <v>0</v>
      </c>
      <c r="U256" s="769" t="str">
        <f t="shared" si="37"/>
        <v>L</v>
      </c>
      <c r="V256" s="302"/>
      <c r="W256" s="303">
        <f>(Q256+R256)*'1.0-Contractblad'!$L$37</f>
        <v>0</v>
      </c>
      <c r="X256" s="303">
        <f ca="1">VLOOKUP(E256,'1.1a-Jaarprijzen'!$B$32:$Q$51,16,FALSE)*K256</f>
        <v>0</v>
      </c>
      <c r="Z256" s="771">
        <f t="shared" si="41"/>
        <v>10000</v>
      </c>
      <c r="AA256" s="491" t="str">
        <f t="shared" si="42"/>
        <v>7200-200</v>
      </c>
    </row>
    <row r="257" spans="2:27" s="489" customFormat="1" ht="15" hidden="1">
      <c r="B257" s="329"/>
      <c r="C257" s="330"/>
      <c r="D257" s="294">
        <f>VLOOKUP(E257,'1.1a-Jaarprijzen'!$B$13:$G$29,6,FALSE)</f>
        <v>3</v>
      </c>
      <c r="E257" s="768" t="s">
        <v>806</v>
      </c>
      <c r="F257" s="294" t="s">
        <v>387</v>
      </c>
      <c r="G257" s="295" t="s">
        <v>714</v>
      </c>
      <c r="H257" s="293" t="s">
        <v>990</v>
      </c>
      <c r="I257" s="296" t="str">
        <f t="shared" si="36"/>
        <v>sanitaire ruimte (toilet-/doucheruimte)</v>
      </c>
      <c r="J257" s="294" t="s">
        <v>461</v>
      </c>
      <c r="K257" s="297">
        <v>6</v>
      </c>
      <c r="L257" s="297"/>
      <c r="M257" s="298">
        <v>4200</v>
      </c>
      <c r="N257" s="299">
        <f t="shared" si="38"/>
        <v>200</v>
      </c>
      <c r="O257" s="483">
        <v>1</v>
      </c>
      <c r="P257" s="483">
        <v>1</v>
      </c>
      <c r="Q257" s="291">
        <f t="shared" si="39"/>
        <v>0</v>
      </c>
      <c r="R257" s="291">
        <f t="shared" si="40"/>
        <v>0</v>
      </c>
      <c r="S257" s="300">
        <f t="shared" si="34"/>
        <v>0</v>
      </c>
      <c r="T257" s="300">
        <f t="shared" si="35"/>
        <v>0</v>
      </c>
      <c r="U257" s="769" t="str">
        <f t="shared" si="37"/>
        <v>S</v>
      </c>
      <c r="V257" s="302"/>
      <c r="W257" s="303">
        <f>(Q257+R257)*'1.0-Contractblad'!$L$37</f>
        <v>0</v>
      </c>
      <c r="X257" s="303">
        <f ca="1">VLOOKUP(E257,'1.1a-Jaarprijzen'!$B$32:$Q$51,16,FALSE)*K257</f>
        <v>0</v>
      </c>
      <c r="Z257" s="771">
        <f t="shared" si="41"/>
        <v>1200</v>
      </c>
      <c r="AA257" s="491" t="str">
        <f t="shared" si="42"/>
        <v>4200-200</v>
      </c>
    </row>
    <row r="258" spans="2:27" s="489" customFormat="1" ht="15" hidden="1">
      <c r="B258" s="329"/>
      <c r="C258" s="330"/>
      <c r="D258" s="294">
        <f>VLOOKUP(E258,'1.1a-Jaarprijzen'!$B$13:$G$29,6,FALSE)</f>
        <v>3</v>
      </c>
      <c r="E258" s="768" t="s">
        <v>806</v>
      </c>
      <c r="F258" s="294" t="s">
        <v>387</v>
      </c>
      <c r="G258" s="295" t="s">
        <v>715</v>
      </c>
      <c r="H258" s="293" t="s">
        <v>698</v>
      </c>
      <c r="I258" s="296" t="str">
        <f t="shared" si="36"/>
        <v>entree, gang, hal, repro</v>
      </c>
      <c r="J258" s="294" t="s">
        <v>655</v>
      </c>
      <c r="K258" s="297">
        <v>71</v>
      </c>
      <c r="L258" s="297"/>
      <c r="M258" s="298">
        <v>3200</v>
      </c>
      <c r="N258" s="299">
        <f t="shared" si="38"/>
        <v>200</v>
      </c>
      <c r="O258" s="483">
        <v>1</v>
      </c>
      <c r="P258" s="483">
        <v>1</v>
      </c>
      <c r="Q258" s="291">
        <f t="shared" si="39"/>
        <v>0</v>
      </c>
      <c r="R258" s="291">
        <f t="shared" si="40"/>
        <v>0</v>
      </c>
      <c r="S258" s="300">
        <f t="shared" si="34"/>
        <v>0</v>
      </c>
      <c r="T258" s="300">
        <f t="shared" si="35"/>
        <v>0</v>
      </c>
      <c r="U258" s="769" t="str">
        <f t="shared" si="37"/>
        <v>V</v>
      </c>
      <c r="V258" s="302"/>
      <c r="W258" s="303">
        <f>(Q258+R258)*'1.0-Contractblad'!$L$37</f>
        <v>0</v>
      </c>
      <c r="X258" s="303">
        <f ca="1">VLOOKUP(E258,'1.1a-Jaarprijzen'!$B$32:$Q$51,16,FALSE)*K258</f>
        <v>0</v>
      </c>
      <c r="Z258" s="771">
        <f t="shared" si="41"/>
        <v>14200</v>
      </c>
      <c r="AA258" s="491" t="str">
        <f t="shared" si="42"/>
        <v>3200-200</v>
      </c>
    </row>
    <row r="259" spans="2:27" s="489" customFormat="1" ht="15" hidden="1">
      <c r="B259" s="329"/>
      <c r="C259" s="330"/>
      <c r="D259" s="294">
        <f>VLOOKUP(E259,'1.1a-Jaarprijzen'!$B$13:$G$29,6,FALSE)</f>
        <v>3</v>
      </c>
      <c r="E259" s="768" t="s">
        <v>806</v>
      </c>
      <c r="F259" s="294" t="s">
        <v>387</v>
      </c>
      <c r="G259" s="295" t="s">
        <v>716</v>
      </c>
      <c r="H259" s="293" t="s">
        <v>991</v>
      </c>
      <c r="I259" s="296" t="str">
        <f t="shared" si="36"/>
        <v>speellokaal</v>
      </c>
      <c r="J259" s="294" t="s">
        <v>463</v>
      </c>
      <c r="K259" s="297">
        <v>80</v>
      </c>
      <c r="L259" s="297"/>
      <c r="M259" s="298">
        <v>8200</v>
      </c>
      <c r="N259" s="299">
        <f t="shared" si="38"/>
        <v>200</v>
      </c>
      <c r="O259" s="483">
        <v>1</v>
      </c>
      <c r="P259" s="483">
        <v>1</v>
      </c>
      <c r="Q259" s="291">
        <f t="shared" si="39"/>
        <v>0</v>
      </c>
      <c r="R259" s="291">
        <f t="shared" si="40"/>
        <v>0</v>
      </c>
      <c r="S259" s="300">
        <f t="shared" si="34"/>
        <v>0</v>
      </c>
      <c r="T259" s="300">
        <f t="shared" si="35"/>
        <v>0</v>
      </c>
      <c r="U259" s="769" t="str">
        <f t="shared" si="37"/>
        <v>L</v>
      </c>
      <c r="V259" s="302"/>
      <c r="W259" s="303">
        <f>(Q259+R259)*'1.0-Contractblad'!$L$37</f>
        <v>0</v>
      </c>
      <c r="X259" s="303">
        <f ca="1">VLOOKUP(E259,'1.1a-Jaarprijzen'!$B$32:$Q$51,16,FALSE)*K259</f>
        <v>0</v>
      </c>
      <c r="Z259" s="771">
        <f t="shared" si="41"/>
        <v>16000</v>
      </c>
      <c r="AA259" s="491" t="str">
        <f t="shared" si="42"/>
        <v>8200-200</v>
      </c>
    </row>
    <row r="260" spans="2:27" s="489" customFormat="1" ht="15" hidden="1">
      <c r="B260" s="329"/>
      <c r="C260" s="330"/>
      <c r="D260" s="294">
        <f>VLOOKUP(E260,'1.1a-Jaarprijzen'!$B$13:$G$29,6,FALSE)</f>
        <v>3</v>
      </c>
      <c r="E260" s="768" t="s">
        <v>806</v>
      </c>
      <c r="F260" s="294" t="s">
        <v>387</v>
      </c>
      <c r="G260" s="295" t="s">
        <v>717</v>
      </c>
      <c r="H260" s="293" t="s">
        <v>588</v>
      </c>
      <c r="I260" s="296" t="str">
        <f t="shared" si="36"/>
        <v>entree, gang, hal, repro</v>
      </c>
      <c r="J260" s="294" t="s">
        <v>655</v>
      </c>
      <c r="K260" s="297">
        <v>4</v>
      </c>
      <c r="L260" s="297"/>
      <c r="M260" s="298">
        <v>3200</v>
      </c>
      <c r="N260" s="299">
        <f t="shared" si="38"/>
        <v>200</v>
      </c>
      <c r="O260" s="483">
        <v>1</v>
      </c>
      <c r="P260" s="483">
        <v>1</v>
      </c>
      <c r="Q260" s="291">
        <f t="shared" si="39"/>
        <v>0</v>
      </c>
      <c r="R260" s="291">
        <f t="shared" si="40"/>
        <v>0</v>
      </c>
      <c r="S260" s="300">
        <f t="shared" si="34"/>
        <v>0</v>
      </c>
      <c r="T260" s="300">
        <f t="shared" si="35"/>
        <v>0</v>
      </c>
      <c r="U260" s="769" t="str">
        <f t="shared" si="37"/>
        <v>V</v>
      </c>
      <c r="V260" s="302"/>
      <c r="W260" s="303">
        <f>(Q260+R260)*'1.0-Contractblad'!$L$37</f>
        <v>0</v>
      </c>
      <c r="X260" s="303">
        <f ca="1">VLOOKUP(E260,'1.1a-Jaarprijzen'!$B$32:$Q$51,16,FALSE)*K260</f>
        <v>0</v>
      </c>
      <c r="Z260" s="771">
        <f t="shared" si="41"/>
        <v>800</v>
      </c>
      <c r="AA260" s="491" t="str">
        <f t="shared" si="42"/>
        <v>3200-200</v>
      </c>
    </row>
    <row r="261" spans="2:27" s="489" customFormat="1" ht="15" hidden="1">
      <c r="B261" s="329"/>
      <c r="C261" s="330"/>
      <c r="D261" s="294">
        <f>VLOOKUP(E261,'1.1a-Jaarprijzen'!$B$13:$G$29,6,FALSE)</f>
        <v>3</v>
      </c>
      <c r="E261" s="768" t="s">
        <v>806</v>
      </c>
      <c r="F261" s="294" t="s">
        <v>387</v>
      </c>
      <c r="G261" s="295" t="s">
        <v>718</v>
      </c>
      <c r="H261" s="293" t="s">
        <v>965</v>
      </c>
      <c r="I261" s="296" t="str">
        <f t="shared" si="36"/>
        <v>niet van toepassing</v>
      </c>
      <c r="J261" s="294" t="s">
        <v>655</v>
      </c>
      <c r="K261" s="297"/>
      <c r="L261" s="297">
        <v>16</v>
      </c>
      <c r="M261" s="298" t="s">
        <v>17</v>
      </c>
      <c r="N261" s="299">
        <f t="shared" si="38"/>
        <v>0</v>
      </c>
      <c r="O261" s="483">
        <v>1</v>
      </c>
      <c r="P261" s="483">
        <v>1</v>
      </c>
      <c r="Q261" s="291">
        <f t="shared" si="39"/>
        <v>0</v>
      </c>
      <c r="R261" s="291">
        <f t="shared" si="40"/>
        <v>0</v>
      </c>
      <c r="S261" s="300">
        <f t="shared" si="34"/>
        <v>0</v>
      </c>
      <c r="T261" s="300">
        <f t="shared" si="35"/>
        <v>0</v>
      </c>
      <c r="U261" s="769">
        <f t="shared" si="37"/>
        <v>0</v>
      </c>
      <c r="V261" s="302"/>
      <c r="W261" s="303">
        <f>(Q261+R261)*'1.0-Contractblad'!$L$37</f>
        <v>0</v>
      </c>
      <c r="X261" s="303">
        <f ca="1">VLOOKUP(E261,'1.1a-Jaarprijzen'!$B$32:$Q$51,16,FALSE)*K261</f>
        <v>0</v>
      </c>
      <c r="Z261" s="771">
        <f t="shared" si="41"/>
        <v>0</v>
      </c>
      <c r="AA261" s="491" t="str">
        <f t="shared" si="42"/>
        <v>nvt-0</v>
      </c>
    </row>
    <row r="262" spans="2:27" s="489" customFormat="1" ht="15" hidden="1">
      <c r="B262" s="329"/>
      <c r="C262" s="330"/>
      <c r="D262" s="294">
        <f>VLOOKUP(E262,'1.1a-Jaarprijzen'!$B$13:$G$29,6,FALSE)</f>
        <v>3</v>
      </c>
      <c r="E262" s="768" t="s">
        <v>806</v>
      </c>
      <c r="F262" s="294" t="s">
        <v>387</v>
      </c>
      <c r="G262" s="295" t="s">
        <v>719</v>
      </c>
      <c r="H262" s="293" t="s">
        <v>388</v>
      </c>
      <c r="I262" s="296" t="str">
        <f t="shared" si="36"/>
        <v>entree, gang, hal, repro</v>
      </c>
      <c r="J262" s="294" t="s">
        <v>655</v>
      </c>
      <c r="K262" s="297">
        <v>50</v>
      </c>
      <c r="L262" s="297"/>
      <c r="M262" s="298">
        <v>3200</v>
      </c>
      <c r="N262" s="299">
        <f t="shared" si="38"/>
        <v>200</v>
      </c>
      <c r="O262" s="483">
        <v>1</v>
      </c>
      <c r="P262" s="483">
        <v>1</v>
      </c>
      <c r="Q262" s="291">
        <f t="shared" si="39"/>
        <v>0</v>
      </c>
      <c r="R262" s="291">
        <f t="shared" si="40"/>
        <v>0</v>
      </c>
      <c r="S262" s="300">
        <f t="shared" si="34"/>
        <v>0</v>
      </c>
      <c r="T262" s="300">
        <f t="shared" si="35"/>
        <v>0</v>
      </c>
      <c r="U262" s="769" t="str">
        <f t="shared" si="37"/>
        <v>V</v>
      </c>
      <c r="V262" s="302"/>
      <c r="W262" s="303">
        <f>(Q262+R262)*'1.0-Contractblad'!$L$37</f>
        <v>0</v>
      </c>
      <c r="X262" s="303">
        <f ca="1">VLOOKUP(E262,'1.1a-Jaarprijzen'!$B$32:$Q$51,16,FALSE)*K262</f>
        <v>0</v>
      </c>
      <c r="Z262" s="771">
        <f t="shared" si="41"/>
        <v>10000</v>
      </c>
      <c r="AA262" s="491" t="str">
        <f t="shared" si="42"/>
        <v>3200-200</v>
      </c>
    </row>
    <row r="263" spans="2:27" s="489" customFormat="1" ht="15" hidden="1">
      <c r="B263" s="329"/>
      <c r="C263" s="330"/>
      <c r="D263" s="294">
        <f>VLOOKUP(E263,'1.1a-Jaarprijzen'!$B$13:$G$29,6,FALSE)</f>
        <v>3</v>
      </c>
      <c r="E263" s="768" t="s">
        <v>806</v>
      </c>
      <c r="F263" s="294" t="s">
        <v>387</v>
      </c>
      <c r="G263" s="295" t="s">
        <v>720</v>
      </c>
      <c r="H263" s="293" t="s">
        <v>398</v>
      </c>
      <c r="I263" s="296" t="str">
        <f t="shared" si="36"/>
        <v>administratieve -,  vergaderruimte</v>
      </c>
      <c r="J263" s="294" t="s">
        <v>462</v>
      </c>
      <c r="K263" s="297">
        <v>29</v>
      </c>
      <c r="L263" s="297"/>
      <c r="M263" s="298">
        <v>1200</v>
      </c>
      <c r="N263" s="299">
        <f t="shared" si="38"/>
        <v>200</v>
      </c>
      <c r="O263" s="483">
        <v>1</v>
      </c>
      <c r="P263" s="483">
        <v>1</v>
      </c>
      <c r="Q263" s="291">
        <f t="shared" si="39"/>
        <v>0</v>
      </c>
      <c r="R263" s="291">
        <f t="shared" si="40"/>
        <v>0</v>
      </c>
      <c r="S263" s="300">
        <f t="shared" si="34"/>
        <v>0</v>
      </c>
      <c r="T263" s="300">
        <f t="shared" si="35"/>
        <v>0</v>
      </c>
      <c r="U263" s="769" t="str">
        <f t="shared" si="37"/>
        <v>V</v>
      </c>
      <c r="V263" s="302"/>
      <c r="W263" s="303">
        <f>(Q263+R263)*'1.0-Contractblad'!$L$37</f>
        <v>0</v>
      </c>
      <c r="X263" s="303">
        <f ca="1">VLOOKUP(E263,'1.1a-Jaarprijzen'!$B$32:$Q$51,16,FALSE)*K263</f>
        <v>0</v>
      </c>
      <c r="Z263" s="771">
        <f t="shared" si="41"/>
        <v>5800</v>
      </c>
      <c r="AA263" s="491" t="str">
        <f t="shared" si="42"/>
        <v>1200-200</v>
      </c>
    </row>
    <row r="264" spans="2:27" s="489" customFormat="1" ht="15" hidden="1">
      <c r="B264" s="329"/>
      <c r="C264" s="330"/>
      <c r="D264" s="294">
        <f>VLOOKUP(E264,'1.1a-Jaarprijzen'!$B$13:$G$29,6,FALSE)</f>
        <v>3</v>
      </c>
      <c r="E264" s="768" t="s">
        <v>806</v>
      </c>
      <c r="F264" s="294" t="s">
        <v>387</v>
      </c>
      <c r="G264" s="295" t="s">
        <v>565</v>
      </c>
      <c r="H264" s="293" t="s">
        <v>992</v>
      </c>
      <c r="I264" s="296" t="str">
        <f t="shared" si="36"/>
        <v>sanitaire ruimte (toilet-/doucheruimte)</v>
      </c>
      <c r="J264" s="294" t="s">
        <v>461</v>
      </c>
      <c r="K264" s="297">
        <v>4</v>
      </c>
      <c r="L264" s="297"/>
      <c r="M264" s="298">
        <v>4200</v>
      </c>
      <c r="N264" s="299">
        <f t="shared" si="38"/>
        <v>200</v>
      </c>
      <c r="O264" s="483">
        <v>1</v>
      </c>
      <c r="P264" s="483">
        <v>1</v>
      </c>
      <c r="Q264" s="291">
        <f t="shared" si="39"/>
        <v>0</v>
      </c>
      <c r="R264" s="291">
        <f t="shared" si="40"/>
        <v>0</v>
      </c>
      <c r="S264" s="300">
        <f t="shared" si="34"/>
        <v>0</v>
      </c>
      <c r="T264" s="300">
        <f t="shared" si="35"/>
        <v>0</v>
      </c>
      <c r="U264" s="769" t="str">
        <f t="shared" si="37"/>
        <v>S</v>
      </c>
      <c r="V264" s="302"/>
      <c r="W264" s="303">
        <f>(Q264+R264)*'1.0-Contractblad'!$L$37</f>
        <v>0</v>
      </c>
      <c r="X264" s="303">
        <f ca="1">VLOOKUP(E264,'1.1a-Jaarprijzen'!$B$32:$Q$51,16,FALSE)*K264</f>
        <v>0</v>
      </c>
      <c r="Z264" s="771">
        <f t="shared" si="41"/>
        <v>800</v>
      </c>
      <c r="AA264" s="491" t="str">
        <f t="shared" si="42"/>
        <v>4200-200</v>
      </c>
    </row>
    <row r="265" spans="2:27" s="489" customFormat="1" ht="15" hidden="1">
      <c r="B265" s="329"/>
      <c r="C265" s="330"/>
      <c r="D265" s="294">
        <f>VLOOKUP(E265,'1.1a-Jaarprijzen'!$B$13:$G$29,6,FALSE)</f>
        <v>3</v>
      </c>
      <c r="E265" s="768" t="s">
        <v>806</v>
      </c>
      <c r="F265" s="294" t="s">
        <v>387</v>
      </c>
      <c r="G265" s="295" t="s">
        <v>566</v>
      </c>
      <c r="H265" s="293" t="s">
        <v>993</v>
      </c>
      <c r="I265" s="296" t="str">
        <f t="shared" si="36"/>
        <v>administratieve -,  vergaderruimte</v>
      </c>
      <c r="J265" s="294" t="s">
        <v>462</v>
      </c>
      <c r="K265" s="297">
        <v>18</v>
      </c>
      <c r="L265" s="297"/>
      <c r="M265" s="298">
        <v>1200</v>
      </c>
      <c r="N265" s="299">
        <f t="shared" si="38"/>
        <v>200</v>
      </c>
      <c r="O265" s="483">
        <v>1</v>
      </c>
      <c r="P265" s="483">
        <v>1</v>
      </c>
      <c r="Q265" s="291">
        <f t="shared" si="39"/>
        <v>0</v>
      </c>
      <c r="R265" s="291">
        <f t="shared" si="40"/>
        <v>0</v>
      </c>
      <c r="S265" s="300">
        <f t="shared" si="34"/>
        <v>0</v>
      </c>
      <c r="T265" s="300">
        <f t="shared" si="35"/>
        <v>0</v>
      </c>
      <c r="U265" s="769" t="str">
        <f t="shared" si="37"/>
        <v>V</v>
      </c>
      <c r="V265" s="302"/>
      <c r="W265" s="303">
        <f>(Q265+R265)*'1.0-Contractblad'!$L$37</f>
        <v>0</v>
      </c>
      <c r="X265" s="303">
        <f ca="1">VLOOKUP(E265,'1.1a-Jaarprijzen'!$B$32:$Q$51,16,FALSE)*K265</f>
        <v>0</v>
      </c>
      <c r="Z265" s="771">
        <f t="shared" si="41"/>
        <v>3600</v>
      </c>
      <c r="AA265" s="491" t="str">
        <f t="shared" si="42"/>
        <v>1200-200</v>
      </c>
    </row>
    <row r="266" spans="2:27" s="489" customFormat="1" ht="15" hidden="1">
      <c r="B266" s="329"/>
      <c r="C266" s="330"/>
      <c r="D266" s="294">
        <f>VLOOKUP(E266,'1.1a-Jaarprijzen'!$B$13:$G$29,6,FALSE)</f>
        <v>3</v>
      </c>
      <c r="E266" s="768" t="s">
        <v>806</v>
      </c>
      <c r="F266" s="294" t="s">
        <v>387</v>
      </c>
      <c r="G266" s="295" t="s">
        <v>807</v>
      </c>
      <c r="H266" s="293" t="s">
        <v>291</v>
      </c>
      <c r="I266" s="296" t="str">
        <f t="shared" si="36"/>
        <v>trappenhuis</v>
      </c>
      <c r="J266" s="294" t="s">
        <v>465</v>
      </c>
      <c r="K266" s="297">
        <v>8.36</v>
      </c>
      <c r="L266" s="297"/>
      <c r="M266" s="298">
        <v>9200</v>
      </c>
      <c r="N266" s="299">
        <f t="shared" si="38"/>
        <v>200</v>
      </c>
      <c r="O266" s="483">
        <v>1</v>
      </c>
      <c r="P266" s="483">
        <v>1</v>
      </c>
      <c r="Q266" s="291">
        <f t="shared" si="39"/>
        <v>0</v>
      </c>
      <c r="R266" s="291">
        <f t="shared" si="40"/>
        <v>0</v>
      </c>
      <c r="S266" s="300">
        <f t="shared" si="34"/>
        <v>0</v>
      </c>
      <c r="T266" s="300">
        <f t="shared" si="35"/>
        <v>0</v>
      </c>
      <c r="U266" s="769" t="str">
        <f t="shared" si="37"/>
        <v>V</v>
      </c>
      <c r="V266" s="302"/>
      <c r="W266" s="303">
        <f>(Q266+R266)*'1.0-Contractblad'!$L$37</f>
        <v>0</v>
      </c>
      <c r="X266" s="303">
        <f ca="1">VLOOKUP(E266,'1.1a-Jaarprijzen'!$B$32:$Q$51,16,FALSE)*K266</f>
        <v>0</v>
      </c>
      <c r="Z266" s="771">
        <f t="shared" si="41"/>
        <v>1672</v>
      </c>
      <c r="AA266" s="491" t="str">
        <f t="shared" si="42"/>
        <v>9200-200</v>
      </c>
    </row>
    <row r="267" spans="2:27" s="489" customFormat="1" ht="15" hidden="1">
      <c r="B267" s="329"/>
      <c r="C267" s="330"/>
      <c r="D267" s="294">
        <f>VLOOKUP(E267,'1.1a-Jaarprijzen'!$B$13:$G$29,6,FALSE)</f>
        <v>3</v>
      </c>
      <c r="E267" s="785" t="s">
        <v>806</v>
      </c>
      <c r="F267" s="294" t="s">
        <v>387</v>
      </c>
      <c r="G267" s="295" t="s">
        <v>574</v>
      </c>
      <c r="H267" s="293" t="s">
        <v>994</v>
      </c>
      <c r="I267" s="296" t="str">
        <f t="shared" si="36"/>
        <v>kinderverblijf ruimte</v>
      </c>
      <c r="J267" s="294" t="s">
        <v>655</v>
      </c>
      <c r="K267" s="297">
        <v>9</v>
      </c>
      <c r="L267" s="297"/>
      <c r="M267" s="298">
        <v>12260</v>
      </c>
      <c r="N267" s="299">
        <f t="shared" si="38"/>
        <v>260</v>
      </c>
      <c r="O267" s="483">
        <v>1</v>
      </c>
      <c r="P267" s="483">
        <v>1</v>
      </c>
      <c r="Q267" s="291">
        <f t="shared" si="39"/>
        <v>0</v>
      </c>
      <c r="R267" s="291">
        <f t="shared" si="40"/>
        <v>0</v>
      </c>
      <c r="S267" s="300">
        <f t="shared" si="34"/>
        <v>0</v>
      </c>
      <c r="T267" s="300">
        <f t="shared" si="35"/>
        <v>0</v>
      </c>
      <c r="U267" s="769" t="str">
        <f t="shared" si="37"/>
        <v>V</v>
      </c>
      <c r="V267" s="302" t="s">
        <v>1037</v>
      </c>
      <c r="W267" s="303">
        <f>(Q267+R267)*'1.0-Contractblad'!$L$37</f>
        <v>0</v>
      </c>
      <c r="X267" s="303">
        <f ca="1">VLOOKUP(E267,'1.1a-Jaarprijzen'!$B$32:$Q$51,16,FALSE)*K267</f>
        <v>0</v>
      </c>
      <c r="Z267" s="771">
        <f t="shared" si="41"/>
        <v>2340</v>
      </c>
      <c r="AA267" s="491" t="str">
        <f t="shared" si="42"/>
        <v>12260-260</v>
      </c>
    </row>
    <row r="268" spans="2:27" s="489" customFormat="1" ht="15" hidden="1">
      <c r="B268" s="329"/>
      <c r="C268" s="330"/>
      <c r="D268" s="294">
        <f>VLOOKUP(E268,'1.1a-Jaarprijzen'!$B$13:$G$29,6,FALSE)</f>
        <v>3</v>
      </c>
      <c r="E268" s="768" t="s">
        <v>806</v>
      </c>
      <c r="F268" s="294" t="s">
        <v>387</v>
      </c>
      <c r="G268" s="295" t="s">
        <v>575</v>
      </c>
      <c r="H268" s="293" t="s">
        <v>995</v>
      </c>
      <c r="I268" s="296" t="str">
        <f t="shared" si="36"/>
        <v>niet van toepassing</v>
      </c>
      <c r="J268" s="294" t="s">
        <v>655</v>
      </c>
      <c r="K268" s="297"/>
      <c r="L268" s="297">
        <v>5</v>
      </c>
      <c r="M268" s="298" t="s">
        <v>17</v>
      </c>
      <c r="N268" s="299">
        <f t="shared" si="38"/>
        <v>0</v>
      </c>
      <c r="O268" s="483">
        <v>1</v>
      </c>
      <c r="P268" s="483">
        <v>1</v>
      </c>
      <c r="Q268" s="291">
        <f t="shared" si="39"/>
        <v>0</v>
      </c>
      <c r="R268" s="291">
        <f t="shared" si="40"/>
        <v>0</v>
      </c>
      <c r="S268" s="300">
        <f t="shared" si="34"/>
        <v>0</v>
      </c>
      <c r="T268" s="300">
        <f t="shared" si="35"/>
        <v>0</v>
      </c>
      <c r="U268" s="769">
        <f t="shared" si="37"/>
        <v>0</v>
      </c>
      <c r="V268" s="302" t="s">
        <v>1037</v>
      </c>
      <c r="W268" s="303">
        <f>(Q268+R268)*'1.0-Contractblad'!$L$37</f>
        <v>0</v>
      </c>
      <c r="X268" s="303">
        <f ca="1">VLOOKUP(E268,'1.1a-Jaarprijzen'!$B$32:$Q$51,16,FALSE)*K268</f>
        <v>0</v>
      </c>
      <c r="Z268" s="771">
        <f t="shared" si="41"/>
        <v>0</v>
      </c>
      <c r="AA268" s="491" t="str">
        <f t="shared" si="42"/>
        <v>nvt-0</v>
      </c>
    </row>
    <row r="269" spans="2:27" s="489" customFormat="1" ht="15" hidden="1">
      <c r="B269" s="329"/>
      <c r="C269" s="330"/>
      <c r="D269" s="294">
        <f>VLOOKUP(E269,'1.1a-Jaarprijzen'!$B$13:$G$29,6,FALSE)</f>
        <v>3</v>
      </c>
      <c r="E269" s="785" t="s">
        <v>806</v>
      </c>
      <c r="F269" s="294" t="s">
        <v>387</v>
      </c>
      <c r="G269" s="294" t="s">
        <v>576</v>
      </c>
      <c r="H269" s="709" t="s">
        <v>994</v>
      </c>
      <c r="I269" s="296" t="str">
        <f t="shared" si="17"/>
        <v>kinderverblijf ruimte</v>
      </c>
      <c r="J269" s="294" t="s">
        <v>655</v>
      </c>
      <c r="K269" s="297">
        <v>8</v>
      </c>
      <c r="L269" s="297"/>
      <c r="M269" s="298">
        <v>12260</v>
      </c>
      <c r="N269" s="299">
        <f t="shared" si="38"/>
        <v>260</v>
      </c>
      <c r="O269" s="483">
        <v>1</v>
      </c>
      <c r="P269" s="483">
        <v>1</v>
      </c>
      <c r="Q269" s="291">
        <f t="shared" si="39"/>
        <v>0</v>
      </c>
      <c r="R269" s="291">
        <f t="shared" si="40"/>
        <v>0</v>
      </c>
      <c r="S269" s="300">
        <f t="shared" si="34"/>
        <v>0</v>
      </c>
      <c r="T269" s="300">
        <f t="shared" si="35"/>
        <v>0</v>
      </c>
      <c r="U269" s="769" t="str">
        <f t="shared" si="37"/>
        <v>V</v>
      </c>
      <c r="V269" s="302" t="s">
        <v>1037</v>
      </c>
      <c r="W269" s="303">
        <f>(Q269+R269)*'1.0-Contractblad'!$L$37</f>
        <v>0</v>
      </c>
      <c r="X269" s="303">
        <f ca="1">VLOOKUP(E269,'1.1a-Jaarprijzen'!$B$32:$Q$51,16,FALSE)*K269</f>
        <v>0</v>
      </c>
      <c r="Z269" s="771">
        <f t="shared" si="41"/>
        <v>2080</v>
      </c>
      <c r="AA269" s="491" t="str">
        <f t="shared" si="42"/>
        <v>12260-260</v>
      </c>
    </row>
    <row r="270" spans="2:27" s="489" customFormat="1" ht="15" hidden="1">
      <c r="B270" s="329"/>
      <c r="C270" s="330"/>
      <c r="D270" s="294">
        <f>VLOOKUP(E270,'1.1a-Jaarprijzen'!$B$13:$G$29,6,FALSE)</f>
        <v>3</v>
      </c>
      <c r="E270" s="785" t="s">
        <v>806</v>
      </c>
      <c r="F270" s="294" t="s">
        <v>387</v>
      </c>
      <c r="G270" s="294" t="s">
        <v>577</v>
      </c>
      <c r="H270" s="709" t="s">
        <v>996</v>
      </c>
      <c r="I270" s="296" t="str">
        <f t="shared" si="17"/>
        <v>kinderverblijf ruimte</v>
      </c>
      <c r="J270" s="294" t="s">
        <v>461</v>
      </c>
      <c r="K270" s="297">
        <v>9</v>
      </c>
      <c r="L270" s="297"/>
      <c r="M270" s="298">
        <v>12260</v>
      </c>
      <c r="N270" s="299">
        <f t="shared" si="38"/>
        <v>260</v>
      </c>
      <c r="O270" s="483">
        <v>1</v>
      </c>
      <c r="P270" s="483">
        <v>1</v>
      </c>
      <c r="Q270" s="291">
        <f t="shared" si="39"/>
        <v>0</v>
      </c>
      <c r="R270" s="291">
        <f t="shared" si="40"/>
        <v>0</v>
      </c>
      <c r="S270" s="300">
        <f t="shared" si="34"/>
        <v>0</v>
      </c>
      <c r="T270" s="300">
        <f t="shared" si="35"/>
        <v>0</v>
      </c>
      <c r="U270" s="769" t="str">
        <f t="shared" si="37"/>
        <v>V</v>
      </c>
      <c r="V270" s="302" t="s">
        <v>1037</v>
      </c>
      <c r="W270" s="303">
        <f>(Q270+R270)*'1.0-Contractblad'!$L$37</f>
        <v>0</v>
      </c>
      <c r="X270" s="303">
        <f ca="1">VLOOKUP(E270,'1.1a-Jaarprijzen'!$B$32:$Q$51,16,FALSE)*K270</f>
        <v>0</v>
      </c>
      <c r="Z270" s="771">
        <f t="shared" si="41"/>
        <v>2340</v>
      </c>
      <c r="AA270" s="491" t="str">
        <f t="shared" si="42"/>
        <v>12260-260</v>
      </c>
    </row>
    <row r="271" spans="2:27" s="489" customFormat="1" ht="15" hidden="1">
      <c r="B271" s="329"/>
      <c r="C271" s="330"/>
      <c r="D271" s="294">
        <f>VLOOKUP(E271,'1.1a-Jaarprijzen'!$B$13:$G$29,6,FALSE)</f>
        <v>3</v>
      </c>
      <c r="E271" s="785" t="s">
        <v>806</v>
      </c>
      <c r="F271" s="294" t="s">
        <v>387</v>
      </c>
      <c r="G271" s="294" t="s">
        <v>578</v>
      </c>
      <c r="H271" s="709" t="s">
        <v>997</v>
      </c>
      <c r="I271" s="296" t="str">
        <f t="shared" si="17"/>
        <v>Kinderopvang</v>
      </c>
      <c r="J271" s="294" t="s">
        <v>655</v>
      </c>
      <c r="K271" s="297">
        <v>51</v>
      </c>
      <c r="L271" s="297"/>
      <c r="M271" s="298">
        <v>22260</v>
      </c>
      <c r="N271" s="299">
        <f t="shared" si="38"/>
        <v>260</v>
      </c>
      <c r="O271" s="483">
        <v>1</v>
      </c>
      <c r="P271" s="483">
        <v>1</v>
      </c>
      <c r="Q271" s="291">
        <f t="shared" si="39"/>
        <v>0</v>
      </c>
      <c r="R271" s="291">
        <f t="shared" si="40"/>
        <v>0</v>
      </c>
      <c r="S271" s="300">
        <f t="shared" si="34"/>
        <v>0</v>
      </c>
      <c r="T271" s="300">
        <f t="shared" si="35"/>
        <v>0</v>
      </c>
      <c r="U271" s="769" t="str">
        <f t="shared" si="37"/>
        <v>L</v>
      </c>
      <c r="V271" s="302" t="s">
        <v>1037</v>
      </c>
      <c r="W271" s="303">
        <f>(Q271+R271)*'1.0-Contractblad'!$L$37</f>
        <v>0</v>
      </c>
      <c r="X271" s="303">
        <f ca="1">VLOOKUP(E271,'1.1a-Jaarprijzen'!$B$32:$Q$51,16,FALSE)*K271</f>
        <v>0</v>
      </c>
      <c r="Z271" s="771">
        <f t="shared" si="41"/>
        <v>13260</v>
      </c>
      <c r="AA271" s="491" t="str">
        <f t="shared" si="42"/>
        <v>22260-260</v>
      </c>
    </row>
    <row r="272" spans="2:27" s="489" customFormat="1" ht="15" hidden="1">
      <c r="B272" s="329"/>
      <c r="C272" s="330"/>
      <c r="D272" s="294">
        <f>VLOOKUP(E272,'1.1a-Jaarprijzen'!$B$13:$G$29,6,FALSE)</f>
        <v>3</v>
      </c>
      <c r="E272" s="785" t="s">
        <v>806</v>
      </c>
      <c r="F272" s="294" t="s">
        <v>387</v>
      </c>
      <c r="G272" s="294" t="s">
        <v>579</v>
      </c>
      <c r="H272" s="709" t="s">
        <v>998</v>
      </c>
      <c r="I272" s="296" t="str">
        <f t="shared" si="17"/>
        <v>aula, gemeenschappelijke ruimte, bibliotheek</v>
      </c>
      <c r="J272" s="294" t="s">
        <v>655</v>
      </c>
      <c r="K272" s="297">
        <v>24</v>
      </c>
      <c r="L272" s="297"/>
      <c r="M272" s="298">
        <v>2260</v>
      </c>
      <c r="N272" s="299">
        <f t="shared" si="38"/>
        <v>260</v>
      </c>
      <c r="O272" s="483">
        <v>1</v>
      </c>
      <c r="P272" s="483">
        <v>1</v>
      </c>
      <c r="Q272" s="291">
        <f t="shared" si="39"/>
        <v>0</v>
      </c>
      <c r="R272" s="291">
        <f t="shared" si="40"/>
        <v>0</v>
      </c>
      <c r="S272" s="300">
        <f t="shared" si="34"/>
        <v>0</v>
      </c>
      <c r="T272" s="300">
        <f t="shared" si="35"/>
        <v>0</v>
      </c>
      <c r="U272" s="769" t="str">
        <f t="shared" si="37"/>
        <v>V</v>
      </c>
      <c r="V272" s="302" t="s">
        <v>1037</v>
      </c>
      <c r="W272" s="303">
        <f>(Q272+R272)*'1.0-Contractblad'!$L$37</f>
        <v>0</v>
      </c>
      <c r="X272" s="303">
        <f ca="1">VLOOKUP(E272,'1.1a-Jaarprijzen'!$B$32:$Q$51,16,FALSE)*K272</f>
        <v>0</v>
      </c>
      <c r="Z272" s="771">
        <f t="shared" si="41"/>
        <v>6240</v>
      </c>
      <c r="AA272" s="491" t="str">
        <f t="shared" si="42"/>
        <v>2260-260</v>
      </c>
    </row>
    <row r="273" spans="2:27" s="489" customFormat="1" ht="15" hidden="1">
      <c r="B273" s="329"/>
      <c r="C273" s="330"/>
      <c r="D273" s="294">
        <f>VLOOKUP(E273,'1.1a-Jaarprijzen'!$B$13:$G$29,6,FALSE)</f>
        <v>3</v>
      </c>
      <c r="E273" s="768" t="s">
        <v>806</v>
      </c>
      <c r="F273" s="294" t="s">
        <v>261</v>
      </c>
      <c r="G273" s="294" t="s">
        <v>580</v>
      </c>
      <c r="H273" s="709" t="s">
        <v>646</v>
      </c>
      <c r="I273" s="296" t="str">
        <f t="shared" si="17"/>
        <v>leslokaal/leerplein groep 4 t/m 8</v>
      </c>
      <c r="J273" s="294" t="s">
        <v>655</v>
      </c>
      <c r="K273" s="297">
        <v>69</v>
      </c>
      <c r="L273" s="297"/>
      <c r="M273" s="298">
        <v>18200</v>
      </c>
      <c r="N273" s="299">
        <f t="shared" si="38"/>
        <v>200</v>
      </c>
      <c r="O273" s="483">
        <v>1</v>
      </c>
      <c r="P273" s="483">
        <v>1</v>
      </c>
      <c r="Q273" s="291">
        <f t="shared" si="39"/>
        <v>0</v>
      </c>
      <c r="R273" s="291">
        <f t="shared" si="40"/>
        <v>0</v>
      </c>
      <c r="S273" s="300">
        <f t="shared" si="34"/>
        <v>0</v>
      </c>
      <c r="T273" s="300">
        <f t="shared" si="35"/>
        <v>0</v>
      </c>
      <c r="U273" s="769" t="str">
        <f t="shared" si="37"/>
        <v>L</v>
      </c>
      <c r="V273" s="302"/>
      <c r="W273" s="303">
        <f>(Q273+R273)*'1.0-Contractblad'!$L$37</f>
        <v>0</v>
      </c>
      <c r="X273" s="303">
        <f ca="1">VLOOKUP(E273,'1.1a-Jaarprijzen'!$B$32:$Q$51,16,FALSE)*K273</f>
        <v>0</v>
      </c>
      <c r="Z273" s="771">
        <f t="shared" si="41"/>
        <v>13800</v>
      </c>
      <c r="AA273" s="491" t="str">
        <f t="shared" si="42"/>
        <v>18200-200</v>
      </c>
    </row>
    <row r="274" spans="2:27" s="489" customFormat="1" ht="15" hidden="1">
      <c r="B274" s="329"/>
      <c r="C274" s="330"/>
      <c r="D274" s="294">
        <f>VLOOKUP(E274,'1.1a-Jaarprijzen'!$B$13:$G$29,6,FALSE)</f>
        <v>3</v>
      </c>
      <c r="E274" s="768" t="s">
        <v>806</v>
      </c>
      <c r="F274" s="294" t="s">
        <v>261</v>
      </c>
      <c r="G274" s="294" t="s">
        <v>581</v>
      </c>
      <c r="H274" s="709" t="s">
        <v>698</v>
      </c>
      <c r="I274" s="296" t="str">
        <f t="shared" si="17"/>
        <v>entree, gang, hal, repro</v>
      </c>
      <c r="J274" s="294" t="s">
        <v>655</v>
      </c>
      <c r="K274" s="297">
        <v>66</v>
      </c>
      <c r="L274" s="297"/>
      <c r="M274" s="298">
        <v>3200</v>
      </c>
      <c r="N274" s="299">
        <f t="shared" si="38"/>
        <v>200</v>
      </c>
      <c r="O274" s="483">
        <v>1</v>
      </c>
      <c r="P274" s="483">
        <v>1</v>
      </c>
      <c r="Q274" s="291">
        <f t="shared" si="39"/>
        <v>0</v>
      </c>
      <c r="R274" s="291">
        <f t="shared" si="40"/>
        <v>0</v>
      </c>
      <c r="S274" s="300">
        <f t="shared" si="34"/>
        <v>0</v>
      </c>
      <c r="T274" s="300">
        <f t="shared" si="35"/>
        <v>0</v>
      </c>
      <c r="U274" s="769" t="str">
        <f t="shared" si="37"/>
        <v>V</v>
      </c>
      <c r="V274" s="302"/>
      <c r="W274" s="303">
        <f>(Q274+R274)*'1.0-Contractblad'!$L$37</f>
        <v>0</v>
      </c>
      <c r="X274" s="303">
        <f ca="1">VLOOKUP(E274,'1.1a-Jaarprijzen'!$B$32:$Q$51,16,FALSE)*K274</f>
        <v>0</v>
      </c>
      <c r="Z274" s="771">
        <f t="shared" si="41"/>
        <v>13200</v>
      </c>
      <c r="AA274" s="491" t="str">
        <f t="shared" si="42"/>
        <v>3200-200</v>
      </c>
    </row>
    <row r="275" spans="2:27" s="489" customFormat="1" ht="15" hidden="1">
      <c r="B275" s="329"/>
      <c r="C275" s="330"/>
      <c r="D275" s="294">
        <f>VLOOKUP(E275,'1.1a-Jaarprijzen'!$B$13:$G$29,6,FALSE)</f>
        <v>3</v>
      </c>
      <c r="E275" s="768" t="s">
        <v>806</v>
      </c>
      <c r="F275" s="294" t="s">
        <v>261</v>
      </c>
      <c r="G275" s="294" t="s">
        <v>582</v>
      </c>
      <c r="H275" s="709" t="s">
        <v>477</v>
      </c>
      <c r="I275" s="296" t="str">
        <f t="shared" si="17"/>
        <v>sanitaire ruimte (toilet-/doucheruimte)</v>
      </c>
      <c r="J275" s="294" t="s">
        <v>461</v>
      </c>
      <c r="K275" s="297">
        <v>8</v>
      </c>
      <c r="L275" s="297"/>
      <c r="M275" s="298">
        <v>4200</v>
      </c>
      <c r="N275" s="299">
        <f t="shared" si="38"/>
        <v>200</v>
      </c>
      <c r="O275" s="483">
        <v>1</v>
      </c>
      <c r="P275" s="483">
        <v>1</v>
      </c>
      <c r="Q275" s="291">
        <f t="shared" si="39"/>
        <v>0</v>
      </c>
      <c r="R275" s="291">
        <f t="shared" si="40"/>
        <v>0</v>
      </c>
      <c r="S275" s="300">
        <f t="shared" si="34"/>
        <v>0</v>
      </c>
      <c r="T275" s="300">
        <f t="shared" si="35"/>
        <v>0</v>
      </c>
      <c r="U275" s="769" t="str">
        <f t="shared" si="37"/>
        <v>S</v>
      </c>
      <c r="V275" s="302"/>
      <c r="W275" s="303">
        <f>(Q275+R275)*'1.0-Contractblad'!$L$37</f>
        <v>0</v>
      </c>
      <c r="X275" s="303">
        <f ca="1">VLOOKUP(E275,'1.1a-Jaarprijzen'!$B$32:$Q$51,16,FALSE)*K275</f>
        <v>0</v>
      </c>
      <c r="Z275" s="771">
        <f t="shared" si="41"/>
        <v>1600</v>
      </c>
      <c r="AA275" s="491" t="str">
        <f t="shared" si="42"/>
        <v>4200-200</v>
      </c>
    </row>
    <row r="276" spans="2:27" s="489" customFormat="1" ht="15" hidden="1">
      <c r="B276" s="329"/>
      <c r="C276" s="330"/>
      <c r="D276" s="294">
        <f>VLOOKUP(E276,'1.1a-Jaarprijzen'!$B$13:$G$29,6,FALSE)</f>
        <v>3</v>
      </c>
      <c r="E276" s="768" t="s">
        <v>806</v>
      </c>
      <c r="F276" s="294" t="s">
        <v>261</v>
      </c>
      <c r="G276" s="294" t="s">
        <v>583</v>
      </c>
      <c r="H276" s="709" t="s">
        <v>646</v>
      </c>
      <c r="I276" s="296" t="str">
        <f t="shared" si="17"/>
        <v>leslokaal/leerplein groep 4 t/m 8</v>
      </c>
      <c r="J276" s="294" t="s">
        <v>655</v>
      </c>
      <c r="K276" s="297">
        <v>68</v>
      </c>
      <c r="L276" s="297"/>
      <c r="M276" s="298">
        <v>18200</v>
      </c>
      <c r="N276" s="299">
        <f t="shared" si="38"/>
        <v>200</v>
      </c>
      <c r="O276" s="483">
        <v>1</v>
      </c>
      <c r="P276" s="483">
        <v>1</v>
      </c>
      <c r="Q276" s="291">
        <f t="shared" si="39"/>
        <v>0</v>
      </c>
      <c r="R276" s="291">
        <f t="shared" si="40"/>
        <v>0</v>
      </c>
      <c r="S276" s="300">
        <f t="shared" si="34"/>
        <v>0</v>
      </c>
      <c r="T276" s="300">
        <f t="shared" si="35"/>
        <v>0</v>
      </c>
      <c r="U276" s="769" t="str">
        <f t="shared" si="37"/>
        <v>L</v>
      </c>
      <c r="V276" s="302"/>
      <c r="W276" s="303">
        <f>(Q276+R276)*'1.0-Contractblad'!$L$37</f>
        <v>0</v>
      </c>
      <c r="X276" s="303">
        <f ca="1">VLOOKUP(E276,'1.1a-Jaarprijzen'!$B$32:$Q$51,16,FALSE)*K276</f>
        <v>0</v>
      </c>
      <c r="Z276" s="771">
        <f t="shared" si="41"/>
        <v>13600</v>
      </c>
      <c r="AA276" s="491" t="str">
        <f t="shared" si="42"/>
        <v>18200-200</v>
      </c>
    </row>
    <row r="277" spans="2:27" s="489" customFormat="1" ht="15" hidden="1">
      <c r="B277" s="329"/>
      <c r="C277" s="330"/>
      <c r="D277" s="294">
        <f>VLOOKUP(E277,'1.1a-Jaarprijzen'!$B$13:$G$29,6,FALSE)</f>
        <v>3</v>
      </c>
      <c r="E277" s="768" t="s">
        <v>806</v>
      </c>
      <c r="F277" s="294" t="s">
        <v>261</v>
      </c>
      <c r="G277" s="294" t="s">
        <v>584</v>
      </c>
      <c r="H277" s="709" t="s">
        <v>626</v>
      </c>
      <c r="I277" s="296" t="str">
        <f t="shared" si="17"/>
        <v>niet van toepassing</v>
      </c>
      <c r="J277" s="294" t="s">
        <v>655</v>
      </c>
      <c r="K277" s="297"/>
      <c r="L277" s="297">
        <v>36</v>
      </c>
      <c r="M277" s="298" t="s">
        <v>17</v>
      </c>
      <c r="N277" s="299">
        <f t="shared" si="38"/>
        <v>0</v>
      </c>
      <c r="O277" s="483">
        <v>1</v>
      </c>
      <c r="P277" s="483">
        <v>1</v>
      </c>
      <c r="Q277" s="291">
        <f t="shared" si="39"/>
        <v>0</v>
      </c>
      <c r="R277" s="291">
        <f t="shared" si="40"/>
        <v>0</v>
      </c>
      <c r="S277" s="300">
        <f t="shared" si="34"/>
        <v>0</v>
      </c>
      <c r="T277" s="300">
        <f t="shared" si="35"/>
        <v>0</v>
      </c>
      <c r="U277" s="769">
        <f t="shared" si="37"/>
        <v>0</v>
      </c>
      <c r="V277" s="302"/>
      <c r="W277" s="303">
        <f>(Q277+R277)*'1.0-Contractblad'!$L$37</f>
        <v>0</v>
      </c>
      <c r="X277" s="303">
        <f ca="1">VLOOKUP(E277,'1.1a-Jaarprijzen'!$B$32:$Q$51,16,FALSE)*K277</f>
        <v>0</v>
      </c>
      <c r="Z277" s="771">
        <f t="shared" si="41"/>
        <v>0</v>
      </c>
      <c r="AA277" s="491" t="str">
        <f t="shared" si="42"/>
        <v>nvt-0</v>
      </c>
    </row>
    <row r="278" spans="2:27" s="489" customFormat="1" ht="15" hidden="1">
      <c r="B278" s="329"/>
      <c r="C278" s="330"/>
      <c r="D278" s="294">
        <f>VLOOKUP(E278,'1.1a-Jaarprijzen'!$B$13:$G$29,6,FALSE)</f>
        <v>3</v>
      </c>
      <c r="E278" s="768" t="s">
        <v>806</v>
      </c>
      <c r="F278" s="294" t="s">
        <v>261</v>
      </c>
      <c r="G278" s="294" t="s">
        <v>699</v>
      </c>
      <c r="H278" s="709" t="s">
        <v>477</v>
      </c>
      <c r="I278" s="296" t="str">
        <f t="shared" si="17"/>
        <v>sanitaire ruimte (toilet-/doucheruimte)</v>
      </c>
      <c r="J278" s="294" t="s">
        <v>461</v>
      </c>
      <c r="K278" s="297">
        <v>8</v>
      </c>
      <c r="L278" s="297"/>
      <c r="M278" s="298">
        <v>4200</v>
      </c>
      <c r="N278" s="299">
        <f t="shared" si="38"/>
        <v>200</v>
      </c>
      <c r="O278" s="483">
        <v>1</v>
      </c>
      <c r="P278" s="483">
        <v>1</v>
      </c>
      <c r="Q278" s="291">
        <f t="shared" si="39"/>
        <v>0</v>
      </c>
      <c r="R278" s="291">
        <f t="shared" si="40"/>
        <v>0</v>
      </c>
      <c r="S278" s="300">
        <f t="shared" si="34"/>
        <v>0</v>
      </c>
      <c r="T278" s="300">
        <f t="shared" si="35"/>
        <v>0</v>
      </c>
      <c r="U278" s="769" t="str">
        <f t="shared" si="37"/>
        <v>S</v>
      </c>
      <c r="V278" s="302"/>
      <c r="W278" s="303">
        <f>(Q278+R278)*'1.0-Contractblad'!$L$37</f>
        <v>0</v>
      </c>
      <c r="X278" s="303">
        <f ca="1">VLOOKUP(E278,'1.1a-Jaarprijzen'!$B$32:$Q$51,16,FALSE)*K278</f>
        <v>0</v>
      </c>
      <c r="Z278" s="771">
        <f t="shared" si="41"/>
        <v>1600</v>
      </c>
      <c r="AA278" s="491" t="str">
        <f t="shared" si="42"/>
        <v>4200-200</v>
      </c>
    </row>
    <row r="279" spans="2:27" s="489" customFormat="1" ht="15" hidden="1">
      <c r="B279" s="329"/>
      <c r="C279" s="330"/>
      <c r="D279" s="294">
        <f>VLOOKUP(E279,'1.1a-Jaarprijzen'!$B$13:$G$29,6,FALSE)</f>
        <v>3</v>
      </c>
      <c r="E279" s="768" t="s">
        <v>806</v>
      </c>
      <c r="F279" s="294" t="s">
        <v>261</v>
      </c>
      <c r="G279" s="294" t="s">
        <v>585</v>
      </c>
      <c r="H279" s="709" t="s">
        <v>403</v>
      </c>
      <c r="I279" s="296" t="str">
        <f t="shared" si="17"/>
        <v>niet van toepassing</v>
      </c>
      <c r="J279" s="294" t="s">
        <v>655</v>
      </c>
      <c r="K279" s="297"/>
      <c r="L279" s="297">
        <v>17</v>
      </c>
      <c r="M279" s="298" t="s">
        <v>17</v>
      </c>
      <c r="N279" s="299">
        <f t="shared" si="38"/>
        <v>0</v>
      </c>
      <c r="O279" s="483">
        <v>1</v>
      </c>
      <c r="P279" s="483">
        <v>1</v>
      </c>
      <c r="Q279" s="291">
        <f t="shared" si="39"/>
        <v>0</v>
      </c>
      <c r="R279" s="291">
        <f t="shared" si="40"/>
        <v>0</v>
      </c>
      <c r="S279" s="300">
        <f t="shared" si="34"/>
        <v>0</v>
      </c>
      <c r="T279" s="300">
        <f t="shared" si="35"/>
        <v>0</v>
      </c>
      <c r="U279" s="769">
        <f t="shared" si="37"/>
        <v>0</v>
      </c>
      <c r="V279" s="302"/>
      <c r="W279" s="303">
        <f>(Q279+R279)*'1.0-Contractblad'!$L$37</f>
        <v>0</v>
      </c>
      <c r="X279" s="303">
        <f ca="1">VLOOKUP(E279,'1.1a-Jaarprijzen'!$B$32:$Q$51,16,FALSE)*K279</f>
        <v>0</v>
      </c>
      <c r="Z279" s="771">
        <f t="shared" si="41"/>
        <v>0</v>
      </c>
      <c r="AA279" s="491" t="str">
        <f t="shared" si="42"/>
        <v>nvt-0</v>
      </c>
    </row>
    <row r="280" spans="2:27" s="489" customFormat="1" ht="15" hidden="1">
      <c r="B280" s="329"/>
      <c r="C280" s="330"/>
      <c r="D280" s="294">
        <f>VLOOKUP(E280,'1.1a-Jaarprijzen'!$B$13:$G$29,6,FALSE)</f>
        <v>3</v>
      </c>
      <c r="E280" s="768" t="s">
        <v>806</v>
      </c>
      <c r="F280" s="294" t="s">
        <v>261</v>
      </c>
      <c r="G280" s="294" t="s">
        <v>586</v>
      </c>
      <c r="H280" s="709" t="s">
        <v>999</v>
      </c>
      <c r="I280" s="296" t="str">
        <f t="shared" si="17"/>
        <v>aula, gemeenschappelijke ruimte, bibliotheek</v>
      </c>
      <c r="J280" s="294" t="s">
        <v>655</v>
      </c>
      <c r="K280" s="297">
        <v>37</v>
      </c>
      <c r="L280" s="297"/>
      <c r="M280" s="298">
        <v>2200</v>
      </c>
      <c r="N280" s="299">
        <f t="shared" si="38"/>
        <v>200</v>
      </c>
      <c r="O280" s="483">
        <v>1</v>
      </c>
      <c r="P280" s="483">
        <v>1</v>
      </c>
      <c r="Q280" s="291">
        <f t="shared" si="39"/>
        <v>0</v>
      </c>
      <c r="R280" s="291">
        <f t="shared" si="40"/>
        <v>0</v>
      </c>
      <c r="S280" s="300">
        <f t="shared" si="34"/>
        <v>0</v>
      </c>
      <c r="T280" s="300">
        <f t="shared" si="35"/>
        <v>0</v>
      </c>
      <c r="U280" s="769" t="str">
        <f t="shared" si="37"/>
        <v>V</v>
      </c>
      <c r="V280" s="302"/>
      <c r="W280" s="303">
        <f>(Q280+R280)*'1.0-Contractblad'!$L$37</f>
        <v>0</v>
      </c>
      <c r="X280" s="303">
        <f ca="1">VLOOKUP(E280,'1.1a-Jaarprijzen'!$B$32:$Q$51,16,FALSE)*K280</f>
        <v>0</v>
      </c>
      <c r="Z280" s="771">
        <f t="shared" si="41"/>
        <v>7400</v>
      </c>
      <c r="AA280" s="491" t="str">
        <f t="shared" si="42"/>
        <v>2200-200</v>
      </c>
    </row>
    <row r="281" spans="2:27" s="489" customFormat="1" ht="15" hidden="1">
      <c r="B281" s="329"/>
      <c r="C281" s="330"/>
      <c r="D281" s="294">
        <f>VLOOKUP(E281,'1.1a-Jaarprijzen'!$B$13:$G$29,6,FALSE)</f>
        <v>3</v>
      </c>
      <c r="E281" s="768" t="s">
        <v>806</v>
      </c>
      <c r="F281" s="294" t="s">
        <v>261</v>
      </c>
      <c r="G281" s="294" t="s">
        <v>587</v>
      </c>
      <c r="H281" s="709" t="s">
        <v>646</v>
      </c>
      <c r="I281" s="296" t="str">
        <f t="shared" si="17"/>
        <v>leslokaal/leerplein groep 4 t/m 8</v>
      </c>
      <c r="J281" s="294" t="s">
        <v>655</v>
      </c>
      <c r="K281" s="297">
        <v>57</v>
      </c>
      <c r="L281" s="297"/>
      <c r="M281" s="298">
        <v>18200</v>
      </c>
      <c r="N281" s="299">
        <f t="shared" si="38"/>
        <v>200</v>
      </c>
      <c r="O281" s="483">
        <v>1</v>
      </c>
      <c r="P281" s="483">
        <v>1</v>
      </c>
      <c r="Q281" s="291">
        <f t="shared" si="39"/>
        <v>0</v>
      </c>
      <c r="R281" s="291">
        <f t="shared" si="40"/>
        <v>0</v>
      </c>
      <c r="S281" s="300">
        <f t="shared" si="34"/>
        <v>0</v>
      </c>
      <c r="T281" s="300">
        <f t="shared" si="35"/>
        <v>0</v>
      </c>
      <c r="U281" s="769" t="str">
        <f t="shared" si="37"/>
        <v>L</v>
      </c>
      <c r="V281" s="302"/>
      <c r="W281" s="303">
        <f>(Q281+R281)*'1.0-Contractblad'!$L$37</f>
        <v>0</v>
      </c>
      <c r="X281" s="303">
        <f ca="1">VLOOKUP(E281,'1.1a-Jaarprijzen'!$B$32:$Q$51,16,FALSE)*K281</f>
        <v>0</v>
      </c>
      <c r="Z281" s="771">
        <f t="shared" si="41"/>
        <v>11400</v>
      </c>
      <c r="AA281" s="491" t="str">
        <f t="shared" si="42"/>
        <v>18200-200</v>
      </c>
    </row>
    <row r="282" spans="2:27" s="489" customFormat="1" ht="15" hidden="1">
      <c r="B282" s="329"/>
      <c r="C282" s="330"/>
      <c r="D282" s="294">
        <f>VLOOKUP(E282,'1.1a-Jaarprijzen'!$B$13:$G$29,6,FALSE)</f>
        <v>3</v>
      </c>
      <c r="E282" s="768" t="s">
        <v>806</v>
      </c>
      <c r="F282" s="294" t="s">
        <v>960</v>
      </c>
      <c r="G282" s="294" t="s">
        <v>712</v>
      </c>
      <c r="H282" s="709" t="s">
        <v>404</v>
      </c>
      <c r="I282" s="296" t="str">
        <f t="shared" si="17"/>
        <v>leslokaal/leerplein groep 4 t/m 8</v>
      </c>
      <c r="J282" s="294" t="s">
        <v>655</v>
      </c>
      <c r="K282" s="297">
        <v>52.5</v>
      </c>
      <c r="L282" s="297"/>
      <c r="M282" s="298">
        <v>18200</v>
      </c>
      <c r="N282" s="299">
        <f t="shared" si="38"/>
        <v>200</v>
      </c>
      <c r="O282" s="483">
        <v>1</v>
      </c>
      <c r="P282" s="483">
        <v>1</v>
      </c>
      <c r="Q282" s="291">
        <f t="shared" si="39"/>
        <v>0</v>
      </c>
      <c r="R282" s="291">
        <f t="shared" si="40"/>
        <v>0</v>
      </c>
      <c r="S282" s="300">
        <f t="shared" si="34"/>
        <v>0</v>
      </c>
      <c r="T282" s="300">
        <f t="shared" si="35"/>
        <v>0</v>
      </c>
      <c r="U282" s="769" t="str">
        <f t="shared" si="37"/>
        <v>L</v>
      </c>
      <c r="V282" s="302"/>
      <c r="W282" s="303">
        <f>(Q282+R282)*'1.0-Contractblad'!$L$37</f>
        <v>0</v>
      </c>
      <c r="X282" s="303">
        <f ca="1">VLOOKUP(E282,'1.1a-Jaarprijzen'!$B$32:$Q$51,16,FALSE)*K282</f>
        <v>0</v>
      </c>
      <c r="Z282" s="771">
        <f t="shared" si="41"/>
        <v>10500</v>
      </c>
      <c r="AA282" s="491" t="str">
        <f t="shared" si="42"/>
        <v>18200-200</v>
      </c>
    </row>
    <row r="283" spans="2:27" s="489" customFormat="1" ht="15" hidden="1">
      <c r="B283" s="329"/>
      <c r="C283" s="330"/>
      <c r="D283" s="294">
        <f>VLOOKUP(E283,'1.1a-Jaarprijzen'!$B$13:$G$29,6,FALSE)</f>
        <v>3</v>
      </c>
      <c r="E283" s="768" t="s">
        <v>806</v>
      </c>
      <c r="F283" s="294" t="s">
        <v>960</v>
      </c>
      <c r="G283" s="294" t="s">
        <v>713</v>
      </c>
      <c r="H283" s="709" t="s">
        <v>477</v>
      </c>
      <c r="I283" s="296" t="str">
        <f t="shared" si="17"/>
        <v>sanitaire ruimte (toilet-/doucheruimte)</v>
      </c>
      <c r="J283" s="294" t="s">
        <v>655</v>
      </c>
      <c r="K283" s="297">
        <v>6.3</v>
      </c>
      <c r="L283" s="297"/>
      <c r="M283" s="298">
        <v>4200</v>
      </c>
      <c r="N283" s="299">
        <f t="shared" si="38"/>
        <v>200</v>
      </c>
      <c r="O283" s="483">
        <v>1</v>
      </c>
      <c r="P283" s="483">
        <v>1</v>
      </c>
      <c r="Q283" s="291">
        <f t="shared" si="39"/>
        <v>0</v>
      </c>
      <c r="R283" s="291">
        <f t="shared" si="40"/>
        <v>0</v>
      </c>
      <c r="S283" s="300">
        <f t="shared" si="34"/>
        <v>0</v>
      </c>
      <c r="T283" s="300">
        <f t="shared" si="35"/>
        <v>0</v>
      </c>
      <c r="U283" s="769" t="str">
        <f t="shared" si="37"/>
        <v>S</v>
      </c>
      <c r="V283" s="302"/>
      <c r="W283" s="303">
        <f>(Q283+R283)*'1.0-Contractblad'!$L$37</f>
        <v>0</v>
      </c>
      <c r="X283" s="303">
        <f ca="1">VLOOKUP(E283,'1.1a-Jaarprijzen'!$B$32:$Q$51,16,FALSE)*K283</f>
        <v>0</v>
      </c>
      <c r="Z283" s="771">
        <f t="shared" si="41"/>
        <v>1260</v>
      </c>
      <c r="AA283" s="491" t="str">
        <f t="shared" si="42"/>
        <v>4200-200</v>
      </c>
    </row>
    <row r="284" spans="2:27" s="489" customFormat="1" ht="15" hidden="1">
      <c r="B284" s="329"/>
      <c r="C284" s="330"/>
      <c r="D284" s="294">
        <f>VLOOKUP(E284,'1.1a-Jaarprijzen'!$B$13:$G$29,6,FALSE)</f>
        <v>3</v>
      </c>
      <c r="E284" s="768" t="s">
        <v>806</v>
      </c>
      <c r="F284" s="294" t="s">
        <v>960</v>
      </c>
      <c r="G284" s="294" t="s">
        <v>714</v>
      </c>
      <c r="H284" s="709" t="s">
        <v>394</v>
      </c>
      <c r="I284" s="296" t="str">
        <f t="shared" si="17"/>
        <v>entree, gang, hal, repro</v>
      </c>
      <c r="J284" s="294" t="s">
        <v>655</v>
      </c>
      <c r="K284" s="297">
        <v>8.6999999999999993</v>
      </c>
      <c r="L284" s="297"/>
      <c r="M284" s="298">
        <v>3200</v>
      </c>
      <c r="N284" s="299">
        <f t="shared" si="38"/>
        <v>200</v>
      </c>
      <c r="O284" s="483">
        <v>1</v>
      </c>
      <c r="P284" s="483">
        <v>1</v>
      </c>
      <c r="Q284" s="291">
        <f t="shared" si="39"/>
        <v>0</v>
      </c>
      <c r="R284" s="291">
        <f t="shared" si="40"/>
        <v>0</v>
      </c>
      <c r="S284" s="300">
        <f t="shared" si="34"/>
        <v>0</v>
      </c>
      <c r="T284" s="300">
        <f t="shared" si="35"/>
        <v>0</v>
      </c>
      <c r="U284" s="769" t="str">
        <f t="shared" si="37"/>
        <v>V</v>
      </c>
      <c r="V284" s="302"/>
      <c r="W284" s="303">
        <f>(Q284+R284)*'1.0-Contractblad'!$L$37</f>
        <v>0</v>
      </c>
      <c r="X284" s="303">
        <f ca="1">VLOOKUP(E284,'1.1a-Jaarprijzen'!$B$32:$Q$51,16,FALSE)*K284</f>
        <v>0</v>
      </c>
      <c r="Z284" s="771">
        <f t="shared" si="41"/>
        <v>1739.9999999999998</v>
      </c>
      <c r="AA284" s="491" t="str">
        <f t="shared" si="42"/>
        <v>3200-200</v>
      </c>
    </row>
    <row r="285" spans="2:27" s="489" customFormat="1" ht="15" hidden="1">
      <c r="B285" s="329"/>
      <c r="C285" s="330"/>
      <c r="D285" s="294">
        <f>VLOOKUP(E285,'1.1a-Jaarprijzen'!$B$13:$G$29,6,FALSE)</f>
        <v>3</v>
      </c>
      <c r="E285" s="768" t="s">
        <v>806</v>
      </c>
      <c r="F285" s="294" t="s">
        <v>960</v>
      </c>
      <c r="G285" s="294" t="s">
        <v>715</v>
      </c>
      <c r="H285" s="709" t="s">
        <v>392</v>
      </c>
      <c r="I285" s="296" t="str">
        <f t="shared" si="17"/>
        <v>niet van toepassing</v>
      </c>
      <c r="J285" s="294" t="s">
        <v>655</v>
      </c>
      <c r="K285" s="297"/>
      <c r="L285" s="297">
        <v>8.5</v>
      </c>
      <c r="M285" s="298" t="s">
        <v>17</v>
      </c>
      <c r="N285" s="299">
        <f t="shared" si="38"/>
        <v>0</v>
      </c>
      <c r="O285" s="483">
        <v>1</v>
      </c>
      <c r="P285" s="483">
        <v>1</v>
      </c>
      <c r="Q285" s="291">
        <f t="shared" si="39"/>
        <v>0</v>
      </c>
      <c r="R285" s="291">
        <f t="shared" si="40"/>
        <v>0</v>
      </c>
      <c r="S285" s="300">
        <f t="shared" si="34"/>
        <v>0</v>
      </c>
      <c r="T285" s="300">
        <f t="shared" si="35"/>
        <v>0</v>
      </c>
      <c r="U285" s="769">
        <f t="shared" si="37"/>
        <v>0</v>
      </c>
      <c r="V285" s="302"/>
      <c r="W285" s="303">
        <f>(Q285+R285)*'1.0-Contractblad'!$L$37</f>
        <v>0</v>
      </c>
      <c r="X285" s="303">
        <f ca="1">VLOOKUP(E285,'1.1a-Jaarprijzen'!$B$32:$Q$51,16,FALSE)*K285</f>
        <v>0</v>
      </c>
      <c r="Z285" s="771">
        <f t="shared" si="41"/>
        <v>0</v>
      </c>
      <c r="AA285" s="491" t="str">
        <f t="shared" si="42"/>
        <v>nvt-0</v>
      </c>
    </row>
    <row r="286" spans="2:27" s="489" customFormat="1" ht="15" hidden="1">
      <c r="B286" s="329"/>
      <c r="C286" s="330"/>
      <c r="D286" s="294">
        <f>VLOOKUP(E286,'1.1a-Jaarprijzen'!$B$13:$G$29,6,FALSE)</f>
        <v>3</v>
      </c>
      <c r="E286" s="768" t="s">
        <v>806</v>
      </c>
      <c r="F286" s="294" t="s">
        <v>961</v>
      </c>
      <c r="G286" s="294" t="s">
        <v>567</v>
      </c>
      <c r="H286" s="709" t="s">
        <v>404</v>
      </c>
      <c r="I286" s="296" t="str">
        <f t="shared" si="17"/>
        <v>leslokaal/leerplein groep 4 t/m 8</v>
      </c>
      <c r="J286" s="294" t="s">
        <v>655</v>
      </c>
      <c r="K286" s="297">
        <v>52.5</v>
      </c>
      <c r="L286" s="297"/>
      <c r="M286" s="298">
        <v>18200</v>
      </c>
      <c r="N286" s="299">
        <f t="shared" si="38"/>
        <v>200</v>
      </c>
      <c r="O286" s="483">
        <v>1</v>
      </c>
      <c r="P286" s="483">
        <v>1</v>
      </c>
      <c r="Q286" s="291">
        <f t="shared" si="39"/>
        <v>0</v>
      </c>
      <c r="R286" s="291">
        <f t="shared" si="40"/>
        <v>0</v>
      </c>
      <c r="S286" s="300">
        <f t="shared" ref="S286:S349" si="43">IF($M286=0,0,VLOOKUP($M286,Kengetal,6,FALSE))</f>
        <v>0</v>
      </c>
      <c r="T286" s="300">
        <f t="shared" ref="T286:T349" si="44">IF($M286=0,0,VLOOKUP($M286,Kengetal,7,FALSE))</f>
        <v>0</v>
      </c>
      <c r="U286" s="769" t="str">
        <f t="shared" si="37"/>
        <v>L</v>
      </c>
      <c r="V286" s="302"/>
      <c r="W286" s="303">
        <f>(Q286+R286)*'1.0-Contractblad'!$L$37</f>
        <v>0</v>
      </c>
      <c r="X286" s="303">
        <f ca="1">VLOOKUP(E286,'1.1a-Jaarprijzen'!$B$32:$Q$51,16,FALSE)*K286</f>
        <v>0</v>
      </c>
      <c r="Z286" s="771">
        <f t="shared" si="41"/>
        <v>10500</v>
      </c>
      <c r="AA286" s="491" t="str">
        <f t="shared" si="42"/>
        <v>18200-200</v>
      </c>
    </row>
    <row r="287" spans="2:27" s="489" customFormat="1" ht="15" hidden="1">
      <c r="B287" s="329"/>
      <c r="C287" s="330"/>
      <c r="D287" s="294">
        <f>VLOOKUP(E287,'1.1a-Jaarprijzen'!$B$13:$G$29,6,FALSE)</f>
        <v>3</v>
      </c>
      <c r="E287" s="768" t="s">
        <v>806</v>
      </c>
      <c r="F287" s="294" t="s">
        <v>961</v>
      </c>
      <c r="G287" s="294" t="s">
        <v>568</v>
      </c>
      <c r="H287" s="709" t="s">
        <v>477</v>
      </c>
      <c r="I287" s="296" t="str">
        <f t="shared" si="17"/>
        <v>sanitaire ruimte (toilet-/doucheruimte)</v>
      </c>
      <c r="J287" s="294" t="s">
        <v>655</v>
      </c>
      <c r="K287" s="297">
        <v>6.3</v>
      </c>
      <c r="L287" s="297"/>
      <c r="M287" s="298">
        <v>4200</v>
      </c>
      <c r="N287" s="299">
        <f t="shared" si="38"/>
        <v>200</v>
      </c>
      <c r="O287" s="483">
        <v>1</v>
      </c>
      <c r="P287" s="483">
        <v>1</v>
      </c>
      <c r="Q287" s="291">
        <f t="shared" si="39"/>
        <v>0</v>
      </c>
      <c r="R287" s="291">
        <f t="shared" si="40"/>
        <v>0</v>
      </c>
      <c r="S287" s="300">
        <f t="shared" si="43"/>
        <v>0</v>
      </c>
      <c r="T287" s="300">
        <f t="shared" si="44"/>
        <v>0</v>
      </c>
      <c r="U287" s="769" t="str">
        <f t="shared" si="37"/>
        <v>S</v>
      </c>
      <c r="V287" s="302"/>
      <c r="W287" s="303">
        <f>(Q287+R287)*'1.0-Contractblad'!$L$37</f>
        <v>0</v>
      </c>
      <c r="X287" s="303">
        <f ca="1">VLOOKUP(E287,'1.1a-Jaarprijzen'!$B$32:$Q$51,16,FALSE)*K287</f>
        <v>0</v>
      </c>
      <c r="Z287" s="771">
        <f t="shared" si="41"/>
        <v>1260</v>
      </c>
      <c r="AA287" s="491" t="str">
        <f t="shared" si="42"/>
        <v>4200-200</v>
      </c>
    </row>
    <row r="288" spans="2:27" s="489" customFormat="1" ht="15" hidden="1">
      <c r="B288" s="329"/>
      <c r="C288" s="330"/>
      <c r="D288" s="294">
        <f>VLOOKUP(E288,'1.1a-Jaarprijzen'!$B$13:$G$29,6,FALSE)</f>
        <v>3</v>
      </c>
      <c r="E288" s="768" t="s">
        <v>806</v>
      </c>
      <c r="F288" s="294" t="s">
        <v>961</v>
      </c>
      <c r="G288" s="294" t="s">
        <v>569</v>
      </c>
      <c r="H288" s="709" t="s">
        <v>394</v>
      </c>
      <c r="I288" s="296" t="str">
        <f t="shared" si="17"/>
        <v>entree, gang, hal, repro</v>
      </c>
      <c r="J288" s="294" t="s">
        <v>655</v>
      </c>
      <c r="K288" s="297">
        <v>8.6999999999999993</v>
      </c>
      <c r="L288" s="297"/>
      <c r="M288" s="298">
        <v>3200</v>
      </c>
      <c r="N288" s="299">
        <f t="shared" si="38"/>
        <v>200</v>
      </c>
      <c r="O288" s="483">
        <v>1</v>
      </c>
      <c r="P288" s="483">
        <v>1</v>
      </c>
      <c r="Q288" s="291">
        <f t="shared" si="39"/>
        <v>0</v>
      </c>
      <c r="R288" s="291">
        <f t="shared" si="40"/>
        <v>0</v>
      </c>
      <c r="S288" s="300">
        <f t="shared" si="43"/>
        <v>0</v>
      </c>
      <c r="T288" s="300">
        <f t="shared" si="44"/>
        <v>0</v>
      </c>
      <c r="U288" s="769" t="str">
        <f t="shared" si="37"/>
        <v>V</v>
      </c>
      <c r="V288" s="302"/>
      <c r="W288" s="303">
        <f>(Q288+R288)*'1.0-Contractblad'!$L$37</f>
        <v>0</v>
      </c>
      <c r="X288" s="303">
        <f ca="1">VLOOKUP(E288,'1.1a-Jaarprijzen'!$B$32:$Q$51,16,FALSE)*K288</f>
        <v>0</v>
      </c>
      <c r="Z288" s="771">
        <f t="shared" si="41"/>
        <v>1739.9999999999998</v>
      </c>
      <c r="AA288" s="491" t="str">
        <f t="shared" si="42"/>
        <v>3200-200</v>
      </c>
    </row>
    <row r="289" spans="2:27" s="489" customFormat="1" ht="15" hidden="1">
      <c r="B289" s="329"/>
      <c r="C289" s="330"/>
      <c r="D289" s="294">
        <f>VLOOKUP(E289,'1.1a-Jaarprijzen'!$B$13:$G$29,6,FALSE)</f>
        <v>3</v>
      </c>
      <c r="E289" s="768" t="s">
        <v>806</v>
      </c>
      <c r="F289" s="294" t="s">
        <v>961</v>
      </c>
      <c r="G289" s="294" t="s">
        <v>570</v>
      </c>
      <c r="H289" s="709" t="s">
        <v>392</v>
      </c>
      <c r="I289" s="296" t="str">
        <f t="shared" si="17"/>
        <v>niet van toepassing</v>
      </c>
      <c r="J289" s="294" t="s">
        <v>655</v>
      </c>
      <c r="K289" s="297"/>
      <c r="L289" s="297">
        <v>8.5</v>
      </c>
      <c r="M289" s="298" t="s">
        <v>17</v>
      </c>
      <c r="N289" s="299">
        <f t="shared" si="38"/>
        <v>0</v>
      </c>
      <c r="O289" s="483">
        <v>1</v>
      </c>
      <c r="P289" s="483">
        <v>1</v>
      </c>
      <c r="Q289" s="291">
        <f t="shared" si="39"/>
        <v>0</v>
      </c>
      <c r="R289" s="291">
        <f t="shared" si="40"/>
        <v>0</v>
      </c>
      <c r="S289" s="300">
        <f t="shared" si="43"/>
        <v>0</v>
      </c>
      <c r="T289" s="300">
        <f t="shared" si="44"/>
        <v>0</v>
      </c>
      <c r="U289" s="769">
        <f t="shared" si="37"/>
        <v>0</v>
      </c>
      <c r="V289" s="302"/>
      <c r="W289" s="303">
        <f>(Q289+R289)*'1.0-Contractblad'!$L$37</f>
        <v>0</v>
      </c>
      <c r="X289" s="303">
        <f ca="1">VLOOKUP(E289,'1.1a-Jaarprijzen'!$B$32:$Q$51,16,FALSE)*K289</f>
        <v>0</v>
      </c>
      <c r="Z289" s="771">
        <f t="shared" si="41"/>
        <v>0</v>
      </c>
      <c r="AA289" s="491" t="str">
        <f t="shared" si="42"/>
        <v>nvt-0</v>
      </c>
    </row>
    <row r="290" spans="2:27" s="489" customFormat="1" ht="15" hidden="1">
      <c r="B290" s="329"/>
      <c r="C290" s="330"/>
      <c r="D290" s="294">
        <f>VLOOKUP(E290,'1.1a-Jaarprijzen'!$B$13:$G$29,6,FALSE)</f>
        <v>3</v>
      </c>
      <c r="E290" s="770" t="s">
        <v>808</v>
      </c>
      <c r="F290" s="294" t="s">
        <v>387</v>
      </c>
      <c r="G290" s="294" t="s">
        <v>809</v>
      </c>
      <c r="H290" s="709" t="s">
        <v>1000</v>
      </c>
      <c r="I290" s="296" t="str">
        <f t="shared" si="17"/>
        <v>entree, gang, hal, repro</v>
      </c>
      <c r="J290" s="294" t="s">
        <v>655</v>
      </c>
      <c r="K290" s="297">
        <v>38.5</v>
      </c>
      <c r="L290" s="297"/>
      <c r="M290" s="298">
        <v>3260</v>
      </c>
      <c r="N290" s="299">
        <f t="shared" si="38"/>
        <v>260</v>
      </c>
      <c r="O290" s="483">
        <v>1</v>
      </c>
      <c r="P290" s="483">
        <v>1</v>
      </c>
      <c r="Q290" s="291">
        <f t="shared" si="39"/>
        <v>0</v>
      </c>
      <c r="R290" s="291">
        <f t="shared" si="40"/>
        <v>0</v>
      </c>
      <c r="S290" s="300">
        <f t="shared" si="43"/>
        <v>0</v>
      </c>
      <c r="T290" s="300">
        <f t="shared" si="44"/>
        <v>0</v>
      </c>
      <c r="U290" s="769" t="str">
        <f t="shared" si="37"/>
        <v>V</v>
      </c>
      <c r="V290" s="302"/>
      <c r="W290" s="303">
        <f>(Q290+R290)*'1.0-Contractblad'!$L$37</f>
        <v>0</v>
      </c>
      <c r="X290" s="303">
        <f ca="1">VLOOKUP(E290,'1.1a-Jaarprijzen'!$B$32:$Q$51,16,FALSE)*K290</f>
        <v>0</v>
      </c>
      <c r="Z290" s="771">
        <f t="shared" si="41"/>
        <v>10010</v>
      </c>
      <c r="AA290" s="491" t="str">
        <f t="shared" si="42"/>
        <v>3260-260</v>
      </c>
    </row>
    <row r="291" spans="2:27" s="489" customFormat="1" ht="15" hidden="1">
      <c r="B291" s="329"/>
      <c r="C291" s="330"/>
      <c r="D291" s="294">
        <f>VLOOKUP(E291,'1.1a-Jaarprijzen'!$B$13:$G$29,6,FALSE)</f>
        <v>3</v>
      </c>
      <c r="E291" s="770" t="s">
        <v>808</v>
      </c>
      <c r="F291" s="294" t="s">
        <v>387</v>
      </c>
      <c r="G291" s="294" t="s">
        <v>810</v>
      </c>
      <c r="H291" s="709" t="s">
        <v>700</v>
      </c>
      <c r="I291" s="296" t="str">
        <f t="shared" si="17"/>
        <v>speellokaal</v>
      </c>
      <c r="J291" s="294" t="s">
        <v>463</v>
      </c>
      <c r="K291" s="297">
        <v>85.5</v>
      </c>
      <c r="L291" s="297"/>
      <c r="M291" s="298">
        <v>8260</v>
      </c>
      <c r="N291" s="299">
        <f t="shared" si="38"/>
        <v>260</v>
      </c>
      <c r="O291" s="483">
        <v>1</v>
      </c>
      <c r="P291" s="483">
        <v>1</v>
      </c>
      <c r="Q291" s="291">
        <f t="shared" si="39"/>
        <v>0</v>
      </c>
      <c r="R291" s="291">
        <f t="shared" si="40"/>
        <v>0</v>
      </c>
      <c r="S291" s="300">
        <f t="shared" si="43"/>
        <v>0</v>
      </c>
      <c r="T291" s="300">
        <f t="shared" si="44"/>
        <v>0</v>
      </c>
      <c r="U291" s="769" t="str">
        <f t="shared" si="37"/>
        <v>L</v>
      </c>
      <c r="V291" s="302"/>
      <c r="W291" s="303">
        <f>(Q291+R291)*'1.0-Contractblad'!$L$37</f>
        <v>0</v>
      </c>
      <c r="X291" s="303">
        <f ca="1">VLOOKUP(E291,'1.1a-Jaarprijzen'!$B$32:$Q$51,16,FALSE)*K291</f>
        <v>0</v>
      </c>
      <c r="Z291" s="771">
        <f t="shared" si="41"/>
        <v>22230</v>
      </c>
      <c r="AA291" s="491" t="str">
        <f t="shared" si="42"/>
        <v>8260-260</v>
      </c>
    </row>
    <row r="292" spans="2:27" s="489" customFormat="1" ht="15" hidden="1">
      <c r="B292" s="329"/>
      <c r="C292" s="330"/>
      <c r="D292" s="294">
        <f>VLOOKUP(E292,'1.1a-Jaarprijzen'!$B$13:$G$29,6,FALSE)</f>
        <v>3</v>
      </c>
      <c r="E292" s="770" t="s">
        <v>808</v>
      </c>
      <c r="F292" s="294" t="s">
        <v>387</v>
      </c>
      <c r="G292" s="294" t="s">
        <v>811</v>
      </c>
      <c r="H292" s="709" t="s">
        <v>388</v>
      </c>
      <c r="I292" s="296" t="str">
        <f t="shared" si="17"/>
        <v>entree, gang, hal, repro</v>
      </c>
      <c r="J292" s="294" t="s">
        <v>466</v>
      </c>
      <c r="K292" s="297">
        <v>48</v>
      </c>
      <c r="L292" s="297"/>
      <c r="M292" s="298">
        <v>3260</v>
      </c>
      <c r="N292" s="299">
        <f t="shared" si="38"/>
        <v>260</v>
      </c>
      <c r="O292" s="483">
        <v>1</v>
      </c>
      <c r="P292" s="483">
        <v>1</v>
      </c>
      <c r="Q292" s="291">
        <f t="shared" si="39"/>
        <v>0</v>
      </c>
      <c r="R292" s="291">
        <f t="shared" si="40"/>
        <v>0</v>
      </c>
      <c r="S292" s="300">
        <f t="shared" si="43"/>
        <v>0</v>
      </c>
      <c r="T292" s="300">
        <f t="shared" si="44"/>
        <v>0</v>
      </c>
      <c r="U292" s="769" t="str">
        <f t="shared" si="37"/>
        <v>V</v>
      </c>
      <c r="V292" s="302"/>
      <c r="W292" s="303">
        <f>(Q292+R292)*'1.0-Contractblad'!$L$37</f>
        <v>0</v>
      </c>
      <c r="X292" s="303">
        <f ca="1">VLOOKUP(E292,'1.1a-Jaarprijzen'!$B$32:$Q$51,16,FALSE)*K292</f>
        <v>0</v>
      </c>
      <c r="Z292" s="771">
        <f t="shared" si="41"/>
        <v>12480</v>
      </c>
      <c r="AA292" s="491" t="str">
        <f t="shared" si="42"/>
        <v>3260-260</v>
      </c>
    </row>
    <row r="293" spans="2:27" s="489" customFormat="1" ht="15" hidden="1">
      <c r="B293" s="329"/>
      <c r="C293" s="330"/>
      <c r="D293" s="294">
        <f>VLOOKUP(E293,'1.1a-Jaarprijzen'!$B$13:$G$29,6,FALSE)</f>
        <v>3</v>
      </c>
      <c r="E293" s="768" t="s">
        <v>808</v>
      </c>
      <c r="F293" s="294" t="s">
        <v>387</v>
      </c>
      <c r="G293" s="294" t="s">
        <v>812</v>
      </c>
      <c r="H293" s="709" t="s">
        <v>964</v>
      </c>
      <c r="I293" s="296" t="str">
        <f t="shared" si="17"/>
        <v>administratieve -,  vergaderruimte</v>
      </c>
      <c r="J293" s="294" t="s">
        <v>655</v>
      </c>
      <c r="K293" s="297">
        <v>31.9</v>
      </c>
      <c r="L293" s="297"/>
      <c r="M293" s="298">
        <v>1200</v>
      </c>
      <c r="N293" s="299">
        <f t="shared" si="38"/>
        <v>200</v>
      </c>
      <c r="O293" s="483">
        <v>1</v>
      </c>
      <c r="P293" s="483">
        <v>1</v>
      </c>
      <c r="Q293" s="291">
        <f t="shared" si="39"/>
        <v>0</v>
      </c>
      <c r="R293" s="291">
        <f t="shared" si="40"/>
        <v>0</v>
      </c>
      <c r="S293" s="300">
        <f t="shared" si="43"/>
        <v>0</v>
      </c>
      <c r="T293" s="300">
        <f t="shared" si="44"/>
        <v>0</v>
      </c>
      <c r="U293" s="769" t="str">
        <f t="shared" ref="U293:U356" si="45">IF(M293="","",VLOOKUP(M293,Kengetal,14,FALSE))</f>
        <v>V</v>
      </c>
      <c r="V293" s="302"/>
      <c r="W293" s="303">
        <f>(Q293+R293)*'1.0-Contractblad'!$L$37</f>
        <v>0</v>
      </c>
      <c r="X293" s="303">
        <f ca="1">VLOOKUP(E293,'1.1a-Jaarprijzen'!$B$32:$Q$51,16,FALSE)*K293</f>
        <v>0</v>
      </c>
      <c r="Z293" s="771">
        <f t="shared" si="41"/>
        <v>6380</v>
      </c>
      <c r="AA293" s="491" t="str">
        <f t="shared" si="42"/>
        <v>1200-200</v>
      </c>
    </row>
    <row r="294" spans="2:27" s="489" customFormat="1" ht="15" hidden="1">
      <c r="B294" s="329"/>
      <c r="C294" s="330"/>
      <c r="D294" s="294">
        <f>VLOOKUP(E294,'1.1a-Jaarprijzen'!$B$13:$G$29,6,FALSE)</f>
        <v>3</v>
      </c>
      <c r="E294" s="768" t="s">
        <v>808</v>
      </c>
      <c r="F294" s="294" t="s">
        <v>387</v>
      </c>
      <c r="G294" s="294" t="s">
        <v>724</v>
      </c>
      <c r="H294" s="709" t="s">
        <v>1000</v>
      </c>
      <c r="I294" s="296" t="str">
        <f t="shared" si="17"/>
        <v>entree, gang, hal, repro</v>
      </c>
      <c r="J294" s="294" t="s">
        <v>466</v>
      </c>
      <c r="K294" s="297">
        <v>38.5</v>
      </c>
      <c r="L294" s="297"/>
      <c r="M294" s="298">
        <v>3200</v>
      </c>
      <c r="N294" s="299">
        <f t="shared" ref="N294:N357" si="46">VLOOKUP(M294,Kengetal,3,FALSE)</f>
        <v>200</v>
      </c>
      <c r="O294" s="483">
        <v>1</v>
      </c>
      <c r="P294" s="483">
        <v>1</v>
      </c>
      <c r="Q294" s="291">
        <f t="shared" ref="Q294:Q357" si="47">S294*K294*O294</f>
        <v>0</v>
      </c>
      <c r="R294" s="291">
        <f t="shared" ref="R294:R357" si="48">T294*K294*P294</f>
        <v>0</v>
      </c>
      <c r="S294" s="300">
        <f t="shared" si="43"/>
        <v>0</v>
      </c>
      <c r="T294" s="300">
        <f t="shared" si="44"/>
        <v>0</v>
      </c>
      <c r="U294" s="769" t="str">
        <f t="shared" si="45"/>
        <v>V</v>
      </c>
      <c r="V294" s="302"/>
      <c r="W294" s="303">
        <f>(Q294+R294)*'1.0-Contractblad'!$L$37</f>
        <v>0</v>
      </c>
      <c r="X294" s="303">
        <f ca="1">VLOOKUP(E294,'1.1a-Jaarprijzen'!$B$32:$Q$51,16,FALSE)*K294</f>
        <v>0</v>
      </c>
      <c r="Z294" s="771">
        <f t="shared" ref="Z294:Z357" si="49">K294*N294</f>
        <v>7700</v>
      </c>
      <c r="AA294" s="491" t="str">
        <f t="shared" ref="AA294:AA357" si="50">CONCATENATE(M294,"-",N294)</f>
        <v>3200-200</v>
      </c>
    </row>
    <row r="295" spans="2:27" s="489" customFormat="1" ht="15" hidden="1">
      <c r="B295" s="329"/>
      <c r="C295" s="330"/>
      <c r="D295" s="294">
        <f>VLOOKUP(E295,'1.1a-Jaarprijzen'!$B$13:$G$29,6,FALSE)</f>
        <v>3</v>
      </c>
      <c r="E295" s="768" t="s">
        <v>808</v>
      </c>
      <c r="F295" s="294" t="s">
        <v>387</v>
      </c>
      <c r="G295" s="294" t="s">
        <v>598</v>
      </c>
      <c r="H295" s="709" t="s">
        <v>397</v>
      </c>
      <c r="I295" s="296" t="str">
        <f t="shared" si="17"/>
        <v>aula, gemeenschappelijke ruimte, bibliotheek</v>
      </c>
      <c r="J295" s="294" t="s">
        <v>466</v>
      </c>
      <c r="K295" s="297">
        <v>75.8</v>
      </c>
      <c r="L295" s="297"/>
      <c r="M295" s="298">
        <v>2200</v>
      </c>
      <c r="N295" s="299">
        <f t="shared" si="46"/>
        <v>200</v>
      </c>
      <c r="O295" s="483">
        <v>1</v>
      </c>
      <c r="P295" s="483">
        <v>1</v>
      </c>
      <c r="Q295" s="291">
        <f t="shared" si="47"/>
        <v>0</v>
      </c>
      <c r="R295" s="291">
        <f t="shared" si="48"/>
        <v>0</v>
      </c>
      <c r="S295" s="300">
        <f t="shared" si="43"/>
        <v>0</v>
      </c>
      <c r="T295" s="300">
        <f t="shared" si="44"/>
        <v>0</v>
      </c>
      <c r="U295" s="769" t="str">
        <f t="shared" si="45"/>
        <v>V</v>
      </c>
      <c r="V295" s="302"/>
      <c r="W295" s="303">
        <f>(Q295+R295)*'1.0-Contractblad'!$L$37</f>
        <v>0</v>
      </c>
      <c r="X295" s="303">
        <f ca="1">VLOOKUP(E295,'1.1a-Jaarprijzen'!$B$32:$Q$51,16,FALSE)*K295</f>
        <v>0</v>
      </c>
      <c r="Z295" s="771">
        <f t="shared" si="49"/>
        <v>15160</v>
      </c>
      <c r="AA295" s="491" t="str">
        <f t="shared" si="50"/>
        <v>2200-200</v>
      </c>
    </row>
    <row r="296" spans="2:27" s="489" customFormat="1" ht="15" hidden="1">
      <c r="B296" s="329"/>
      <c r="C296" s="330"/>
      <c r="D296" s="294">
        <f>VLOOKUP(E296,'1.1a-Jaarprijzen'!$B$13:$G$29,6,FALSE)</f>
        <v>3</v>
      </c>
      <c r="E296" s="768" t="s">
        <v>808</v>
      </c>
      <c r="F296" s="294" t="s">
        <v>387</v>
      </c>
      <c r="G296" s="294" t="s">
        <v>599</v>
      </c>
      <c r="H296" s="709" t="s">
        <v>397</v>
      </c>
      <c r="I296" s="296" t="str">
        <f t="shared" si="17"/>
        <v>aula, gemeenschappelijke ruimte, bibliotheek</v>
      </c>
      <c r="J296" s="294" t="s">
        <v>466</v>
      </c>
      <c r="K296" s="297">
        <v>48.2</v>
      </c>
      <c r="L296" s="297"/>
      <c r="M296" s="298">
        <v>2200</v>
      </c>
      <c r="N296" s="299">
        <f t="shared" si="46"/>
        <v>200</v>
      </c>
      <c r="O296" s="483">
        <v>1</v>
      </c>
      <c r="P296" s="483">
        <v>1</v>
      </c>
      <c r="Q296" s="291">
        <f t="shared" si="47"/>
        <v>0</v>
      </c>
      <c r="R296" s="291">
        <f t="shared" si="48"/>
        <v>0</v>
      </c>
      <c r="S296" s="300">
        <f t="shared" si="43"/>
        <v>0</v>
      </c>
      <c r="T296" s="300">
        <f t="shared" si="44"/>
        <v>0</v>
      </c>
      <c r="U296" s="769" t="str">
        <f t="shared" si="45"/>
        <v>V</v>
      </c>
      <c r="V296" s="302"/>
      <c r="W296" s="303">
        <f>(Q296+R296)*'1.0-Contractblad'!$L$37</f>
        <v>0</v>
      </c>
      <c r="X296" s="303">
        <f ca="1">VLOOKUP(E296,'1.1a-Jaarprijzen'!$B$32:$Q$51,16,FALSE)*K296</f>
        <v>0</v>
      </c>
      <c r="Z296" s="771">
        <f t="shared" si="49"/>
        <v>9640</v>
      </c>
      <c r="AA296" s="491" t="str">
        <f t="shared" si="50"/>
        <v>2200-200</v>
      </c>
    </row>
    <row r="297" spans="2:27" s="489" customFormat="1" ht="15" hidden="1">
      <c r="B297" s="329"/>
      <c r="C297" s="330"/>
      <c r="D297" s="294">
        <f>VLOOKUP(E297,'1.1a-Jaarprijzen'!$B$13:$G$29,6,FALSE)</f>
        <v>3</v>
      </c>
      <c r="E297" s="768" t="s">
        <v>808</v>
      </c>
      <c r="F297" s="294" t="s">
        <v>387</v>
      </c>
      <c r="G297" s="294" t="s">
        <v>600</v>
      </c>
      <c r="H297" s="709" t="s">
        <v>397</v>
      </c>
      <c r="I297" s="296" t="str">
        <f t="shared" si="17"/>
        <v>aula, gemeenschappelijke ruimte, bibliotheek</v>
      </c>
      <c r="J297" s="294" t="s">
        <v>466</v>
      </c>
      <c r="K297" s="297">
        <v>126.7</v>
      </c>
      <c r="L297" s="297"/>
      <c r="M297" s="298">
        <v>2200</v>
      </c>
      <c r="N297" s="299">
        <f t="shared" si="46"/>
        <v>200</v>
      </c>
      <c r="O297" s="483">
        <v>1</v>
      </c>
      <c r="P297" s="483">
        <v>1</v>
      </c>
      <c r="Q297" s="291">
        <f t="shared" si="47"/>
        <v>0</v>
      </c>
      <c r="R297" s="291">
        <f t="shared" si="48"/>
        <v>0</v>
      </c>
      <c r="S297" s="300">
        <f t="shared" si="43"/>
        <v>0</v>
      </c>
      <c r="T297" s="300">
        <f t="shared" si="44"/>
        <v>0</v>
      </c>
      <c r="U297" s="769" t="str">
        <f t="shared" si="45"/>
        <v>V</v>
      </c>
      <c r="V297" s="302"/>
      <c r="W297" s="303">
        <f>(Q297+R297)*'1.0-Contractblad'!$L$37</f>
        <v>0</v>
      </c>
      <c r="X297" s="303">
        <f ca="1">VLOOKUP(E297,'1.1a-Jaarprijzen'!$B$32:$Q$51,16,FALSE)*K297</f>
        <v>0</v>
      </c>
      <c r="Z297" s="771">
        <f t="shared" si="49"/>
        <v>25340</v>
      </c>
      <c r="AA297" s="491" t="str">
        <f t="shared" si="50"/>
        <v>2200-200</v>
      </c>
    </row>
    <row r="298" spans="2:27" s="489" customFormat="1" ht="15" hidden="1">
      <c r="B298" s="329"/>
      <c r="C298" s="330"/>
      <c r="D298" s="294">
        <f>VLOOKUP(E298,'1.1a-Jaarprijzen'!$B$13:$G$29,6,FALSE)</f>
        <v>3</v>
      </c>
      <c r="E298" s="768" t="s">
        <v>808</v>
      </c>
      <c r="F298" s="294" t="s">
        <v>387</v>
      </c>
      <c r="G298" s="294" t="s">
        <v>601</v>
      </c>
      <c r="H298" s="709" t="s">
        <v>397</v>
      </c>
      <c r="I298" s="296" t="str">
        <f t="shared" si="17"/>
        <v>aula, gemeenschappelijke ruimte, bibliotheek</v>
      </c>
      <c r="J298" s="294" t="s">
        <v>466</v>
      </c>
      <c r="K298" s="297">
        <v>37.200000000000003</v>
      </c>
      <c r="L298" s="297"/>
      <c r="M298" s="298">
        <v>2200</v>
      </c>
      <c r="N298" s="299">
        <f t="shared" si="46"/>
        <v>200</v>
      </c>
      <c r="O298" s="483">
        <v>1</v>
      </c>
      <c r="P298" s="483">
        <v>1</v>
      </c>
      <c r="Q298" s="291">
        <f t="shared" si="47"/>
        <v>0</v>
      </c>
      <c r="R298" s="291">
        <f t="shared" si="48"/>
        <v>0</v>
      </c>
      <c r="S298" s="300">
        <f t="shared" si="43"/>
        <v>0</v>
      </c>
      <c r="T298" s="300">
        <f t="shared" si="44"/>
        <v>0</v>
      </c>
      <c r="U298" s="769" t="str">
        <f t="shared" si="45"/>
        <v>V</v>
      </c>
      <c r="V298" s="302"/>
      <c r="W298" s="303">
        <f>(Q298+R298)*'1.0-Contractblad'!$L$37</f>
        <v>0</v>
      </c>
      <c r="X298" s="303">
        <f ca="1">VLOOKUP(E298,'1.1a-Jaarprijzen'!$B$32:$Q$51,16,FALSE)*K298</f>
        <v>0</v>
      </c>
      <c r="Z298" s="771">
        <f t="shared" si="49"/>
        <v>7440.0000000000009</v>
      </c>
      <c r="AA298" s="491" t="str">
        <f t="shared" si="50"/>
        <v>2200-200</v>
      </c>
    </row>
    <row r="299" spans="2:27" s="489" customFormat="1" ht="15" hidden="1">
      <c r="B299" s="329"/>
      <c r="C299" s="330"/>
      <c r="D299" s="294">
        <f>VLOOKUP(E299,'1.1a-Jaarprijzen'!$B$13:$G$29,6,FALSE)</f>
        <v>3</v>
      </c>
      <c r="E299" s="770" t="s">
        <v>808</v>
      </c>
      <c r="F299" s="294" t="s">
        <v>387</v>
      </c>
      <c r="G299" s="294" t="s">
        <v>813</v>
      </c>
      <c r="H299" s="709" t="s">
        <v>394</v>
      </c>
      <c r="I299" s="296" t="str">
        <f t="shared" si="17"/>
        <v>entree, gang, hal, repro</v>
      </c>
      <c r="J299" s="294" t="s">
        <v>656</v>
      </c>
      <c r="K299" s="297">
        <v>7.8</v>
      </c>
      <c r="L299" s="297"/>
      <c r="M299" s="298">
        <v>3260</v>
      </c>
      <c r="N299" s="299">
        <f t="shared" si="46"/>
        <v>260</v>
      </c>
      <c r="O299" s="483">
        <v>1</v>
      </c>
      <c r="P299" s="483">
        <v>1</v>
      </c>
      <c r="Q299" s="291">
        <f t="shared" si="47"/>
        <v>0</v>
      </c>
      <c r="R299" s="291">
        <f t="shared" si="48"/>
        <v>0</v>
      </c>
      <c r="S299" s="300">
        <f t="shared" si="43"/>
        <v>0</v>
      </c>
      <c r="T299" s="300">
        <f t="shared" si="44"/>
        <v>0</v>
      </c>
      <c r="U299" s="769" t="str">
        <f t="shared" si="45"/>
        <v>V</v>
      </c>
      <c r="V299" s="302"/>
      <c r="W299" s="303">
        <f>(Q299+R299)*'1.0-Contractblad'!$L$37</f>
        <v>0</v>
      </c>
      <c r="X299" s="303">
        <f ca="1">VLOOKUP(E299,'1.1a-Jaarprijzen'!$B$32:$Q$51,16,FALSE)*K299</f>
        <v>0</v>
      </c>
      <c r="Z299" s="771">
        <f t="shared" si="49"/>
        <v>2028</v>
      </c>
      <c r="AA299" s="491" t="str">
        <f t="shared" si="50"/>
        <v>3260-260</v>
      </c>
    </row>
    <row r="300" spans="2:27" s="489" customFormat="1" ht="15" hidden="1">
      <c r="B300" s="329"/>
      <c r="C300" s="330"/>
      <c r="D300" s="294">
        <f>VLOOKUP(E300,'1.1a-Jaarprijzen'!$B$13:$G$29,6,FALSE)</f>
        <v>3</v>
      </c>
      <c r="E300" s="768" t="s">
        <v>808</v>
      </c>
      <c r="F300" s="294" t="s">
        <v>387</v>
      </c>
      <c r="G300" s="294" t="s">
        <v>814</v>
      </c>
      <c r="H300" s="709" t="s">
        <v>394</v>
      </c>
      <c r="I300" s="296" t="str">
        <f t="shared" si="17"/>
        <v>entree, gang, hal, repro</v>
      </c>
      <c r="J300" s="294" t="s">
        <v>656</v>
      </c>
      <c r="K300" s="297">
        <v>6.2</v>
      </c>
      <c r="L300" s="297"/>
      <c r="M300" s="298">
        <v>3200</v>
      </c>
      <c r="N300" s="299">
        <f t="shared" si="46"/>
        <v>200</v>
      </c>
      <c r="O300" s="483">
        <v>1</v>
      </c>
      <c r="P300" s="483">
        <v>1</v>
      </c>
      <c r="Q300" s="291">
        <f t="shared" si="47"/>
        <v>0</v>
      </c>
      <c r="R300" s="291">
        <f t="shared" si="48"/>
        <v>0</v>
      </c>
      <c r="S300" s="300">
        <f t="shared" si="43"/>
        <v>0</v>
      </c>
      <c r="T300" s="300">
        <f t="shared" si="44"/>
        <v>0</v>
      </c>
      <c r="U300" s="769" t="str">
        <f t="shared" si="45"/>
        <v>V</v>
      </c>
      <c r="V300" s="302"/>
      <c r="W300" s="303">
        <f>(Q300+R300)*'1.0-Contractblad'!$L$37</f>
        <v>0</v>
      </c>
      <c r="X300" s="303">
        <f ca="1">VLOOKUP(E300,'1.1a-Jaarprijzen'!$B$32:$Q$51,16,FALSE)*K300</f>
        <v>0</v>
      </c>
      <c r="Z300" s="771">
        <f t="shared" si="49"/>
        <v>1240</v>
      </c>
      <c r="AA300" s="491" t="str">
        <f t="shared" si="50"/>
        <v>3200-200</v>
      </c>
    </row>
    <row r="301" spans="2:27" s="489" customFormat="1" ht="15" hidden="1">
      <c r="B301" s="329"/>
      <c r="C301" s="330"/>
      <c r="D301" s="294">
        <f>VLOOKUP(E301,'1.1a-Jaarprijzen'!$B$13:$G$29,6,FALSE)</f>
        <v>3</v>
      </c>
      <c r="E301" s="770" t="s">
        <v>808</v>
      </c>
      <c r="F301" s="294" t="s">
        <v>387</v>
      </c>
      <c r="G301" s="294" t="s">
        <v>815</v>
      </c>
      <c r="H301" s="709" t="s">
        <v>967</v>
      </c>
      <c r="I301" s="296" t="str">
        <f t="shared" si="17"/>
        <v>Kinderopvang</v>
      </c>
      <c r="J301" s="294" t="s">
        <v>655</v>
      </c>
      <c r="K301" s="297">
        <v>54.9</v>
      </c>
      <c r="L301" s="297"/>
      <c r="M301" s="298">
        <v>22260</v>
      </c>
      <c r="N301" s="299">
        <f t="shared" si="46"/>
        <v>260</v>
      </c>
      <c r="O301" s="483">
        <v>1</v>
      </c>
      <c r="P301" s="483">
        <v>1</v>
      </c>
      <c r="Q301" s="291">
        <f t="shared" si="47"/>
        <v>0</v>
      </c>
      <c r="R301" s="291">
        <f t="shared" si="48"/>
        <v>0</v>
      </c>
      <c r="S301" s="300">
        <f t="shared" si="43"/>
        <v>0</v>
      </c>
      <c r="T301" s="300">
        <f t="shared" si="44"/>
        <v>0</v>
      </c>
      <c r="U301" s="769" t="str">
        <f t="shared" si="45"/>
        <v>L</v>
      </c>
      <c r="V301" s="302"/>
      <c r="W301" s="303">
        <f>(Q301+R301)*'1.0-Contractblad'!$L$37</f>
        <v>0</v>
      </c>
      <c r="X301" s="303">
        <f ca="1">VLOOKUP(E301,'1.1a-Jaarprijzen'!$B$32:$Q$51,16,FALSE)*K301</f>
        <v>0</v>
      </c>
      <c r="Z301" s="771">
        <f t="shared" si="49"/>
        <v>14274</v>
      </c>
      <c r="AA301" s="491" t="str">
        <f t="shared" si="50"/>
        <v>22260-260</v>
      </c>
    </row>
    <row r="302" spans="2:27" s="489" customFormat="1" ht="15" hidden="1">
      <c r="B302" s="329"/>
      <c r="C302" s="330"/>
      <c r="D302" s="294">
        <f>VLOOKUP(E302,'1.1a-Jaarprijzen'!$B$13:$G$29,6,FALSE)</f>
        <v>3</v>
      </c>
      <c r="E302" s="768" t="s">
        <v>808</v>
      </c>
      <c r="F302" s="294" t="s">
        <v>387</v>
      </c>
      <c r="G302" s="294" t="s">
        <v>816</v>
      </c>
      <c r="H302" s="709" t="s">
        <v>646</v>
      </c>
      <c r="I302" s="296" t="str">
        <f t="shared" si="17"/>
        <v>leslokaal groep 1 t/m 3</v>
      </c>
      <c r="J302" s="294" t="s">
        <v>655</v>
      </c>
      <c r="K302" s="297">
        <v>53.9</v>
      </c>
      <c r="L302" s="297"/>
      <c r="M302" s="298">
        <v>7200</v>
      </c>
      <c r="N302" s="299">
        <f t="shared" si="46"/>
        <v>200</v>
      </c>
      <c r="O302" s="483">
        <v>1</v>
      </c>
      <c r="P302" s="483">
        <v>1</v>
      </c>
      <c r="Q302" s="291">
        <f t="shared" si="47"/>
        <v>0</v>
      </c>
      <c r="R302" s="291">
        <f t="shared" si="48"/>
        <v>0</v>
      </c>
      <c r="S302" s="300">
        <f t="shared" si="43"/>
        <v>0</v>
      </c>
      <c r="T302" s="300">
        <f t="shared" si="44"/>
        <v>0</v>
      </c>
      <c r="U302" s="769" t="str">
        <f t="shared" si="45"/>
        <v>L</v>
      </c>
      <c r="V302" s="302"/>
      <c r="W302" s="303">
        <f>(Q302+R302)*'1.0-Contractblad'!$L$37</f>
        <v>0</v>
      </c>
      <c r="X302" s="303">
        <f ca="1">VLOOKUP(E302,'1.1a-Jaarprijzen'!$B$32:$Q$51,16,FALSE)*K302</f>
        <v>0</v>
      </c>
      <c r="Z302" s="771">
        <f t="shared" si="49"/>
        <v>10780</v>
      </c>
      <c r="AA302" s="491" t="str">
        <f t="shared" si="50"/>
        <v>7200-200</v>
      </c>
    </row>
    <row r="303" spans="2:27" s="489" customFormat="1" ht="15" hidden="1">
      <c r="B303" s="329"/>
      <c r="C303" s="330"/>
      <c r="D303" s="294">
        <f>VLOOKUP(E303,'1.1a-Jaarprijzen'!$B$13:$G$29,6,FALSE)</f>
        <v>3</v>
      </c>
      <c r="E303" s="768" t="s">
        <v>808</v>
      </c>
      <c r="F303" s="294" t="s">
        <v>387</v>
      </c>
      <c r="G303" s="294" t="s">
        <v>817</v>
      </c>
      <c r="H303" s="709" t="s">
        <v>646</v>
      </c>
      <c r="I303" s="296" t="str">
        <f t="shared" si="17"/>
        <v>leslokaal groep 1 t/m 3</v>
      </c>
      <c r="J303" s="294" t="s">
        <v>655</v>
      </c>
      <c r="K303" s="297">
        <v>53.9</v>
      </c>
      <c r="L303" s="297"/>
      <c r="M303" s="298">
        <v>7200</v>
      </c>
      <c r="N303" s="299">
        <f t="shared" si="46"/>
        <v>200</v>
      </c>
      <c r="O303" s="483">
        <v>1</v>
      </c>
      <c r="P303" s="483">
        <v>1</v>
      </c>
      <c r="Q303" s="291">
        <f t="shared" si="47"/>
        <v>0</v>
      </c>
      <c r="R303" s="291">
        <f t="shared" si="48"/>
        <v>0</v>
      </c>
      <c r="S303" s="300">
        <f t="shared" si="43"/>
        <v>0</v>
      </c>
      <c r="T303" s="300">
        <f t="shared" si="44"/>
        <v>0</v>
      </c>
      <c r="U303" s="769" t="str">
        <f t="shared" si="45"/>
        <v>L</v>
      </c>
      <c r="V303" s="302"/>
      <c r="W303" s="303">
        <f>(Q303+R303)*'1.0-Contractblad'!$L$37</f>
        <v>0</v>
      </c>
      <c r="X303" s="303">
        <f ca="1">VLOOKUP(E303,'1.1a-Jaarprijzen'!$B$32:$Q$51,16,FALSE)*K303</f>
        <v>0</v>
      </c>
      <c r="Z303" s="771">
        <f t="shared" si="49"/>
        <v>10780</v>
      </c>
      <c r="AA303" s="491" t="str">
        <f t="shared" si="50"/>
        <v>7200-200</v>
      </c>
    </row>
    <row r="304" spans="2:27" s="489" customFormat="1" ht="15" hidden="1">
      <c r="B304" s="329"/>
      <c r="C304" s="330"/>
      <c r="D304" s="294">
        <f>VLOOKUP(E304,'1.1a-Jaarprijzen'!$B$13:$G$29,6,FALSE)</f>
        <v>3</v>
      </c>
      <c r="E304" s="768" t="s">
        <v>808</v>
      </c>
      <c r="F304" s="294" t="s">
        <v>387</v>
      </c>
      <c r="G304" s="294" t="s">
        <v>818</v>
      </c>
      <c r="H304" s="709" t="s">
        <v>646</v>
      </c>
      <c r="I304" s="296" t="str">
        <f t="shared" si="17"/>
        <v>leslokaal/leerplein groep 4 t/m 8</v>
      </c>
      <c r="J304" s="294" t="s">
        <v>655</v>
      </c>
      <c r="K304" s="297">
        <v>53.9</v>
      </c>
      <c r="L304" s="297"/>
      <c r="M304" s="298">
        <v>18200</v>
      </c>
      <c r="N304" s="299">
        <f t="shared" si="46"/>
        <v>200</v>
      </c>
      <c r="O304" s="483">
        <v>1</v>
      </c>
      <c r="P304" s="483">
        <v>1</v>
      </c>
      <c r="Q304" s="291">
        <f t="shared" si="47"/>
        <v>0</v>
      </c>
      <c r="R304" s="291">
        <f t="shared" si="48"/>
        <v>0</v>
      </c>
      <c r="S304" s="300">
        <f t="shared" si="43"/>
        <v>0</v>
      </c>
      <c r="T304" s="300">
        <f t="shared" si="44"/>
        <v>0</v>
      </c>
      <c r="U304" s="769" t="str">
        <f t="shared" si="45"/>
        <v>L</v>
      </c>
      <c r="V304" s="302"/>
      <c r="W304" s="303">
        <f>(Q304+R304)*'1.0-Contractblad'!$L$37</f>
        <v>0</v>
      </c>
      <c r="X304" s="303">
        <f ca="1">VLOOKUP(E304,'1.1a-Jaarprijzen'!$B$32:$Q$51,16,FALSE)*K304</f>
        <v>0</v>
      </c>
      <c r="Z304" s="771">
        <f t="shared" si="49"/>
        <v>10780</v>
      </c>
      <c r="AA304" s="491" t="str">
        <f t="shared" si="50"/>
        <v>18200-200</v>
      </c>
    </row>
    <row r="305" spans="2:27" s="489" customFormat="1" ht="15" hidden="1">
      <c r="B305" s="329"/>
      <c r="C305" s="330"/>
      <c r="D305" s="294">
        <f>VLOOKUP(E305,'1.1a-Jaarprijzen'!$B$13:$G$29,6,FALSE)</f>
        <v>3</v>
      </c>
      <c r="E305" s="768" t="s">
        <v>808</v>
      </c>
      <c r="F305" s="294" t="s">
        <v>387</v>
      </c>
      <c r="G305" s="294" t="s">
        <v>819</v>
      </c>
      <c r="H305" s="709" t="s">
        <v>646</v>
      </c>
      <c r="I305" s="296" t="str">
        <f t="shared" si="17"/>
        <v>leslokaal/leerplein groep 4 t/m 8</v>
      </c>
      <c r="J305" s="294" t="s">
        <v>655</v>
      </c>
      <c r="K305" s="297">
        <v>53.9</v>
      </c>
      <c r="L305" s="297"/>
      <c r="M305" s="298">
        <v>18200</v>
      </c>
      <c r="N305" s="299">
        <f t="shared" si="46"/>
        <v>200</v>
      </c>
      <c r="O305" s="483">
        <v>1</v>
      </c>
      <c r="P305" s="483">
        <v>1</v>
      </c>
      <c r="Q305" s="291">
        <f t="shared" si="47"/>
        <v>0</v>
      </c>
      <c r="R305" s="291">
        <f t="shared" si="48"/>
        <v>0</v>
      </c>
      <c r="S305" s="300">
        <f t="shared" si="43"/>
        <v>0</v>
      </c>
      <c r="T305" s="300">
        <f t="shared" si="44"/>
        <v>0</v>
      </c>
      <c r="U305" s="769" t="str">
        <f t="shared" si="45"/>
        <v>L</v>
      </c>
      <c r="V305" s="302"/>
      <c r="W305" s="303">
        <f>(Q305+R305)*'1.0-Contractblad'!$L$37</f>
        <v>0</v>
      </c>
      <c r="X305" s="303">
        <f ca="1">VLOOKUP(E305,'1.1a-Jaarprijzen'!$B$32:$Q$51,16,FALSE)*K305</f>
        <v>0</v>
      </c>
      <c r="Z305" s="771">
        <f t="shared" si="49"/>
        <v>10780</v>
      </c>
      <c r="AA305" s="491" t="str">
        <f t="shared" si="50"/>
        <v>18200-200</v>
      </c>
    </row>
    <row r="306" spans="2:27" s="489" customFormat="1" ht="15" hidden="1">
      <c r="B306" s="329"/>
      <c r="C306" s="330"/>
      <c r="D306" s="294">
        <f>VLOOKUP(E306,'1.1a-Jaarprijzen'!$B$13:$G$29,6,FALSE)</f>
        <v>3</v>
      </c>
      <c r="E306" s="768" t="s">
        <v>808</v>
      </c>
      <c r="F306" s="294" t="s">
        <v>387</v>
      </c>
      <c r="G306" s="294" t="s">
        <v>820</v>
      </c>
      <c r="H306" s="709" t="s">
        <v>646</v>
      </c>
      <c r="I306" s="296" t="str">
        <f t="shared" si="17"/>
        <v>leslokaal/leerplein groep 4 t/m 8</v>
      </c>
      <c r="J306" s="294" t="s">
        <v>655</v>
      </c>
      <c r="K306" s="297">
        <v>54.9</v>
      </c>
      <c r="L306" s="297"/>
      <c r="M306" s="298">
        <v>18200</v>
      </c>
      <c r="N306" s="299">
        <f t="shared" si="46"/>
        <v>200</v>
      </c>
      <c r="O306" s="483">
        <v>1</v>
      </c>
      <c r="P306" s="483">
        <v>1</v>
      </c>
      <c r="Q306" s="291">
        <f t="shared" si="47"/>
        <v>0</v>
      </c>
      <c r="R306" s="291">
        <f t="shared" si="48"/>
        <v>0</v>
      </c>
      <c r="S306" s="300">
        <f t="shared" si="43"/>
        <v>0</v>
      </c>
      <c r="T306" s="300">
        <f t="shared" si="44"/>
        <v>0</v>
      </c>
      <c r="U306" s="769" t="str">
        <f t="shared" si="45"/>
        <v>L</v>
      </c>
      <c r="V306" s="302"/>
      <c r="W306" s="303">
        <f>(Q306+R306)*'1.0-Contractblad'!$L$37</f>
        <v>0</v>
      </c>
      <c r="X306" s="303">
        <f ca="1">VLOOKUP(E306,'1.1a-Jaarprijzen'!$B$32:$Q$51,16,FALSE)*K306</f>
        <v>0</v>
      </c>
      <c r="Z306" s="771">
        <f t="shared" si="49"/>
        <v>10980</v>
      </c>
      <c r="AA306" s="491" t="str">
        <f t="shared" si="50"/>
        <v>18200-200</v>
      </c>
    </row>
    <row r="307" spans="2:27" s="489" customFormat="1" ht="15" hidden="1">
      <c r="B307" s="329"/>
      <c r="C307" s="330"/>
      <c r="D307" s="294">
        <f>VLOOKUP(E307,'1.1a-Jaarprijzen'!$B$13:$G$29,6,FALSE)</f>
        <v>3</v>
      </c>
      <c r="E307" s="770" t="s">
        <v>808</v>
      </c>
      <c r="F307" s="294" t="s">
        <v>387</v>
      </c>
      <c r="G307" s="294" t="s">
        <v>721</v>
      </c>
      <c r="H307" s="709" t="s">
        <v>646</v>
      </c>
      <c r="I307" s="296" t="str">
        <f t="shared" si="17"/>
        <v>leslokaal/leerplein groep 4 t/m 8</v>
      </c>
      <c r="J307" s="294" t="s">
        <v>655</v>
      </c>
      <c r="K307" s="297">
        <v>50.6</v>
      </c>
      <c r="L307" s="297"/>
      <c r="M307" s="298">
        <v>18200</v>
      </c>
      <c r="N307" s="299">
        <f t="shared" si="46"/>
        <v>200</v>
      </c>
      <c r="O307" s="483">
        <v>1</v>
      </c>
      <c r="P307" s="483">
        <v>1</v>
      </c>
      <c r="Q307" s="291">
        <f t="shared" si="47"/>
        <v>0</v>
      </c>
      <c r="R307" s="291">
        <f t="shared" si="48"/>
        <v>0</v>
      </c>
      <c r="S307" s="300">
        <f t="shared" si="43"/>
        <v>0</v>
      </c>
      <c r="T307" s="300">
        <f t="shared" si="44"/>
        <v>0</v>
      </c>
      <c r="U307" s="769" t="str">
        <f t="shared" si="45"/>
        <v>L</v>
      </c>
      <c r="V307" s="302"/>
      <c r="W307" s="303">
        <f>(Q307+R307)*'1.0-Contractblad'!$L$37</f>
        <v>0</v>
      </c>
      <c r="X307" s="303">
        <f ca="1">VLOOKUP(E307,'1.1a-Jaarprijzen'!$B$32:$Q$51,16,FALSE)*K307</f>
        <v>0</v>
      </c>
      <c r="Z307" s="771">
        <f t="shared" si="49"/>
        <v>10120</v>
      </c>
      <c r="AA307" s="491" t="str">
        <f t="shared" si="50"/>
        <v>18200-200</v>
      </c>
    </row>
    <row r="308" spans="2:27" s="489" customFormat="1" ht="15" hidden="1">
      <c r="B308" s="329"/>
      <c r="C308" s="330"/>
      <c r="D308" s="294">
        <f>VLOOKUP(E308,'1.1a-Jaarprijzen'!$B$13:$G$29,6,FALSE)</f>
        <v>3</v>
      </c>
      <c r="E308" s="768" t="s">
        <v>808</v>
      </c>
      <c r="F308" s="294" t="s">
        <v>387</v>
      </c>
      <c r="G308" s="294" t="s">
        <v>722</v>
      </c>
      <c r="H308" s="709" t="s">
        <v>646</v>
      </c>
      <c r="I308" s="296" t="str">
        <f t="shared" si="17"/>
        <v>leslokaal/leerplein groep 4 t/m 8</v>
      </c>
      <c r="J308" s="294" t="s">
        <v>655</v>
      </c>
      <c r="K308" s="297">
        <v>55.8</v>
      </c>
      <c r="L308" s="297"/>
      <c r="M308" s="298">
        <v>18200</v>
      </c>
      <c r="N308" s="299">
        <f t="shared" si="46"/>
        <v>200</v>
      </c>
      <c r="O308" s="483">
        <v>1</v>
      </c>
      <c r="P308" s="483">
        <v>1</v>
      </c>
      <c r="Q308" s="291">
        <f t="shared" si="47"/>
        <v>0</v>
      </c>
      <c r="R308" s="291">
        <f t="shared" si="48"/>
        <v>0</v>
      </c>
      <c r="S308" s="300">
        <f t="shared" si="43"/>
        <v>0</v>
      </c>
      <c r="T308" s="300">
        <f t="shared" si="44"/>
        <v>0</v>
      </c>
      <c r="U308" s="769" t="str">
        <f t="shared" si="45"/>
        <v>L</v>
      </c>
      <c r="V308" s="302"/>
      <c r="W308" s="303">
        <f>(Q308+R308)*'1.0-Contractblad'!$L$37</f>
        <v>0</v>
      </c>
      <c r="X308" s="303">
        <f ca="1">VLOOKUP(E308,'1.1a-Jaarprijzen'!$B$32:$Q$51,16,FALSE)*K308</f>
        <v>0</v>
      </c>
      <c r="Z308" s="771">
        <f t="shared" si="49"/>
        <v>11160</v>
      </c>
      <c r="AA308" s="491" t="str">
        <f t="shared" si="50"/>
        <v>18200-200</v>
      </c>
    </row>
    <row r="309" spans="2:27" s="489" customFormat="1" ht="15" hidden="1">
      <c r="B309" s="329"/>
      <c r="C309" s="330"/>
      <c r="D309" s="294">
        <f>VLOOKUP(E309,'1.1a-Jaarprijzen'!$B$13:$G$29,6,FALSE)</f>
        <v>3</v>
      </c>
      <c r="E309" s="768" t="s">
        <v>808</v>
      </c>
      <c r="F309" s="294" t="s">
        <v>387</v>
      </c>
      <c r="G309" s="294" t="s">
        <v>821</v>
      </c>
      <c r="H309" s="709" t="s">
        <v>646</v>
      </c>
      <c r="I309" s="296" t="str">
        <f t="shared" si="17"/>
        <v>leslokaal/leerplein groep 4 t/m 8</v>
      </c>
      <c r="J309" s="294" t="s">
        <v>655</v>
      </c>
      <c r="K309" s="297">
        <v>38.700000000000003</v>
      </c>
      <c r="L309" s="297"/>
      <c r="M309" s="298">
        <v>18200</v>
      </c>
      <c r="N309" s="299">
        <f t="shared" si="46"/>
        <v>200</v>
      </c>
      <c r="O309" s="483">
        <v>1</v>
      </c>
      <c r="P309" s="483">
        <v>1</v>
      </c>
      <c r="Q309" s="291">
        <f t="shared" si="47"/>
        <v>0</v>
      </c>
      <c r="R309" s="291">
        <f t="shared" si="48"/>
        <v>0</v>
      </c>
      <c r="S309" s="300">
        <f t="shared" si="43"/>
        <v>0</v>
      </c>
      <c r="T309" s="300">
        <f t="shared" si="44"/>
        <v>0</v>
      </c>
      <c r="U309" s="769" t="str">
        <f t="shared" si="45"/>
        <v>L</v>
      </c>
      <c r="V309" s="302"/>
      <c r="W309" s="303">
        <f>(Q309+R309)*'1.0-Contractblad'!$L$37</f>
        <v>0</v>
      </c>
      <c r="X309" s="303">
        <f ca="1">VLOOKUP(E309,'1.1a-Jaarprijzen'!$B$32:$Q$51,16,FALSE)*K309</f>
        <v>0</v>
      </c>
      <c r="Z309" s="771">
        <f t="shared" si="49"/>
        <v>7740.0000000000009</v>
      </c>
      <c r="AA309" s="491" t="str">
        <f t="shared" si="50"/>
        <v>18200-200</v>
      </c>
    </row>
    <row r="310" spans="2:27" s="489" customFormat="1" ht="15" hidden="1">
      <c r="B310" s="329"/>
      <c r="C310" s="330"/>
      <c r="D310" s="294">
        <f>VLOOKUP(E310,'1.1a-Jaarprijzen'!$B$13:$G$29,6,FALSE)</f>
        <v>3</v>
      </c>
      <c r="E310" s="768" t="s">
        <v>808</v>
      </c>
      <c r="F310" s="294" t="s">
        <v>387</v>
      </c>
      <c r="G310" s="294" t="s">
        <v>822</v>
      </c>
      <c r="H310" s="709" t="s">
        <v>646</v>
      </c>
      <c r="I310" s="296" t="str">
        <f t="shared" si="17"/>
        <v>leslokaal/leerplein groep 4 t/m 8</v>
      </c>
      <c r="J310" s="294" t="s">
        <v>655</v>
      </c>
      <c r="K310" s="297">
        <v>38.6</v>
      </c>
      <c r="L310" s="297"/>
      <c r="M310" s="298">
        <v>18200</v>
      </c>
      <c r="N310" s="299">
        <f t="shared" si="46"/>
        <v>200</v>
      </c>
      <c r="O310" s="483">
        <v>1</v>
      </c>
      <c r="P310" s="483">
        <v>1</v>
      </c>
      <c r="Q310" s="291">
        <f t="shared" si="47"/>
        <v>0</v>
      </c>
      <c r="R310" s="291">
        <f t="shared" si="48"/>
        <v>0</v>
      </c>
      <c r="S310" s="300">
        <f t="shared" si="43"/>
        <v>0</v>
      </c>
      <c r="T310" s="300">
        <f t="shared" si="44"/>
        <v>0</v>
      </c>
      <c r="U310" s="769" t="str">
        <f t="shared" si="45"/>
        <v>L</v>
      </c>
      <c r="V310" s="302"/>
      <c r="W310" s="303">
        <f>(Q310+R310)*'1.0-Contractblad'!$L$37</f>
        <v>0</v>
      </c>
      <c r="X310" s="303">
        <f ca="1">VLOOKUP(E310,'1.1a-Jaarprijzen'!$B$32:$Q$51,16,FALSE)*K310</f>
        <v>0</v>
      </c>
      <c r="Z310" s="771">
        <f t="shared" si="49"/>
        <v>7720</v>
      </c>
      <c r="AA310" s="491" t="str">
        <f t="shared" si="50"/>
        <v>18200-200</v>
      </c>
    </row>
    <row r="311" spans="2:27" s="489" customFormat="1" ht="15" hidden="1">
      <c r="B311" s="329"/>
      <c r="C311" s="330"/>
      <c r="D311" s="294">
        <f>VLOOKUP(E311,'1.1a-Jaarprijzen'!$B$13:$G$29,6,FALSE)</f>
        <v>3</v>
      </c>
      <c r="E311" s="768" t="s">
        <v>808</v>
      </c>
      <c r="F311" s="294" t="s">
        <v>387</v>
      </c>
      <c r="G311" s="294" t="s">
        <v>823</v>
      </c>
      <c r="H311" s="709" t="s">
        <v>646</v>
      </c>
      <c r="I311" s="296" t="str">
        <f t="shared" si="17"/>
        <v>leslokaal/leerplein groep 4 t/m 8</v>
      </c>
      <c r="J311" s="294" t="s">
        <v>655</v>
      </c>
      <c r="K311" s="297">
        <v>55.8</v>
      </c>
      <c r="L311" s="297"/>
      <c r="M311" s="298">
        <v>18200</v>
      </c>
      <c r="N311" s="299">
        <f t="shared" si="46"/>
        <v>200</v>
      </c>
      <c r="O311" s="483">
        <v>1</v>
      </c>
      <c r="P311" s="483">
        <v>1</v>
      </c>
      <c r="Q311" s="291">
        <f t="shared" si="47"/>
        <v>0</v>
      </c>
      <c r="R311" s="291">
        <f t="shared" si="48"/>
        <v>0</v>
      </c>
      <c r="S311" s="300">
        <f t="shared" si="43"/>
        <v>0</v>
      </c>
      <c r="T311" s="300">
        <f t="shared" si="44"/>
        <v>0</v>
      </c>
      <c r="U311" s="769" t="str">
        <f t="shared" si="45"/>
        <v>L</v>
      </c>
      <c r="V311" s="302"/>
      <c r="W311" s="303">
        <f>(Q311+R311)*'1.0-Contractblad'!$L$37</f>
        <v>0</v>
      </c>
      <c r="X311" s="303">
        <f ca="1">VLOOKUP(E311,'1.1a-Jaarprijzen'!$B$32:$Q$51,16,FALSE)*K311</f>
        <v>0</v>
      </c>
      <c r="Z311" s="771">
        <f t="shared" si="49"/>
        <v>11160</v>
      </c>
      <c r="AA311" s="491" t="str">
        <f t="shared" si="50"/>
        <v>18200-200</v>
      </c>
    </row>
    <row r="312" spans="2:27" s="489" customFormat="1" ht="15" hidden="1">
      <c r="B312" s="329"/>
      <c r="C312" s="330"/>
      <c r="D312" s="294">
        <f>VLOOKUP(E312,'1.1a-Jaarprijzen'!$B$13:$G$29,6,FALSE)</f>
        <v>3</v>
      </c>
      <c r="E312" s="785" t="s">
        <v>808</v>
      </c>
      <c r="F312" s="294" t="s">
        <v>387</v>
      </c>
      <c r="G312" s="294" t="s">
        <v>824</v>
      </c>
      <c r="H312" s="709" t="s">
        <v>646</v>
      </c>
      <c r="I312" s="296" t="str">
        <f t="shared" si="17"/>
        <v>Kinderopvang</v>
      </c>
      <c r="J312" s="294" t="s">
        <v>655</v>
      </c>
      <c r="K312" s="297">
        <v>55.8</v>
      </c>
      <c r="L312" s="297"/>
      <c r="M312" s="298">
        <v>22260</v>
      </c>
      <c r="N312" s="299">
        <f t="shared" si="46"/>
        <v>260</v>
      </c>
      <c r="O312" s="483">
        <v>1</v>
      </c>
      <c r="P312" s="483">
        <v>1</v>
      </c>
      <c r="Q312" s="291">
        <f t="shared" si="47"/>
        <v>0</v>
      </c>
      <c r="R312" s="291">
        <f t="shared" si="48"/>
        <v>0</v>
      </c>
      <c r="S312" s="300">
        <f t="shared" si="43"/>
        <v>0</v>
      </c>
      <c r="T312" s="300">
        <f t="shared" si="44"/>
        <v>0</v>
      </c>
      <c r="U312" s="769" t="str">
        <f t="shared" si="45"/>
        <v>L</v>
      </c>
      <c r="V312" s="302" t="s">
        <v>1022</v>
      </c>
      <c r="W312" s="303">
        <f>(Q312+R312)*'1.0-Contractblad'!$L$37</f>
        <v>0</v>
      </c>
      <c r="X312" s="303">
        <f ca="1">VLOOKUP(E312,'1.1a-Jaarprijzen'!$B$32:$Q$51,16,FALSE)*K312</f>
        <v>0</v>
      </c>
      <c r="Z312" s="771">
        <f t="shared" si="49"/>
        <v>14508</v>
      </c>
      <c r="AA312" s="491" t="str">
        <f t="shared" si="50"/>
        <v>22260-260</v>
      </c>
    </row>
    <row r="313" spans="2:27" s="489" customFormat="1" ht="15" hidden="1">
      <c r="B313" s="329"/>
      <c r="C313" s="330"/>
      <c r="D313" s="294">
        <f>VLOOKUP(E313,'1.1a-Jaarprijzen'!$B$13:$G$29,6,FALSE)</f>
        <v>3</v>
      </c>
      <c r="E313" s="768" t="s">
        <v>808</v>
      </c>
      <c r="F313" s="294" t="s">
        <v>387</v>
      </c>
      <c r="G313" s="294" t="s">
        <v>825</v>
      </c>
      <c r="H313" s="709" t="s">
        <v>646</v>
      </c>
      <c r="I313" s="296" t="str">
        <f t="shared" si="17"/>
        <v>leslokaal/leerplein groep 4 t/m 8</v>
      </c>
      <c r="J313" s="294" t="s">
        <v>655</v>
      </c>
      <c r="K313" s="297">
        <v>55.8</v>
      </c>
      <c r="L313" s="297"/>
      <c r="M313" s="298">
        <v>18200</v>
      </c>
      <c r="N313" s="299">
        <f t="shared" si="46"/>
        <v>200</v>
      </c>
      <c r="O313" s="483">
        <v>1</v>
      </c>
      <c r="P313" s="483">
        <v>1</v>
      </c>
      <c r="Q313" s="291">
        <f t="shared" si="47"/>
        <v>0</v>
      </c>
      <c r="R313" s="291">
        <f t="shared" si="48"/>
        <v>0</v>
      </c>
      <c r="S313" s="300">
        <f t="shared" si="43"/>
        <v>0</v>
      </c>
      <c r="T313" s="300">
        <f t="shared" si="44"/>
        <v>0</v>
      </c>
      <c r="U313" s="769" t="str">
        <f t="shared" si="45"/>
        <v>L</v>
      </c>
      <c r="V313" s="302"/>
      <c r="W313" s="303">
        <f>(Q313+R313)*'1.0-Contractblad'!$L$37</f>
        <v>0</v>
      </c>
      <c r="X313" s="303">
        <f ca="1">VLOOKUP(E313,'1.1a-Jaarprijzen'!$B$32:$Q$51,16,FALSE)*K313</f>
        <v>0</v>
      </c>
      <c r="Z313" s="771">
        <f t="shared" si="49"/>
        <v>11160</v>
      </c>
      <c r="AA313" s="491" t="str">
        <f t="shared" si="50"/>
        <v>18200-200</v>
      </c>
    </row>
    <row r="314" spans="2:27" s="489" customFormat="1" ht="15" hidden="1">
      <c r="B314" s="329"/>
      <c r="C314" s="330"/>
      <c r="D314" s="294">
        <f>VLOOKUP(E314,'1.1a-Jaarprijzen'!$B$13:$G$29,6,FALSE)</f>
        <v>3</v>
      </c>
      <c r="E314" s="768" t="s">
        <v>808</v>
      </c>
      <c r="F314" s="294" t="s">
        <v>387</v>
      </c>
      <c r="G314" s="294" t="s">
        <v>723</v>
      </c>
      <c r="H314" s="709" t="s">
        <v>646</v>
      </c>
      <c r="I314" s="296" t="str">
        <f t="shared" si="17"/>
        <v>leslokaal/leerplein groep 4 t/m 8</v>
      </c>
      <c r="J314" s="294" t="s">
        <v>655</v>
      </c>
      <c r="K314" s="297">
        <v>55.8</v>
      </c>
      <c r="L314" s="297"/>
      <c r="M314" s="298">
        <v>18200</v>
      </c>
      <c r="N314" s="299">
        <f t="shared" si="46"/>
        <v>200</v>
      </c>
      <c r="O314" s="483">
        <v>1</v>
      </c>
      <c r="P314" s="483">
        <v>1</v>
      </c>
      <c r="Q314" s="291">
        <f t="shared" si="47"/>
        <v>0</v>
      </c>
      <c r="R314" s="291">
        <f t="shared" si="48"/>
        <v>0</v>
      </c>
      <c r="S314" s="300">
        <f t="shared" si="43"/>
        <v>0</v>
      </c>
      <c r="T314" s="300">
        <f t="shared" si="44"/>
        <v>0</v>
      </c>
      <c r="U314" s="769" t="str">
        <f t="shared" si="45"/>
        <v>L</v>
      </c>
      <c r="V314" s="302"/>
      <c r="W314" s="303">
        <f>(Q314+R314)*'1.0-Contractblad'!$L$37</f>
        <v>0</v>
      </c>
      <c r="X314" s="303">
        <f ca="1">VLOOKUP(E314,'1.1a-Jaarprijzen'!$B$32:$Q$51,16,FALSE)*K314</f>
        <v>0</v>
      </c>
      <c r="Z314" s="771">
        <f t="shared" si="49"/>
        <v>11160</v>
      </c>
      <c r="AA314" s="491" t="str">
        <f t="shared" si="50"/>
        <v>18200-200</v>
      </c>
    </row>
    <row r="315" spans="2:27" s="489" customFormat="1" ht="15" hidden="1">
      <c r="B315" s="329"/>
      <c r="C315" s="330"/>
      <c r="D315" s="294">
        <f>VLOOKUP(E315,'1.1a-Jaarprijzen'!$B$13:$G$29,6,FALSE)</f>
        <v>3</v>
      </c>
      <c r="E315" s="768" t="s">
        <v>808</v>
      </c>
      <c r="F315" s="294" t="s">
        <v>387</v>
      </c>
      <c r="G315" s="294" t="s">
        <v>826</v>
      </c>
      <c r="H315" s="709" t="s">
        <v>646</v>
      </c>
      <c r="I315" s="296" t="str">
        <f t="shared" si="17"/>
        <v>leslokaal/leerplein groep 4 t/m 8</v>
      </c>
      <c r="J315" s="294" t="s">
        <v>466</v>
      </c>
      <c r="K315" s="297">
        <v>55.8</v>
      </c>
      <c r="L315" s="297"/>
      <c r="M315" s="298">
        <v>18200</v>
      </c>
      <c r="N315" s="299">
        <f t="shared" si="46"/>
        <v>200</v>
      </c>
      <c r="O315" s="483">
        <v>1</v>
      </c>
      <c r="P315" s="483">
        <v>1</v>
      </c>
      <c r="Q315" s="291">
        <f t="shared" si="47"/>
        <v>0</v>
      </c>
      <c r="R315" s="291">
        <f t="shared" si="48"/>
        <v>0</v>
      </c>
      <c r="S315" s="300">
        <f t="shared" si="43"/>
        <v>0</v>
      </c>
      <c r="T315" s="300">
        <f t="shared" si="44"/>
        <v>0</v>
      </c>
      <c r="U315" s="769" t="str">
        <f t="shared" si="45"/>
        <v>L</v>
      </c>
      <c r="V315" s="302"/>
      <c r="W315" s="303">
        <f>(Q315+R315)*'1.0-Contractblad'!$L$37</f>
        <v>0</v>
      </c>
      <c r="X315" s="303">
        <f ca="1">VLOOKUP(E315,'1.1a-Jaarprijzen'!$B$32:$Q$51,16,FALSE)*K315</f>
        <v>0</v>
      </c>
      <c r="Z315" s="771">
        <f t="shared" si="49"/>
        <v>11160</v>
      </c>
      <c r="AA315" s="491" t="str">
        <f t="shared" si="50"/>
        <v>18200-200</v>
      </c>
    </row>
    <row r="316" spans="2:27" s="489" customFormat="1" ht="15" hidden="1">
      <c r="B316" s="329"/>
      <c r="C316" s="330"/>
      <c r="D316" s="294">
        <f>VLOOKUP(E316,'1.1a-Jaarprijzen'!$B$13:$G$29,6,FALSE)</f>
        <v>3</v>
      </c>
      <c r="E316" s="768" t="s">
        <v>808</v>
      </c>
      <c r="F316" s="294" t="s">
        <v>387</v>
      </c>
      <c r="G316" s="294" t="s">
        <v>827</v>
      </c>
      <c r="H316" s="709" t="s">
        <v>477</v>
      </c>
      <c r="I316" s="296" t="str">
        <f t="shared" si="17"/>
        <v>sanitaire ruimte (toilet-/doucheruimte)</v>
      </c>
      <c r="J316" s="294" t="s">
        <v>461</v>
      </c>
      <c r="K316" s="297">
        <v>3.9</v>
      </c>
      <c r="L316" s="297"/>
      <c r="M316" s="298">
        <v>4200</v>
      </c>
      <c r="N316" s="299">
        <f t="shared" si="46"/>
        <v>200</v>
      </c>
      <c r="O316" s="483">
        <v>1</v>
      </c>
      <c r="P316" s="483">
        <v>1</v>
      </c>
      <c r="Q316" s="291">
        <f t="shared" si="47"/>
        <v>0</v>
      </c>
      <c r="R316" s="291">
        <f t="shared" si="48"/>
        <v>0</v>
      </c>
      <c r="S316" s="300">
        <f t="shared" si="43"/>
        <v>0</v>
      </c>
      <c r="T316" s="300">
        <f t="shared" si="44"/>
        <v>0</v>
      </c>
      <c r="U316" s="769" t="str">
        <f t="shared" si="45"/>
        <v>S</v>
      </c>
      <c r="V316" s="302"/>
      <c r="W316" s="303">
        <f>(Q316+R316)*'1.0-Contractblad'!$L$37</f>
        <v>0</v>
      </c>
      <c r="X316" s="303">
        <f ca="1">VLOOKUP(E316,'1.1a-Jaarprijzen'!$B$32:$Q$51,16,FALSE)*K316</f>
        <v>0</v>
      </c>
      <c r="Z316" s="771">
        <f t="shared" si="49"/>
        <v>780</v>
      </c>
      <c r="AA316" s="491" t="str">
        <f t="shared" si="50"/>
        <v>4200-200</v>
      </c>
    </row>
    <row r="317" spans="2:27" s="489" customFormat="1" ht="15" hidden="1">
      <c r="B317" s="329"/>
      <c r="C317" s="330"/>
      <c r="D317" s="294">
        <f>VLOOKUP(E317,'1.1a-Jaarprijzen'!$B$13:$G$29,6,FALSE)</f>
        <v>3</v>
      </c>
      <c r="E317" s="770" t="s">
        <v>808</v>
      </c>
      <c r="F317" s="294" t="s">
        <v>387</v>
      </c>
      <c r="G317" s="294" t="s">
        <v>828</v>
      </c>
      <c r="H317" s="709" t="s">
        <v>987</v>
      </c>
      <c r="I317" s="296" t="str">
        <f t="shared" si="17"/>
        <v>sanitaire ruimte (toilet-/doucheruimte)</v>
      </c>
      <c r="J317" s="294" t="s">
        <v>461</v>
      </c>
      <c r="K317" s="297">
        <v>5.7</v>
      </c>
      <c r="L317" s="297"/>
      <c r="M317" s="298">
        <v>4260</v>
      </c>
      <c r="N317" s="299">
        <f t="shared" si="46"/>
        <v>260</v>
      </c>
      <c r="O317" s="483">
        <v>1</v>
      </c>
      <c r="P317" s="483">
        <v>1</v>
      </c>
      <c r="Q317" s="291">
        <f t="shared" si="47"/>
        <v>0</v>
      </c>
      <c r="R317" s="291">
        <f t="shared" si="48"/>
        <v>0</v>
      </c>
      <c r="S317" s="300">
        <f t="shared" si="43"/>
        <v>0</v>
      </c>
      <c r="T317" s="300">
        <f t="shared" si="44"/>
        <v>0</v>
      </c>
      <c r="U317" s="769" t="str">
        <f t="shared" si="45"/>
        <v>S</v>
      </c>
      <c r="V317" s="302"/>
      <c r="W317" s="303">
        <f>(Q317+R317)*'1.0-Contractblad'!$L$37</f>
        <v>0</v>
      </c>
      <c r="X317" s="303">
        <f ca="1">VLOOKUP(E317,'1.1a-Jaarprijzen'!$B$32:$Q$51,16,FALSE)*K317</f>
        <v>0</v>
      </c>
      <c r="Z317" s="771">
        <f t="shared" si="49"/>
        <v>1482</v>
      </c>
      <c r="AA317" s="491" t="str">
        <f t="shared" si="50"/>
        <v>4260-260</v>
      </c>
    </row>
    <row r="318" spans="2:27" s="489" customFormat="1" ht="15" hidden="1">
      <c r="B318" s="329"/>
      <c r="C318" s="330"/>
      <c r="D318" s="294">
        <f>VLOOKUP(E318,'1.1a-Jaarprijzen'!$B$13:$G$29,6,FALSE)</f>
        <v>3</v>
      </c>
      <c r="E318" s="768" t="s">
        <v>808</v>
      </c>
      <c r="F318" s="294" t="s">
        <v>387</v>
      </c>
      <c r="G318" s="294" t="s">
        <v>829</v>
      </c>
      <c r="H318" s="709" t="s">
        <v>477</v>
      </c>
      <c r="I318" s="296" t="str">
        <f t="shared" si="17"/>
        <v>sanitaire ruimte (toilet-/doucheruimte)</v>
      </c>
      <c r="J318" s="294" t="s">
        <v>461</v>
      </c>
      <c r="K318" s="297">
        <v>5.7</v>
      </c>
      <c r="L318" s="297"/>
      <c r="M318" s="298">
        <v>4200</v>
      </c>
      <c r="N318" s="299">
        <f t="shared" si="46"/>
        <v>200</v>
      </c>
      <c r="O318" s="483">
        <v>1</v>
      </c>
      <c r="P318" s="483">
        <v>1</v>
      </c>
      <c r="Q318" s="291">
        <f t="shared" si="47"/>
        <v>0</v>
      </c>
      <c r="R318" s="291">
        <f t="shared" si="48"/>
        <v>0</v>
      </c>
      <c r="S318" s="300">
        <f t="shared" si="43"/>
        <v>0</v>
      </c>
      <c r="T318" s="300">
        <f t="shared" si="44"/>
        <v>0</v>
      </c>
      <c r="U318" s="769" t="str">
        <f t="shared" si="45"/>
        <v>S</v>
      </c>
      <c r="V318" s="302"/>
      <c r="W318" s="303">
        <f>(Q318+R318)*'1.0-Contractblad'!$L$37</f>
        <v>0</v>
      </c>
      <c r="X318" s="303">
        <f ca="1">VLOOKUP(E318,'1.1a-Jaarprijzen'!$B$32:$Q$51,16,FALSE)*K318</f>
        <v>0</v>
      </c>
      <c r="Z318" s="771">
        <f t="shared" si="49"/>
        <v>1140</v>
      </c>
      <c r="AA318" s="491" t="str">
        <f t="shared" si="50"/>
        <v>4200-200</v>
      </c>
    </row>
    <row r="319" spans="2:27" s="489" customFormat="1" ht="15" hidden="1">
      <c r="B319" s="329"/>
      <c r="C319" s="330"/>
      <c r="D319" s="294">
        <f>VLOOKUP(E319,'1.1a-Jaarprijzen'!$B$13:$G$29,6,FALSE)</f>
        <v>3</v>
      </c>
      <c r="E319" s="768" t="s">
        <v>808</v>
      </c>
      <c r="F319" s="294" t="s">
        <v>387</v>
      </c>
      <c r="G319" s="294" t="s">
        <v>830</v>
      </c>
      <c r="H319" s="709" t="s">
        <v>477</v>
      </c>
      <c r="I319" s="296" t="str">
        <f t="shared" si="17"/>
        <v>sanitaire ruimte (toilet-/doucheruimte)</v>
      </c>
      <c r="J319" s="294" t="s">
        <v>461</v>
      </c>
      <c r="K319" s="297">
        <v>5.2</v>
      </c>
      <c r="L319" s="297"/>
      <c r="M319" s="298">
        <v>4200</v>
      </c>
      <c r="N319" s="299">
        <f t="shared" si="46"/>
        <v>200</v>
      </c>
      <c r="O319" s="483">
        <v>1</v>
      </c>
      <c r="P319" s="483">
        <v>1</v>
      </c>
      <c r="Q319" s="291">
        <f t="shared" si="47"/>
        <v>0</v>
      </c>
      <c r="R319" s="291">
        <f t="shared" si="48"/>
        <v>0</v>
      </c>
      <c r="S319" s="300">
        <f t="shared" si="43"/>
        <v>0</v>
      </c>
      <c r="T319" s="300">
        <f t="shared" si="44"/>
        <v>0</v>
      </c>
      <c r="U319" s="769" t="str">
        <f t="shared" si="45"/>
        <v>S</v>
      </c>
      <c r="V319" s="302"/>
      <c r="W319" s="303">
        <f>(Q319+R319)*'1.0-Contractblad'!$L$37</f>
        <v>0</v>
      </c>
      <c r="X319" s="303">
        <f ca="1">VLOOKUP(E319,'1.1a-Jaarprijzen'!$B$32:$Q$51,16,FALSE)*K319</f>
        <v>0</v>
      </c>
      <c r="Z319" s="771">
        <f t="shared" si="49"/>
        <v>1040</v>
      </c>
      <c r="AA319" s="491" t="str">
        <f t="shared" si="50"/>
        <v>4200-200</v>
      </c>
    </row>
    <row r="320" spans="2:27" s="489" customFormat="1" ht="15" hidden="1">
      <c r="B320" s="329"/>
      <c r="C320" s="330"/>
      <c r="D320" s="294">
        <f>VLOOKUP(E320,'1.1a-Jaarprijzen'!$B$13:$G$29,6,FALSE)</f>
        <v>3</v>
      </c>
      <c r="E320" s="768" t="s">
        <v>808</v>
      </c>
      <c r="F320" s="294" t="s">
        <v>387</v>
      </c>
      <c r="G320" s="294" t="s">
        <v>831</v>
      </c>
      <c r="H320" s="709" t="s">
        <v>477</v>
      </c>
      <c r="I320" s="296" t="str">
        <f t="shared" si="17"/>
        <v>sanitaire ruimte (toilet-/doucheruimte)</v>
      </c>
      <c r="J320" s="294" t="s">
        <v>461</v>
      </c>
      <c r="K320" s="297">
        <v>5</v>
      </c>
      <c r="L320" s="297"/>
      <c r="M320" s="298">
        <v>4200</v>
      </c>
      <c r="N320" s="299">
        <f t="shared" si="46"/>
        <v>200</v>
      </c>
      <c r="O320" s="483">
        <v>1</v>
      </c>
      <c r="P320" s="483">
        <v>1</v>
      </c>
      <c r="Q320" s="291">
        <f t="shared" si="47"/>
        <v>0</v>
      </c>
      <c r="R320" s="291">
        <f t="shared" si="48"/>
        <v>0</v>
      </c>
      <c r="S320" s="300">
        <f t="shared" si="43"/>
        <v>0</v>
      </c>
      <c r="T320" s="300">
        <f t="shared" si="44"/>
        <v>0</v>
      </c>
      <c r="U320" s="769" t="str">
        <f t="shared" si="45"/>
        <v>S</v>
      </c>
      <c r="V320" s="302"/>
      <c r="W320" s="303">
        <f>(Q320+R320)*'1.0-Contractblad'!$L$37</f>
        <v>0</v>
      </c>
      <c r="X320" s="303">
        <f ca="1">VLOOKUP(E320,'1.1a-Jaarprijzen'!$B$32:$Q$51,16,FALSE)*K320</f>
        <v>0</v>
      </c>
      <c r="Z320" s="771">
        <f t="shared" si="49"/>
        <v>1000</v>
      </c>
      <c r="AA320" s="491" t="str">
        <f t="shared" si="50"/>
        <v>4200-200</v>
      </c>
    </row>
    <row r="321" spans="2:27" s="489" customFormat="1" ht="15" hidden="1">
      <c r="B321" s="329"/>
      <c r="C321" s="330"/>
      <c r="D321" s="294">
        <f>VLOOKUP(E321,'1.1a-Jaarprijzen'!$B$13:$G$29,6,FALSE)</f>
        <v>3</v>
      </c>
      <c r="E321" s="768" t="s">
        <v>808</v>
      </c>
      <c r="F321" s="294" t="s">
        <v>387</v>
      </c>
      <c r="G321" s="294" t="s">
        <v>832</v>
      </c>
      <c r="H321" s="709" t="s">
        <v>477</v>
      </c>
      <c r="I321" s="296" t="str">
        <f t="shared" si="17"/>
        <v>sanitaire ruimte (toilet-/doucheruimte)</v>
      </c>
      <c r="J321" s="294" t="s">
        <v>461</v>
      </c>
      <c r="K321" s="297">
        <v>5.3</v>
      </c>
      <c r="L321" s="297"/>
      <c r="M321" s="298">
        <v>4200</v>
      </c>
      <c r="N321" s="299">
        <f t="shared" si="46"/>
        <v>200</v>
      </c>
      <c r="O321" s="483">
        <v>1</v>
      </c>
      <c r="P321" s="483">
        <v>1</v>
      </c>
      <c r="Q321" s="291">
        <f t="shared" si="47"/>
        <v>0</v>
      </c>
      <c r="R321" s="291">
        <f t="shared" si="48"/>
        <v>0</v>
      </c>
      <c r="S321" s="300">
        <f t="shared" si="43"/>
        <v>0</v>
      </c>
      <c r="T321" s="300">
        <f t="shared" si="44"/>
        <v>0</v>
      </c>
      <c r="U321" s="769" t="str">
        <f t="shared" si="45"/>
        <v>S</v>
      </c>
      <c r="V321" s="302"/>
      <c r="W321" s="303">
        <f>(Q321+R321)*'1.0-Contractblad'!$L$37</f>
        <v>0</v>
      </c>
      <c r="X321" s="303">
        <f ca="1">VLOOKUP(E321,'1.1a-Jaarprijzen'!$B$32:$Q$51,16,FALSE)*K321</f>
        <v>0</v>
      </c>
      <c r="Z321" s="771">
        <f t="shared" si="49"/>
        <v>1060</v>
      </c>
      <c r="AA321" s="491" t="str">
        <f t="shared" si="50"/>
        <v>4200-200</v>
      </c>
    </row>
    <row r="322" spans="2:27" s="489" customFormat="1" ht="15" hidden="1">
      <c r="B322" s="329"/>
      <c r="C322" s="330"/>
      <c r="D322" s="294">
        <f>VLOOKUP(E322,'1.1a-Jaarprijzen'!$B$13:$G$29,6,FALSE)</f>
        <v>3</v>
      </c>
      <c r="E322" s="768" t="s">
        <v>808</v>
      </c>
      <c r="F322" s="294" t="s">
        <v>387</v>
      </c>
      <c r="G322" s="294" t="s">
        <v>725</v>
      </c>
      <c r="H322" s="709" t="s">
        <v>477</v>
      </c>
      <c r="I322" s="296" t="str">
        <f t="shared" si="17"/>
        <v>sanitaire ruimte (toilet-/doucheruimte)</v>
      </c>
      <c r="J322" s="294" t="s">
        <v>461</v>
      </c>
      <c r="K322" s="297">
        <v>1.4</v>
      </c>
      <c r="L322" s="297"/>
      <c r="M322" s="298">
        <v>4200</v>
      </c>
      <c r="N322" s="299">
        <f t="shared" si="46"/>
        <v>200</v>
      </c>
      <c r="O322" s="483">
        <v>1</v>
      </c>
      <c r="P322" s="483">
        <v>1</v>
      </c>
      <c r="Q322" s="291">
        <f t="shared" si="47"/>
        <v>0</v>
      </c>
      <c r="R322" s="291">
        <f t="shared" si="48"/>
        <v>0</v>
      </c>
      <c r="S322" s="300">
        <f t="shared" si="43"/>
        <v>0</v>
      </c>
      <c r="T322" s="300">
        <f t="shared" si="44"/>
        <v>0</v>
      </c>
      <c r="U322" s="769" t="str">
        <f t="shared" si="45"/>
        <v>S</v>
      </c>
      <c r="V322" s="302"/>
      <c r="W322" s="303">
        <f>(Q322+R322)*'1.0-Contractblad'!$L$37</f>
        <v>0</v>
      </c>
      <c r="X322" s="303">
        <f ca="1">VLOOKUP(E322,'1.1a-Jaarprijzen'!$B$32:$Q$51,16,FALSE)*K322</f>
        <v>0</v>
      </c>
      <c r="Z322" s="771">
        <f t="shared" si="49"/>
        <v>280</v>
      </c>
      <c r="AA322" s="491" t="str">
        <f t="shared" si="50"/>
        <v>4200-200</v>
      </c>
    </row>
    <row r="323" spans="2:27" s="489" customFormat="1" ht="15" hidden="1">
      <c r="B323" s="329"/>
      <c r="C323" s="330"/>
      <c r="D323" s="294">
        <f>VLOOKUP(E323,'1.1a-Jaarprijzen'!$B$13:$G$29,6,FALSE)</f>
        <v>3</v>
      </c>
      <c r="E323" s="768" t="s">
        <v>808</v>
      </c>
      <c r="F323" s="294" t="s">
        <v>387</v>
      </c>
      <c r="G323" s="294" t="s">
        <v>833</v>
      </c>
      <c r="H323" s="709" t="s">
        <v>395</v>
      </c>
      <c r="I323" s="296" t="str">
        <f t="shared" si="17"/>
        <v>administratieve -,  vergaderruimte</v>
      </c>
      <c r="J323" s="294" t="s">
        <v>655</v>
      </c>
      <c r="K323" s="297">
        <v>19.7</v>
      </c>
      <c r="L323" s="297"/>
      <c r="M323" s="298">
        <v>1200</v>
      </c>
      <c r="N323" s="299">
        <f t="shared" si="46"/>
        <v>200</v>
      </c>
      <c r="O323" s="483">
        <v>1</v>
      </c>
      <c r="P323" s="483">
        <v>1</v>
      </c>
      <c r="Q323" s="291">
        <f t="shared" si="47"/>
        <v>0</v>
      </c>
      <c r="R323" s="291">
        <f t="shared" si="48"/>
        <v>0</v>
      </c>
      <c r="S323" s="300">
        <f t="shared" si="43"/>
        <v>0</v>
      </c>
      <c r="T323" s="300">
        <f t="shared" si="44"/>
        <v>0</v>
      </c>
      <c r="U323" s="769" t="str">
        <f t="shared" si="45"/>
        <v>V</v>
      </c>
      <c r="V323" s="302"/>
      <c r="W323" s="303">
        <f>(Q323+R323)*'1.0-Contractblad'!$L$37</f>
        <v>0</v>
      </c>
      <c r="X323" s="303">
        <f ca="1">VLOOKUP(E323,'1.1a-Jaarprijzen'!$B$32:$Q$51,16,FALSE)*K323</f>
        <v>0</v>
      </c>
      <c r="Z323" s="771">
        <f t="shared" si="49"/>
        <v>3940</v>
      </c>
      <c r="AA323" s="491" t="str">
        <f t="shared" si="50"/>
        <v>1200-200</v>
      </c>
    </row>
    <row r="324" spans="2:27" s="489" customFormat="1" ht="15" hidden="1">
      <c r="B324" s="329"/>
      <c r="C324" s="330"/>
      <c r="D324" s="294">
        <f>VLOOKUP(E324,'1.1a-Jaarprijzen'!$B$13:$G$29,6,FALSE)</f>
        <v>3</v>
      </c>
      <c r="E324" s="768" t="s">
        <v>808</v>
      </c>
      <c r="F324" s="294" t="s">
        <v>387</v>
      </c>
      <c r="G324" s="294" t="s">
        <v>834</v>
      </c>
      <c r="H324" s="709" t="s">
        <v>395</v>
      </c>
      <c r="I324" s="296" t="str">
        <f t="shared" si="17"/>
        <v>administratieve -,  vergaderruimte</v>
      </c>
      <c r="J324" s="294" t="s">
        <v>655</v>
      </c>
      <c r="K324" s="297">
        <v>18</v>
      </c>
      <c r="L324" s="297"/>
      <c r="M324" s="298">
        <v>1200</v>
      </c>
      <c r="N324" s="299">
        <f t="shared" si="46"/>
        <v>200</v>
      </c>
      <c r="O324" s="483">
        <v>1</v>
      </c>
      <c r="P324" s="483">
        <v>1</v>
      </c>
      <c r="Q324" s="291">
        <f t="shared" si="47"/>
        <v>0</v>
      </c>
      <c r="R324" s="291">
        <f t="shared" si="48"/>
        <v>0</v>
      </c>
      <c r="S324" s="300">
        <f t="shared" si="43"/>
        <v>0</v>
      </c>
      <c r="T324" s="300">
        <f t="shared" si="44"/>
        <v>0</v>
      </c>
      <c r="U324" s="769" t="str">
        <f t="shared" si="45"/>
        <v>V</v>
      </c>
      <c r="V324" s="302"/>
      <c r="W324" s="303">
        <f>(Q324+R324)*'1.0-Contractblad'!$L$37</f>
        <v>0</v>
      </c>
      <c r="X324" s="303">
        <f ca="1">VLOOKUP(E324,'1.1a-Jaarprijzen'!$B$32:$Q$51,16,FALSE)*K324</f>
        <v>0</v>
      </c>
      <c r="Z324" s="771">
        <f t="shared" si="49"/>
        <v>3600</v>
      </c>
      <c r="AA324" s="491" t="str">
        <f t="shared" si="50"/>
        <v>1200-200</v>
      </c>
    </row>
    <row r="325" spans="2:27" s="489" customFormat="1" ht="15" hidden="1">
      <c r="B325" s="329"/>
      <c r="C325" s="330"/>
      <c r="D325" s="294">
        <f>VLOOKUP(E325,'1.1a-Jaarprijzen'!$B$13:$G$29,6,FALSE)</f>
        <v>3</v>
      </c>
      <c r="E325" s="785" t="s">
        <v>835</v>
      </c>
      <c r="F325" s="294" t="s">
        <v>387</v>
      </c>
      <c r="G325" s="294">
        <v>1</v>
      </c>
      <c r="H325" s="709" t="s">
        <v>985</v>
      </c>
      <c r="I325" s="296" t="str">
        <f t="shared" si="17"/>
        <v>entree, gang, hal, repro</v>
      </c>
      <c r="J325" s="294" t="s">
        <v>656</v>
      </c>
      <c r="K325" s="297">
        <v>14.1</v>
      </c>
      <c r="L325" s="297"/>
      <c r="M325" s="298">
        <v>3260</v>
      </c>
      <c r="N325" s="299">
        <f t="shared" si="46"/>
        <v>260</v>
      </c>
      <c r="O325" s="483">
        <v>1</v>
      </c>
      <c r="P325" s="483">
        <v>1</v>
      </c>
      <c r="Q325" s="291">
        <f t="shared" si="47"/>
        <v>0</v>
      </c>
      <c r="R325" s="291">
        <f t="shared" si="48"/>
        <v>0</v>
      </c>
      <c r="S325" s="300">
        <f t="shared" si="43"/>
        <v>0</v>
      </c>
      <c r="T325" s="300">
        <f t="shared" si="44"/>
        <v>0</v>
      </c>
      <c r="U325" s="769" t="str">
        <f t="shared" si="45"/>
        <v>V</v>
      </c>
      <c r="V325" s="302" t="s">
        <v>1022</v>
      </c>
      <c r="W325" s="303">
        <f>(Q325+R325)*'1.0-Contractblad'!$L$37</f>
        <v>0</v>
      </c>
      <c r="X325" s="303">
        <f ca="1">VLOOKUP(E325,'1.1a-Jaarprijzen'!$B$32:$Q$51,16,FALSE)*K325</f>
        <v>0</v>
      </c>
      <c r="Z325" s="771">
        <f t="shared" si="49"/>
        <v>3666</v>
      </c>
      <c r="AA325" s="491" t="str">
        <f t="shared" si="50"/>
        <v>3260-260</v>
      </c>
    </row>
    <row r="326" spans="2:27" s="489" customFormat="1" ht="15" hidden="1">
      <c r="B326" s="329"/>
      <c r="C326" s="330"/>
      <c r="D326" s="294">
        <f>VLOOKUP(E326,'1.1a-Jaarprijzen'!$B$13:$G$29,6,FALSE)</f>
        <v>3</v>
      </c>
      <c r="E326" s="785" t="s">
        <v>835</v>
      </c>
      <c r="F326" s="294" t="s">
        <v>387</v>
      </c>
      <c r="G326" s="294">
        <v>2</v>
      </c>
      <c r="H326" s="709" t="s">
        <v>397</v>
      </c>
      <c r="I326" s="296" t="str">
        <f t="shared" si="17"/>
        <v>aula, gemeenschappelijke ruimte, bibliotheek</v>
      </c>
      <c r="J326" s="294" t="s">
        <v>655</v>
      </c>
      <c r="K326" s="297">
        <v>164.5</v>
      </c>
      <c r="L326" s="297"/>
      <c r="M326" s="298">
        <v>2260</v>
      </c>
      <c r="N326" s="299">
        <f t="shared" si="46"/>
        <v>260</v>
      </c>
      <c r="O326" s="483">
        <v>1</v>
      </c>
      <c r="P326" s="483">
        <v>1</v>
      </c>
      <c r="Q326" s="291">
        <f t="shared" si="47"/>
        <v>0</v>
      </c>
      <c r="R326" s="291">
        <f t="shared" si="48"/>
        <v>0</v>
      </c>
      <c r="S326" s="300">
        <f t="shared" si="43"/>
        <v>0</v>
      </c>
      <c r="T326" s="300">
        <f t="shared" si="44"/>
        <v>0</v>
      </c>
      <c r="U326" s="769" t="str">
        <f t="shared" si="45"/>
        <v>V</v>
      </c>
      <c r="V326" s="302" t="s">
        <v>1022</v>
      </c>
      <c r="W326" s="303">
        <f>(Q326+R326)*'1.0-Contractblad'!$L$37</f>
        <v>0</v>
      </c>
      <c r="X326" s="303">
        <f ca="1">VLOOKUP(E326,'1.1a-Jaarprijzen'!$B$32:$Q$51,16,FALSE)*K326</f>
        <v>0</v>
      </c>
      <c r="Z326" s="771">
        <f t="shared" si="49"/>
        <v>42770</v>
      </c>
      <c r="AA326" s="491" t="str">
        <f t="shared" si="50"/>
        <v>2260-260</v>
      </c>
    </row>
    <row r="327" spans="2:27" s="489" customFormat="1" ht="15" hidden="1">
      <c r="B327" s="329"/>
      <c r="C327" s="330"/>
      <c r="D327" s="294">
        <f>VLOOKUP(E327,'1.1a-Jaarprijzen'!$B$13:$G$29,6,FALSE)</f>
        <v>3</v>
      </c>
      <c r="E327" s="785" t="s">
        <v>835</v>
      </c>
      <c r="F327" s="294" t="s">
        <v>387</v>
      </c>
      <c r="G327" s="294">
        <v>2</v>
      </c>
      <c r="H327" s="709" t="s">
        <v>711</v>
      </c>
      <c r="I327" s="296" t="str">
        <f t="shared" si="17"/>
        <v>aula, gemeenschappelijke ruimte, bibliotheek</v>
      </c>
      <c r="J327" s="294" t="s">
        <v>655</v>
      </c>
      <c r="K327" s="297">
        <v>19.7</v>
      </c>
      <c r="L327" s="297"/>
      <c r="M327" s="298">
        <v>2260</v>
      </c>
      <c r="N327" s="299">
        <f t="shared" si="46"/>
        <v>260</v>
      </c>
      <c r="O327" s="483">
        <v>1</v>
      </c>
      <c r="P327" s="483">
        <v>1</v>
      </c>
      <c r="Q327" s="291">
        <f t="shared" si="47"/>
        <v>0</v>
      </c>
      <c r="R327" s="291">
        <f t="shared" si="48"/>
        <v>0</v>
      </c>
      <c r="S327" s="300">
        <f t="shared" si="43"/>
        <v>0</v>
      </c>
      <c r="T327" s="300">
        <f t="shared" si="44"/>
        <v>0</v>
      </c>
      <c r="U327" s="769" t="str">
        <f t="shared" si="45"/>
        <v>V</v>
      </c>
      <c r="V327" s="302" t="s">
        <v>1022</v>
      </c>
      <c r="W327" s="303">
        <f>(Q327+R327)*'1.0-Contractblad'!$L$37</f>
        <v>0</v>
      </c>
      <c r="X327" s="303">
        <f ca="1">VLOOKUP(E327,'1.1a-Jaarprijzen'!$B$32:$Q$51,16,FALSE)*K327</f>
        <v>0</v>
      </c>
      <c r="Z327" s="771">
        <f t="shared" si="49"/>
        <v>5122</v>
      </c>
      <c r="AA327" s="491" t="str">
        <f t="shared" si="50"/>
        <v>2260-260</v>
      </c>
    </row>
    <row r="328" spans="2:27" s="489" customFormat="1" ht="15" hidden="1">
      <c r="B328" s="329"/>
      <c r="C328" s="330"/>
      <c r="D328" s="294">
        <f>VLOOKUP(E328,'1.1a-Jaarprijzen'!$B$13:$G$29,6,FALSE)</f>
        <v>3</v>
      </c>
      <c r="E328" s="768" t="s">
        <v>835</v>
      </c>
      <c r="F328" s="294" t="s">
        <v>387</v>
      </c>
      <c r="G328" s="294" t="s">
        <v>836</v>
      </c>
      <c r="H328" s="709" t="s">
        <v>477</v>
      </c>
      <c r="I328" s="296" t="str">
        <f t="shared" si="17"/>
        <v>sanitaire ruimte (toilet-/doucheruimte)</v>
      </c>
      <c r="J328" s="294" t="s">
        <v>461</v>
      </c>
      <c r="K328" s="297">
        <v>7.8</v>
      </c>
      <c r="L328" s="297"/>
      <c r="M328" s="298">
        <v>4200</v>
      </c>
      <c r="N328" s="299">
        <f t="shared" si="46"/>
        <v>200</v>
      </c>
      <c r="O328" s="483">
        <v>1</v>
      </c>
      <c r="P328" s="483">
        <v>1</v>
      </c>
      <c r="Q328" s="291">
        <f t="shared" si="47"/>
        <v>0</v>
      </c>
      <c r="R328" s="291">
        <f t="shared" si="48"/>
        <v>0</v>
      </c>
      <c r="S328" s="300">
        <f t="shared" si="43"/>
        <v>0</v>
      </c>
      <c r="T328" s="300">
        <f t="shared" si="44"/>
        <v>0</v>
      </c>
      <c r="U328" s="769" t="str">
        <f t="shared" si="45"/>
        <v>S</v>
      </c>
      <c r="V328" s="302"/>
      <c r="W328" s="303">
        <f>(Q328+R328)*'1.0-Contractblad'!$L$37</f>
        <v>0</v>
      </c>
      <c r="X328" s="303">
        <f ca="1">VLOOKUP(E328,'1.1a-Jaarprijzen'!$B$32:$Q$51,16,FALSE)*K328</f>
        <v>0</v>
      </c>
      <c r="Z328" s="771">
        <f t="shared" si="49"/>
        <v>1560</v>
      </c>
      <c r="AA328" s="491" t="str">
        <f t="shared" si="50"/>
        <v>4200-200</v>
      </c>
    </row>
    <row r="329" spans="2:27" s="489" customFormat="1" ht="15" hidden="1">
      <c r="B329" s="329"/>
      <c r="C329" s="330"/>
      <c r="D329" s="294">
        <f>VLOOKUP(E329,'1.1a-Jaarprijzen'!$B$13:$G$29,6,FALSE)</f>
        <v>3</v>
      </c>
      <c r="E329" s="768" t="s">
        <v>835</v>
      </c>
      <c r="F329" s="294" t="s">
        <v>387</v>
      </c>
      <c r="G329" s="294">
        <v>3</v>
      </c>
      <c r="H329" s="709" t="s">
        <v>646</v>
      </c>
      <c r="I329" s="296" t="str">
        <f t="shared" si="17"/>
        <v>leslokaal groep 1 t/m 3</v>
      </c>
      <c r="J329" s="294" t="s">
        <v>655</v>
      </c>
      <c r="K329" s="297">
        <v>55.9</v>
      </c>
      <c r="L329" s="297"/>
      <c r="M329" s="298">
        <v>7200</v>
      </c>
      <c r="N329" s="299">
        <f t="shared" si="46"/>
        <v>200</v>
      </c>
      <c r="O329" s="483">
        <v>1</v>
      </c>
      <c r="P329" s="483">
        <v>1</v>
      </c>
      <c r="Q329" s="291">
        <f t="shared" si="47"/>
        <v>0</v>
      </c>
      <c r="R329" s="291">
        <f t="shared" si="48"/>
        <v>0</v>
      </c>
      <c r="S329" s="300">
        <f t="shared" si="43"/>
        <v>0</v>
      </c>
      <c r="T329" s="300">
        <f t="shared" si="44"/>
        <v>0</v>
      </c>
      <c r="U329" s="769" t="str">
        <f t="shared" si="45"/>
        <v>L</v>
      </c>
      <c r="V329" s="302"/>
      <c r="W329" s="303">
        <f>(Q329+R329)*'1.0-Contractblad'!$L$37</f>
        <v>0</v>
      </c>
      <c r="X329" s="303">
        <f ca="1">VLOOKUP(E329,'1.1a-Jaarprijzen'!$B$32:$Q$51,16,FALSE)*K329</f>
        <v>0</v>
      </c>
      <c r="Z329" s="771">
        <f t="shared" si="49"/>
        <v>11180</v>
      </c>
      <c r="AA329" s="491" t="str">
        <f t="shared" si="50"/>
        <v>7200-200</v>
      </c>
    </row>
    <row r="330" spans="2:27" s="489" customFormat="1" ht="15" hidden="1">
      <c r="B330" s="329"/>
      <c r="C330" s="330"/>
      <c r="D330" s="294">
        <f>VLOOKUP(E330,'1.1a-Jaarprijzen'!$B$13:$G$29,6,FALSE)</f>
        <v>3</v>
      </c>
      <c r="E330" s="768" t="s">
        <v>835</v>
      </c>
      <c r="F330" s="294" t="s">
        <v>387</v>
      </c>
      <c r="G330" s="294">
        <v>4</v>
      </c>
      <c r="H330" s="709" t="s">
        <v>646</v>
      </c>
      <c r="I330" s="296" t="str">
        <f t="shared" si="17"/>
        <v>leslokaal groep 1 t/m 3</v>
      </c>
      <c r="J330" s="294" t="s">
        <v>655</v>
      </c>
      <c r="K330" s="297">
        <v>55.9</v>
      </c>
      <c r="L330" s="297"/>
      <c r="M330" s="298">
        <v>7200</v>
      </c>
      <c r="N330" s="299">
        <f t="shared" si="46"/>
        <v>200</v>
      </c>
      <c r="O330" s="483">
        <v>1</v>
      </c>
      <c r="P330" s="483">
        <v>1</v>
      </c>
      <c r="Q330" s="291">
        <f t="shared" si="47"/>
        <v>0</v>
      </c>
      <c r="R330" s="291">
        <f t="shared" si="48"/>
        <v>0</v>
      </c>
      <c r="S330" s="300">
        <f t="shared" si="43"/>
        <v>0</v>
      </c>
      <c r="T330" s="300">
        <f t="shared" si="44"/>
        <v>0</v>
      </c>
      <c r="U330" s="769" t="str">
        <f t="shared" si="45"/>
        <v>L</v>
      </c>
      <c r="V330" s="302"/>
      <c r="W330" s="303">
        <f>(Q330+R330)*'1.0-Contractblad'!$L$37</f>
        <v>0</v>
      </c>
      <c r="X330" s="303">
        <f ca="1">VLOOKUP(E330,'1.1a-Jaarprijzen'!$B$32:$Q$51,16,FALSE)*K330</f>
        <v>0</v>
      </c>
      <c r="Z330" s="771">
        <f t="shared" si="49"/>
        <v>11180</v>
      </c>
      <c r="AA330" s="491" t="str">
        <f t="shared" si="50"/>
        <v>7200-200</v>
      </c>
    </row>
    <row r="331" spans="2:27" s="489" customFormat="1" ht="15" hidden="1">
      <c r="B331" s="329"/>
      <c r="C331" s="330"/>
      <c r="D331" s="294">
        <f>VLOOKUP(E331,'1.1a-Jaarprijzen'!$B$13:$G$29,6,FALSE)</f>
        <v>3</v>
      </c>
      <c r="E331" s="785" t="s">
        <v>835</v>
      </c>
      <c r="F331" s="294" t="s">
        <v>387</v>
      </c>
      <c r="G331" s="294">
        <v>5</v>
      </c>
      <c r="H331" s="709" t="s">
        <v>646</v>
      </c>
      <c r="I331" s="296" t="str">
        <f t="shared" si="17"/>
        <v>Kinderopvang</v>
      </c>
      <c r="J331" s="294" t="s">
        <v>655</v>
      </c>
      <c r="K331" s="297">
        <v>55.9</v>
      </c>
      <c r="L331" s="297"/>
      <c r="M331" s="298">
        <v>22260</v>
      </c>
      <c r="N331" s="299">
        <f t="shared" si="46"/>
        <v>260</v>
      </c>
      <c r="O331" s="483">
        <v>1</v>
      </c>
      <c r="P331" s="483">
        <v>1</v>
      </c>
      <c r="Q331" s="291">
        <f t="shared" si="47"/>
        <v>0</v>
      </c>
      <c r="R331" s="291">
        <f t="shared" si="48"/>
        <v>0</v>
      </c>
      <c r="S331" s="300">
        <f t="shared" si="43"/>
        <v>0</v>
      </c>
      <c r="T331" s="300">
        <f t="shared" si="44"/>
        <v>0</v>
      </c>
      <c r="U331" s="769" t="str">
        <f t="shared" si="45"/>
        <v>L</v>
      </c>
      <c r="V331" s="302" t="s">
        <v>1022</v>
      </c>
      <c r="W331" s="303">
        <f>(Q331+R331)*'1.0-Contractblad'!$L$37</f>
        <v>0</v>
      </c>
      <c r="X331" s="303">
        <f ca="1">VLOOKUP(E331,'1.1a-Jaarprijzen'!$B$32:$Q$51,16,FALSE)*K331</f>
        <v>0</v>
      </c>
      <c r="Z331" s="771">
        <f t="shared" si="49"/>
        <v>14534</v>
      </c>
      <c r="AA331" s="491" t="str">
        <f t="shared" si="50"/>
        <v>22260-260</v>
      </c>
    </row>
    <row r="332" spans="2:27" s="489" customFormat="1" ht="15" hidden="1">
      <c r="B332" s="329"/>
      <c r="C332" s="330"/>
      <c r="D332" s="294">
        <f>VLOOKUP(E332,'1.1a-Jaarprijzen'!$B$13:$G$29,6,FALSE)</f>
        <v>3</v>
      </c>
      <c r="E332" s="768" t="s">
        <v>835</v>
      </c>
      <c r="F332" s="294" t="s">
        <v>387</v>
      </c>
      <c r="G332" s="294" t="s">
        <v>837</v>
      </c>
      <c r="H332" s="709" t="s">
        <v>477</v>
      </c>
      <c r="I332" s="296" t="str">
        <f t="shared" si="17"/>
        <v>sanitaire ruimte (toilet-/doucheruimte)</v>
      </c>
      <c r="J332" s="294" t="s">
        <v>461</v>
      </c>
      <c r="K332" s="297">
        <v>1.2</v>
      </c>
      <c r="L332" s="297"/>
      <c r="M332" s="298">
        <v>4200</v>
      </c>
      <c r="N332" s="299">
        <f t="shared" si="46"/>
        <v>200</v>
      </c>
      <c r="O332" s="483">
        <v>1</v>
      </c>
      <c r="P332" s="483">
        <v>1</v>
      </c>
      <c r="Q332" s="291">
        <f t="shared" si="47"/>
        <v>0</v>
      </c>
      <c r="R332" s="291">
        <f t="shared" si="48"/>
        <v>0</v>
      </c>
      <c r="S332" s="300">
        <f t="shared" si="43"/>
        <v>0</v>
      </c>
      <c r="T332" s="300">
        <f t="shared" si="44"/>
        <v>0</v>
      </c>
      <c r="U332" s="769" t="str">
        <f t="shared" si="45"/>
        <v>S</v>
      </c>
      <c r="V332" s="302"/>
      <c r="W332" s="303">
        <f>(Q332+R332)*'1.0-Contractblad'!$L$37</f>
        <v>0</v>
      </c>
      <c r="X332" s="303">
        <f ca="1">VLOOKUP(E332,'1.1a-Jaarprijzen'!$B$32:$Q$51,16,FALSE)*K332</f>
        <v>0</v>
      </c>
      <c r="Z332" s="771">
        <f t="shared" si="49"/>
        <v>240</v>
      </c>
      <c r="AA332" s="491" t="str">
        <f t="shared" si="50"/>
        <v>4200-200</v>
      </c>
    </row>
    <row r="333" spans="2:27" s="489" customFormat="1" ht="15" hidden="1">
      <c r="B333" s="329"/>
      <c r="C333" s="330"/>
      <c r="D333" s="294">
        <f>VLOOKUP(E333,'1.1a-Jaarprijzen'!$B$13:$G$29,6,FALSE)</f>
        <v>3</v>
      </c>
      <c r="E333" s="785" t="s">
        <v>835</v>
      </c>
      <c r="F333" s="294" t="s">
        <v>387</v>
      </c>
      <c r="G333" s="294">
        <v>8</v>
      </c>
      <c r="H333" s="709" t="s">
        <v>1001</v>
      </c>
      <c r="I333" s="296" t="str">
        <f t="shared" si="17"/>
        <v>pantry/keuken</v>
      </c>
      <c r="J333" s="294" t="s">
        <v>655</v>
      </c>
      <c r="K333" s="297">
        <v>4.7</v>
      </c>
      <c r="L333" s="297"/>
      <c r="M333" s="298">
        <v>5260</v>
      </c>
      <c r="N333" s="299">
        <f t="shared" si="46"/>
        <v>260</v>
      </c>
      <c r="O333" s="483">
        <v>1</v>
      </c>
      <c r="P333" s="483">
        <v>1</v>
      </c>
      <c r="Q333" s="291">
        <f t="shared" si="47"/>
        <v>0</v>
      </c>
      <c r="R333" s="291">
        <f t="shared" si="48"/>
        <v>0</v>
      </c>
      <c r="S333" s="300">
        <f t="shared" si="43"/>
        <v>0</v>
      </c>
      <c r="T333" s="300">
        <f t="shared" si="44"/>
        <v>0</v>
      </c>
      <c r="U333" s="769" t="str">
        <f t="shared" si="45"/>
        <v>V</v>
      </c>
      <c r="V333" s="302" t="s">
        <v>1022</v>
      </c>
      <c r="W333" s="303">
        <f>(Q333+R333)*'1.0-Contractblad'!$L$37</f>
        <v>0</v>
      </c>
      <c r="X333" s="303">
        <f ca="1">VLOOKUP(E333,'1.1a-Jaarprijzen'!$B$32:$Q$51,16,FALSE)*K333</f>
        <v>0</v>
      </c>
      <c r="Z333" s="771">
        <f t="shared" si="49"/>
        <v>1222</v>
      </c>
      <c r="AA333" s="491" t="str">
        <f t="shared" si="50"/>
        <v>5260-260</v>
      </c>
    </row>
    <row r="334" spans="2:27" s="489" customFormat="1" ht="15" hidden="1">
      <c r="B334" s="329"/>
      <c r="C334" s="330"/>
      <c r="D334" s="294">
        <f>VLOOKUP(E334,'1.1a-Jaarprijzen'!$B$13:$G$29,6,FALSE)</f>
        <v>3</v>
      </c>
      <c r="E334" s="785" t="s">
        <v>835</v>
      </c>
      <c r="F334" s="294" t="s">
        <v>387</v>
      </c>
      <c r="G334" s="294">
        <v>11</v>
      </c>
      <c r="H334" s="709" t="s">
        <v>388</v>
      </c>
      <c r="I334" s="296" t="str">
        <f t="shared" si="17"/>
        <v>entree, gang, hal, repro</v>
      </c>
      <c r="J334" s="294" t="s">
        <v>655</v>
      </c>
      <c r="K334" s="297">
        <v>107.9</v>
      </c>
      <c r="L334" s="297"/>
      <c r="M334" s="298">
        <v>3260</v>
      </c>
      <c r="N334" s="299">
        <f t="shared" si="46"/>
        <v>260</v>
      </c>
      <c r="O334" s="483">
        <v>1</v>
      </c>
      <c r="P334" s="483">
        <v>1</v>
      </c>
      <c r="Q334" s="291">
        <f t="shared" si="47"/>
        <v>0</v>
      </c>
      <c r="R334" s="291">
        <f t="shared" si="48"/>
        <v>0</v>
      </c>
      <c r="S334" s="300">
        <f t="shared" si="43"/>
        <v>0</v>
      </c>
      <c r="T334" s="300">
        <f t="shared" si="44"/>
        <v>0</v>
      </c>
      <c r="U334" s="769" t="str">
        <f t="shared" si="45"/>
        <v>V</v>
      </c>
      <c r="V334" s="302" t="s">
        <v>1022</v>
      </c>
      <c r="W334" s="303">
        <f>(Q334+R334)*'1.0-Contractblad'!$L$37</f>
        <v>0</v>
      </c>
      <c r="X334" s="303">
        <f ca="1">VLOOKUP(E334,'1.1a-Jaarprijzen'!$B$32:$Q$51,16,FALSE)*K334</f>
        <v>0</v>
      </c>
      <c r="Z334" s="771">
        <f t="shared" si="49"/>
        <v>28054</v>
      </c>
      <c r="AA334" s="491" t="str">
        <f t="shared" si="50"/>
        <v>3260-260</v>
      </c>
    </row>
    <row r="335" spans="2:27" s="489" customFormat="1" ht="15" hidden="1">
      <c r="B335" s="329"/>
      <c r="C335" s="330"/>
      <c r="D335" s="294">
        <f>VLOOKUP(E335,'1.1a-Jaarprijzen'!$B$13:$G$29,6,FALSE)</f>
        <v>3</v>
      </c>
      <c r="E335" s="785" t="s">
        <v>835</v>
      </c>
      <c r="F335" s="294" t="s">
        <v>387</v>
      </c>
      <c r="G335" s="295">
        <v>12</v>
      </c>
      <c r="H335" s="293" t="s">
        <v>987</v>
      </c>
      <c r="I335" s="296" t="str">
        <f t="shared" si="17"/>
        <v>sanitaire ruimte (toilet-/doucheruimte)</v>
      </c>
      <c r="J335" s="294" t="s">
        <v>461</v>
      </c>
      <c r="K335" s="297">
        <v>4.3</v>
      </c>
      <c r="L335" s="297"/>
      <c r="M335" s="298">
        <v>4260</v>
      </c>
      <c r="N335" s="299">
        <f t="shared" si="46"/>
        <v>260</v>
      </c>
      <c r="O335" s="483">
        <v>1</v>
      </c>
      <c r="P335" s="483">
        <v>1</v>
      </c>
      <c r="Q335" s="291">
        <f t="shared" si="47"/>
        <v>0</v>
      </c>
      <c r="R335" s="291">
        <f t="shared" si="48"/>
        <v>0</v>
      </c>
      <c r="S335" s="300">
        <f t="shared" si="43"/>
        <v>0</v>
      </c>
      <c r="T335" s="300">
        <f t="shared" si="44"/>
        <v>0</v>
      </c>
      <c r="U335" s="769" t="str">
        <f t="shared" si="45"/>
        <v>S</v>
      </c>
      <c r="V335" s="302" t="s">
        <v>1022</v>
      </c>
      <c r="W335" s="303">
        <f>(Q335+R335)*'1.0-Contractblad'!$L$37</f>
        <v>0</v>
      </c>
      <c r="X335" s="303">
        <f ca="1">VLOOKUP(E335,'1.1a-Jaarprijzen'!$B$32:$Q$51,16,FALSE)*K335</f>
        <v>0</v>
      </c>
      <c r="Z335" s="771">
        <f t="shared" si="49"/>
        <v>1118</v>
      </c>
      <c r="AA335" s="491" t="str">
        <f t="shared" si="50"/>
        <v>4260-260</v>
      </c>
    </row>
    <row r="336" spans="2:27" s="489" customFormat="1" ht="15" hidden="1">
      <c r="B336" s="329"/>
      <c r="C336" s="330"/>
      <c r="D336" s="294">
        <f>VLOOKUP(E336,'1.1a-Jaarprijzen'!$B$13:$G$29,6,FALSE)</f>
        <v>3</v>
      </c>
      <c r="E336" s="785" t="s">
        <v>835</v>
      </c>
      <c r="F336" s="294" t="s">
        <v>387</v>
      </c>
      <c r="G336" s="295">
        <v>12</v>
      </c>
      <c r="H336" s="293" t="s">
        <v>987</v>
      </c>
      <c r="I336" s="296" t="str">
        <f t="shared" si="17"/>
        <v>sanitaire ruimte (toilet-/doucheruimte)</v>
      </c>
      <c r="J336" s="294" t="s">
        <v>461</v>
      </c>
      <c r="K336" s="297">
        <v>4.3</v>
      </c>
      <c r="L336" s="297"/>
      <c r="M336" s="298">
        <v>4260</v>
      </c>
      <c r="N336" s="299">
        <f t="shared" si="46"/>
        <v>260</v>
      </c>
      <c r="O336" s="483">
        <v>1</v>
      </c>
      <c r="P336" s="483">
        <v>1</v>
      </c>
      <c r="Q336" s="291">
        <f t="shared" si="47"/>
        <v>0</v>
      </c>
      <c r="R336" s="291">
        <f t="shared" si="48"/>
        <v>0</v>
      </c>
      <c r="S336" s="300">
        <f t="shared" si="43"/>
        <v>0</v>
      </c>
      <c r="T336" s="300">
        <f t="shared" si="44"/>
        <v>0</v>
      </c>
      <c r="U336" s="769" t="str">
        <f t="shared" si="45"/>
        <v>S</v>
      </c>
      <c r="V336" s="302" t="s">
        <v>1022</v>
      </c>
      <c r="W336" s="303">
        <f>(Q336+R336)*'1.0-Contractblad'!$L$37</f>
        <v>0</v>
      </c>
      <c r="X336" s="303">
        <f ca="1">VLOOKUP(E336,'1.1a-Jaarprijzen'!$B$32:$Q$51,16,FALSE)*K336</f>
        <v>0</v>
      </c>
      <c r="Z336" s="771">
        <f t="shared" si="49"/>
        <v>1118</v>
      </c>
      <c r="AA336" s="491" t="str">
        <f t="shared" si="50"/>
        <v>4260-260</v>
      </c>
    </row>
    <row r="337" spans="2:27" s="489" customFormat="1" ht="15" hidden="1">
      <c r="B337" s="329"/>
      <c r="C337" s="330"/>
      <c r="D337" s="294">
        <f>VLOOKUP(E337,'1.1a-Jaarprijzen'!$B$13:$G$29,6,FALSE)</f>
        <v>3</v>
      </c>
      <c r="E337" s="785" t="s">
        <v>835</v>
      </c>
      <c r="F337" s="294" t="s">
        <v>387</v>
      </c>
      <c r="G337" s="295">
        <v>13</v>
      </c>
      <c r="H337" s="293" t="s">
        <v>962</v>
      </c>
      <c r="I337" s="296" t="str">
        <f t="shared" si="17"/>
        <v>leslokaal/leerplein groep 4 t/m 8</v>
      </c>
      <c r="J337" s="294" t="s">
        <v>655</v>
      </c>
      <c r="K337" s="297">
        <v>55.9</v>
      </c>
      <c r="L337" s="297"/>
      <c r="M337" s="298">
        <v>18200</v>
      </c>
      <c r="N337" s="299">
        <f t="shared" si="46"/>
        <v>200</v>
      </c>
      <c r="O337" s="483">
        <v>1</v>
      </c>
      <c r="P337" s="483">
        <v>1</v>
      </c>
      <c r="Q337" s="291">
        <f t="shared" si="47"/>
        <v>0</v>
      </c>
      <c r="R337" s="291">
        <f t="shared" si="48"/>
        <v>0</v>
      </c>
      <c r="S337" s="300">
        <f t="shared" si="43"/>
        <v>0</v>
      </c>
      <c r="T337" s="300">
        <f t="shared" si="44"/>
        <v>0</v>
      </c>
      <c r="U337" s="769" t="str">
        <f t="shared" si="45"/>
        <v>L</v>
      </c>
      <c r="V337" s="302" t="s">
        <v>1022</v>
      </c>
      <c r="W337" s="303">
        <f>(Q337+R337)*'1.0-Contractblad'!$L$37</f>
        <v>0</v>
      </c>
      <c r="X337" s="303">
        <f ca="1">VLOOKUP(E337,'1.1a-Jaarprijzen'!$B$32:$Q$51,16,FALSE)*K337</f>
        <v>0</v>
      </c>
      <c r="Z337" s="771">
        <f t="shared" si="49"/>
        <v>11180</v>
      </c>
      <c r="AA337" s="491" t="str">
        <f t="shared" si="50"/>
        <v>18200-200</v>
      </c>
    </row>
    <row r="338" spans="2:27" s="489" customFormat="1" ht="15" hidden="1">
      <c r="B338" s="329"/>
      <c r="C338" s="330"/>
      <c r="D338" s="294">
        <f>VLOOKUP(E338,'1.1a-Jaarprijzen'!$B$13:$G$29,6,FALSE)</f>
        <v>3</v>
      </c>
      <c r="E338" s="768" t="s">
        <v>835</v>
      </c>
      <c r="F338" s="294" t="s">
        <v>387</v>
      </c>
      <c r="G338" s="295">
        <v>14</v>
      </c>
      <c r="H338" s="293" t="s">
        <v>394</v>
      </c>
      <c r="I338" s="296" t="str">
        <f t="shared" si="17"/>
        <v>leslokaal/leerplein groep 4 t/m 8</v>
      </c>
      <c r="J338" s="294" t="s">
        <v>655</v>
      </c>
      <c r="K338" s="297">
        <v>55.9</v>
      </c>
      <c r="L338" s="297"/>
      <c r="M338" s="298">
        <v>18200</v>
      </c>
      <c r="N338" s="299">
        <f t="shared" si="46"/>
        <v>200</v>
      </c>
      <c r="O338" s="483">
        <v>1</v>
      </c>
      <c r="P338" s="483">
        <v>1</v>
      </c>
      <c r="Q338" s="291">
        <f t="shared" si="47"/>
        <v>0</v>
      </c>
      <c r="R338" s="291">
        <f t="shared" si="48"/>
        <v>0</v>
      </c>
      <c r="S338" s="300">
        <f t="shared" si="43"/>
        <v>0</v>
      </c>
      <c r="T338" s="300">
        <f t="shared" si="44"/>
        <v>0</v>
      </c>
      <c r="U338" s="769" t="str">
        <f t="shared" si="45"/>
        <v>L</v>
      </c>
      <c r="V338" s="302"/>
      <c r="W338" s="303">
        <f>(Q338+R338)*'1.0-Contractblad'!$L$37</f>
        <v>0</v>
      </c>
      <c r="X338" s="303">
        <f ca="1">VLOOKUP(E338,'1.1a-Jaarprijzen'!$B$32:$Q$51,16,FALSE)*K338</f>
        <v>0</v>
      </c>
      <c r="Z338" s="771">
        <f t="shared" si="49"/>
        <v>11180</v>
      </c>
      <c r="AA338" s="491" t="str">
        <f t="shared" si="50"/>
        <v>18200-200</v>
      </c>
    </row>
    <row r="339" spans="2:27" s="489" customFormat="1" ht="15" hidden="1">
      <c r="B339" s="329"/>
      <c r="C339" s="330"/>
      <c r="D339" s="294">
        <f>VLOOKUP(E339,'1.1a-Jaarprijzen'!$B$13:$G$29,6,FALSE)</f>
        <v>3</v>
      </c>
      <c r="E339" s="768" t="s">
        <v>835</v>
      </c>
      <c r="F339" s="294" t="s">
        <v>387</v>
      </c>
      <c r="G339" s="295">
        <v>16</v>
      </c>
      <c r="H339" s="293" t="s">
        <v>395</v>
      </c>
      <c r="I339" s="296" t="str">
        <f t="shared" si="17"/>
        <v>administratieve -,  vergaderruimte</v>
      </c>
      <c r="J339" s="294" t="s">
        <v>462</v>
      </c>
      <c r="K339" s="297">
        <v>9.6999999999999993</v>
      </c>
      <c r="L339" s="297"/>
      <c r="M339" s="298">
        <v>1040</v>
      </c>
      <c r="N339" s="299">
        <f t="shared" si="46"/>
        <v>40</v>
      </c>
      <c r="O339" s="483">
        <v>1</v>
      </c>
      <c r="P339" s="483">
        <v>1</v>
      </c>
      <c r="Q339" s="291">
        <f t="shared" si="47"/>
        <v>0</v>
      </c>
      <c r="R339" s="291">
        <f t="shared" si="48"/>
        <v>0</v>
      </c>
      <c r="S339" s="300">
        <f t="shared" si="43"/>
        <v>0</v>
      </c>
      <c r="T339" s="300">
        <f t="shared" si="44"/>
        <v>0</v>
      </c>
      <c r="U339" s="769" t="str">
        <f t="shared" si="45"/>
        <v>V</v>
      </c>
      <c r="V339" s="302"/>
      <c r="W339" s="303">
        <f>(Q339+R339)*'1.0-Contractblad'!$L$37</f>
        <v>0</v>
      </c>
      <c r="X339" s="303">
        <f ca="1">VLOOKUP(E339,'1.1a-Jaarprijzen'!$B$32:$Q$51,16,FALSE)*K339</f>
        <v>0</v>
      </c>
      <c r="Z339" s="771">
        <f t="shared" si="49"/>
        <v>388</v>
      </c>
      <c r="AA339" s="491" t="str">
        <f t="shared" si="50"/>
        <v>1040-40</v>
      </c>
    </row>
    <row r="340" spans="2:27" s="489" customFormat="1" ht="15" hidden="1">
      <c r="B340" s="329"/>
      <c r="C340" s="330"/>
      <c r="D340" s="294">
        <f>VLOOKUP(E340,'1.1a-Jaarprijzen'!$B$13:$G$29,6,FALSE)</f>
        <v>3</v>
      </c>
      <c r="E340" s="768" t="s">
        <v>835</v>
      </c>
      <c r="F340" s="294" t="s">
        <v>387</v>
      </c>
      <c r="G340" s="295">
        <v>17</v>
      </c>
      <c r="H340" s="293" t="s">
        <v>646</v>
      </c>
      <c r="I340" s="296" t="str">
        <f t="shared" si="17"/>
        <v>leslokaal/leerplein groep 4 t/m 8</v>
      </c>
      <c r="J340" s="294" t="s">
        <v>655</v>
      </c>
      <c r="K340" s="297">
        <v>63.5</v>
      </c>
      <c r="L340" s="297"/>
      <c r="M340" s="298">
        <v>18200</v>
      </c>
      <c r="N340" s="299">
        <f t="shared" si="46"/>
        <v>200</v>
      </c>
      <c r="O340" s="483">
        <v>1</v>
      </c>
      <c r="P340" s="483">
        <v>1</v>
      </c>
      <c r="Q340" s="291">
        <f t="shared" si="47"/>
        <v>0</v>
      </c>
      <c r="R340" s="291">
        <f t="shared" si="48"/>
        <v>0</v>
      </c>
      <c r="S340" s="300">
        <f t="shared" si="43"/>
        <v>0</v>
      </c>
      <c r="T340" s="300">
        <f t="shared" si="44"/>
        <v>0</v>
      </c>
      <c r="U340" s="769" t="str">
        <f t="shared" si="45"/>
        <v>L</v>
      </c>
      <c r="V340" s="302"/>
      <c r="W340" s="303">
        <f>(Q340+R340)*'1.0-Contractblad'!$L$37</f>
        <v>0</v>
      </c>
      <c r="X340" s="303">
        <f ca="1">VLOOKUP(E340,'1.1a-Jaarprijzen'!$B$32:$Q$51,16,FALSE)*K340</f>
        <v>0</v>
      </c>
      <c r="Z340" s="771">
        <f t="shared" si="49"/>
        <v>12700</v>
      </c>
      <c r="AA340" s="491" t="str">
        <f t="shared" si="50"/>
        <v>18200-200</v>
      </c>
    </row>
    <row r="341" spans="2:27" s="489" customFormat="1" ht="15" hidden="1">
      <c r="B341" s="329"/>
      <c r="C341" s="330"/>
      <c r="D341" s="294">
        <f>VLOOKUP(E341,'1.1a-Jaarprijzen'!$B$13:$G$29,6,FALSE)</f>
        <v>3</v>
      </c>
      <c r="E341" s="768" t="s">
        <v>835</v>
      </c>
      <c r="F341" s="294" t="s">
        <v>387</v>
      </c>
      <c r="G341" s="295">
        <v>20</v>
      </c>
      <c r="H341" s="293" t="s">
        <v>477</v>
      </c>
      <c r="I341" s="296" t="str">
        <f t="shared" si="17"/>
        <v>sanitaire ruimte (toilet-/doucheruimte)</v>
      </c>
      <c r="J341" s="294" t="s">
        <v>461</v>
      </c>
      <c r="K341" s="297">
        <v>4.2</v>
      </c>
      <c r="L341" s="297"/>
      <c r="M341" s="298">
        <v>4200</v>
      </c>
      <c r="N341" s="299">
        <f t="shared" si="46"/>
        <v>200</v>
      </c>
      <c r="O341" s="483">
        <v>1</v>
      </c>
      <c r="P341" s="483">
        <v>1</v>
      </c>
      <c r="Q341" s="291">
        <f t="shared" si="47"/>
        <v>0</v>
      </c>
      <c r="R341" s="291">
        <f t="shared" si="48"/>
        <v>0</v>
      </c>
      <c r="S341" s="300">
        <f t="shared" si="43"/>
        <v>0</v>
      </c>
      <c r="T341" s="300">
        <f t="shared" si="44"/>
        <v>0</v>
      </c>
      <c r="U341" s="769" t="str">
        <f t="shared" si="45"/>
        <v>S</v>
      </c>
      <c r="V341" s="302"/>
      <c r="W341" s="303">
        <f>(Q341+R341)*'1.0-Contractblad'!$L$37</f>
        <v>0</v>
      </c>
      <c r="X341" s="303">
        <f ca="1">VLOOKUP(E341,'1.1a-Jaarprijzen'!$B$32:$Q$51,16,FALSE)*K341</f>
        <v>0</v>
      </c>
      <c r="Z341" s="771">
        <f t="shared" si="49"/>
        <v>840</v>
      </c>
      <c r="AA341" s="491" t="str">
        <f t="shared" si="50"/>
        <v>4200-200</v>
      </c>
    </row>
    <row r="342" spans="2:27" s="489" customFormat="1" ht="15" hidden="1">
      <c r="B342" s="329"/>
      <c r="C342" s="330"/>
      <c r="D342" s="294">
        <f>VLOOKUP(E342,'1.1a-Jaarprijzen'!$B$13:$G$29,6,FALSE)</f>
        <v>3</v>
      </c>
      <c r="E342" s="785" t="s">
        <v>835</v>
      </c>
      <c r="F342" s="294" t="s">
        <v>387</v>
      </c>
      <c r="G342" s="295">
        <v>20</v>
      </c>
      <c r="H342" s="293" t="s">
        <v>477</v>
      </c>
      <c r="I342" s="296" t="str">
        <f t="shared" si="17"/>
        <v>sanitaire ruimte (toilet-/doucheruimte)</v>
      </c>
      <c r="J342" s="294" t="s">
        <v>461</v>
      </c>
      <c r="K342" s="297">
        <v>4.2</v>
      </c>
      <c r="L342" s="297"/>
      <c r="M342" s="298">
        <v>4260</v>
      </c>
      <c r="N342" s="299">
        <f t="shared" si="46"/>
        <v>260</v>
      </c>
      <c r="O342" s="483">
        <v>1</v>
      </c>
      <c r="P342" s="483">
        <v>1</v>
      </c>
      <c r="Q342" s="291">
        <f t="shared" si="47"/>
        <v>0</v>
      </c>
      <c r="R342" s="291">
        <f t="shared" si="48"/>
        <v>0</v>
      </c>
      <c r="S342" s="300">
        <f t="shared" si="43"/>
        <v>0</v>
      </c>
      <c r="T342" s="300">
        <f t="shared" si="44"/>
        <v>0</v>
      </c>
      <c r="U342" s="769" t="str">
        <f t="shared" si="45"/>
        <v>S</v>
      </c>
      <c r="V342" s="302" t="s">
        <v>1022</v>
      </c>
      <c r="W342" s="303">
        <f>(Q342+R342)*'1.0-Contractblad'!$L$37</f>
        <v>0</v>
      </c>
      <c r="X342" s="303">
        <f ca="1">VLOOKUP(E342,'1.1a-Jaarprijzen'!$B$32:$Q$51,16,FALSE)*K342</f>
        <v>0</v>
      </c>
      <c r="Z342" s="771">
        <f t="shared" si="49"/>
        <v>1092</v>
      </c>
      <c r="AA342" s="491" t="str">
        <f t="shared" si="50"/>
        <v>4260-260</v>
      </c>
    </row>
    <row r="343" spans="2:27" s="489" customFormat="1" ht="15" hidden="1">
      <c r="B343" s="329"/>
      <c r="C343" s="330"/>
      <c r="D343" s="294">
        <f>VLOOKUP(E343,'1.1a-Jaarprijzen'!$B$13:$G$29,6,FALSE)</f>
        <v>3</v>
      </c>
      <c r="E343" s="768" t="s">
        <v>835</v>
      </c>
      <c r="F343" s="294" t="s">
        <v>387</v>
      </c>
      <c r="G343" s="295">
        <v>21</v>
      </c>
      <c r="H343" s="293" t="s">
        <v>646</v>
      </c>
      <c r="I343" s="296" t="str">
        <f t="shared" si="17"/>
        <v>leslokaal/leerplein groep 4 t/m 8</v>
      </c>
      <c r="J343" s="294" t="s">
        <v>655</v>
      </c>
      <c r="K343" s="297">
        <v>63.5</v>
      </c>
      <c r="L343" s="297"/>
      <c r="M343" s="298">
        <v>18200</v>
      </c>
      <c r="N343" s="299">
        <f t="shared" si="46"/>
        <v>200</v>
      </c>
      <c r="O343" s="483">
        <v>1</v>
      </c>
      <c r="P343" s="483">
        <v>1</v>
      </c>
      <c r="Q343" s="291">
        <f t="shared" si="47"/>
        <v>0</v>
      </c>
      <c r="R343" s="291">
        <f t="shared" si="48"/>
        <v>0</v>
      </c>
      <c r="S343" s="300">
        <f t="shared" si="43"/>
        <v>0</v>
      </c>
      <c r="T343" s="300">
        <f t="shared" si="44"/>
        <v>0</v>
      </c>
      <c r="U343" s="769" t="str">
        <f t="shared" si="45"/>
        <v>L</v>
      </c>
      <c r="V343" s="302"/>
      <c r="W343" s="303">
        <f>(Q343+R343)*'1.0-Contractblad'!$L$37</f>
        <v>0</v>
      </c>
      <c r="X343" s="303">
        <f ca="1">VLOOKUP(E343,'1.1a-Jaarprijzen'!$B$32:$Q$51,16,FALSE)*K343</f>
        <v>0</v>
      </c>
      <c r="Z343" s="771">
        <f t="shared" si="49"/>
        <v>12700</v>
      </c>
      <c r="AA343" s="491" t="str">
        <f t="shared" si="50"/>
        <v>18200-200</v>
      </c>
    </row>
    <row r="344" spans="2:27" s="489" customFormat="1" ht="15" hidden="1">
      <c r="B344" s="329"/>
      <c r="C344" s="330"/>
      <c r="D344" s="294">
        <f>VLOOKUP(E344,'1.1a-Jaarprijzen'!$B$13:$G$29,6,FALSE)</f>
        <v>3</v>
      </c>
      <c r="E344" s="768" t="s">
        <v>835</v>
      </c>
      <c r="F344" s="294" t="s">
        <v>387</v>
      </c>
      <c r="G344" s="295">
        <v>23</v>
      </c>
      <c r="H344" s="293" t="s">
        <v>394</v>
      </c>
      <c r="I344" s="296" t="str">
        <f t="shared" si="17"/>
        <v>entree, gang, hal, repro</v>
      </c>
      <c r="J344" s="294" t="s">
        <v>656</v>
      </c>
      <c r="K344" s="297">
        <v>14.4</v>
      </c>
      <c r="L344" s="297"/>
      <c r="M344" s="298">
        <v>3200</v>
      </c>
      <c r="N344" s="299">
        <f t="shared" si="46"/>
        <v>200</v>
      </c>
      <c r="O344" s="483">
        <v>1</v>
      </c>
      <c r="P344" s="483">
        <v>1</v>
      </c>
      <c r="Q344" s="291">
        <f t="shared" si="47"/>
        <v>0</v>
      </c>
      <c r="R344" s="291">
        <f t="shared" si="48"/>
        <v>0</v>
      </c>
      <c r="S344" s="300">
        <f t="shared" si="43"/>
        <v>0</v>
      </c>
      <c r="T344" s="300">
        <f t="shared" si="44"/>
        <v>0</v>
      </c>
      <c r="U344" s="769" t="str">
        <f t="shared" si="45"/>
        <v>V</v>
      </c>
      <c r="V344" s="302"/>
      <c r="W344" s="303">
        <f>(Q344+R344)*'1.0-Contractblad'!$L$37</f>
        <v>0</v>
      </c>
      <c r="X344" s="303">
        <f ca="1">VLOOKUP(E344,'1.1a-Jaarprijzen'!$B$32:$Q$51,16,FALSE)*K344</f>
        <v>0</v>
      </c>
      <c r="Z344" s="771">
        <f t="shared" si="49"/>
        <v>2880</v>
      </c>
      <c r="AA344" s="491" t="str">
        <f t="shared" si="50"/>
        <v>3200-200</v>
      </c>
    </row>
    <row r="345" spans="2:27" s="489" customFormat="1" ht="15" hidden="1">
      <c r="B345" s="329"/>
      <c r="C345" s="330"/>
      <c r="D345" s="294">
        <f>VLOOKUP(E345,'1.1a-Jaarprijzen'!$B$13:$G$29,6,FALSE)</f>
        <v>3</v>
      </c>
      <c r="E345" s="768" t="s">
        <v>835</v>
      </c>
      <c r="F345" s="294" t="s">
        <v>387</v>
      </c>
      <c r="G345" s="295">
        <v>24</v>
      </c>
      <c r="H345" s="293" t="s">
        <v>477</v>
      </c>
      <c r="I345" s="296" t="str">
        <f t="shared" si="17"/>
        <v>sanitaire ruimte (toilet-/doucheruimte)</v>
      </c>
      <c r="J345" s="294" t="s">
        <v>461</v>
      </c>
      <c r="K345" s="297">
        <v>4</v>
      </c>
      <c r="L345" s="297"/>
      <c r="M345" s="298">
        <v>4200</v>
      </c>
      <c r="N345" s="299">
        <f t="shared" si="46"/>
        <v>200</v>
      </c>
      <c r="O345" s="483">
        <v>1</v>
      </c>
      <c r="P345" s="483">
        <v>1</v>
      </c>
      <c r="Q345" s="291">
        <f t="shared" si="47"/>
        <v>0</v>
      </c>
      <c r="R345" s="291">
        <f t="shared" si="48"/>
        <v>0</v>
      </c>
      <c r="S345" s="300">
        <f t="shared" si="43"/>
        <v>0</v>
      </c>
      <c r="T345" s="300">
        <f t="shared" si="44"/>
        <v>0</v>
      </c>
      <c r="U345" s="769" t="str">
        <f t="shared" si="45"/>
        <v>S</v>
      </c>
      <c r="V345" s="302"/>
      <c r="W345" s="303">
        <f>(Q345+R345)*'1.0-Contractblad'!$L$37</f>
        <v>0</v>
      </c>
      <c r="X345" s="303">
        <f ca="1">VLOOKUP(E345,'1.1a-Jaarprijzen'!$B$32:$Q$51,16,FALSE)*K345</f>
        <v>0</v>
      </c>
      <c r="Z345" s="771">
        <f t="shared" si="49"/>
        <v>800</v>
      </c>
      <c r="AA345" s="491" t="str">
        <f t="shared" si="50"/>
        <v>4200-200</v>
      </c>
    </row>
    <row r="346" spans="2:27" s="489" customFormat="1" ht="15" hidden="1">
      <c r="B346" s="329"/>
      <c r="C346" s="330"/>
      <c r="D346" s="294">
        <f>VLOOKUP(E346,'1.1a-Jaarprijzen'!$B$13:$G$29,6,FALSE)</f>
        <v>3</v>
      </c>
      <c r="E346" s="768" t="s">
        <v>835</v>
      </c>
      <c r="F346" s="294" t="s">
        <v>387</v>
      </c>
      <c r="G346" s="295">
        <v>25</v>
      </c>
      <c r="H346" s="293" t="s">
        <v>700</v>
      </c>
      <c r="I346" s="296" t="str">
        <f t="shared" si="17"/>
        <v>speellokaal</v>
      </c>
      <c r="J346" s="294" t="s">
        <v>463</v>
      </c>
      <c r="K346" s="297">
        <v>84.8</v>
      </c>
      <c r="L346" s="297"/>
      <c r="M346" s="298">
        <v>8200</v>
      </c>
      <c r="N346" s="299">
        <f t="shared" si="46"/>
        <v>200</v>
      </c>
      <c r="O346" s="483">
        <v>1</v>
      </c>
      <c r="P346" s="483">
        <v>1</v>
      </c>
      <c r="Q346" s="291">
        <f t="shared" si="47"/>
        <v>0</v>
      </c>
      <c r="R346" s="291">
        <f t="shared" si="48"/>
        <v>0</v>
      </c>
      <c r="S346" s="300">
        <f t="shared" si="43"/>
        <v>0</v>
      </c>
      <c r="T346" s="300">
        <f t="shared" si="44"/>
        <v>0</v>
      </c>
      <c r="U346" s="769" t="str">
        <f t="shared" si="45"/>
        <v>L</v>
      </c>
      <c r="V346" s="302"/>
      <c r="W346" s="303">
        <f>(Q346+R346)*'1.0-Contractblad'!$L$37</f>
        <v>0</v>
      </c>
      <c r="X346" s="303">
        <f ca="1">VLOOKUP(E346,'1.1a-Jaarprijzen'!$B$32:$Q$51,16,FALSE)*K346</f>
        <v>0</v>
      </c>
      <c r="Z346" s="771">
        <f t="shared" si="49"/>
        <v>16960</v>
      </c>
      <c r="AA346" s="491" t="str">
        <f t="shared" si="50"/>
        <v>8200-200</v>
      </c>
    </row>
    <row r="347" spans="2:27" s="489" customFormat="1" ht="15" hidden="1">
      <c r="B347" s="329"/>
      <c r="C347" s="330"/>
      <c r="D347" s="294">
        <f>VLOOKUP(E347,'1.1a-Jaarprijzen'!$B$13:$G$29,6,FALSE)</f>
        <v>3</v>
      </c>
      <c r="E347" s="768" t="s">
        <v>835</v>
      </c>
      <c r="F347" s="294" t="s">
        <v>387</v>
      </c>
      <c r="G347" s="295">
        <v>26</v>
      </c>
      <c r="H347" s="293" t="s">
        <v>838</v>
      </c>
      <c r="I347" s="296" t="str">
        <f t="shared" si="17"/>
        <v>speellokaal (berging)</v>
      </c>
      <c r="J347" s="294" t="s">
        <v>655</v>
      </c>
      <c r="K347" s="297">
        <v>4.8</v>
      </c>
      <c r="L347" s="297"/>
      <c r="M347" s="298">
        <v>8040</v>
      </c>
      <c r="N347" s="299">
        <f t="shared" si="46"/>
        <v>40</v>
      </c>
      <c r="O347" s="483">
        <v>1</v>
      </c>
      <c r="P347" s="483">
        <v>1</v>
      </c>
      <c r="Q347" s="291">
        <f t="shared" si="47"/>
        <v>0</v>
      </c>
      <c r="R347" s="291">
        <f t="shared" si="48"/>
        <v>0</v>
      </c>
      <c r="S347" s="300">
        <f t="shared" si="43"/>
        <v>0</v>
      </c>
      <c r="T347" s="300">
        <f t="shared" si="44"/>
        <v>0</v>
      </c>
      <c r="U347" s="769" t="str">
        <f t="shared" si="45"/>
        <v>L</v>
      </c>
      <c r="V347" s="302"/>
      <c r="W347" s="303">
        <f>(Q347+R347)*'1.0-Contractblad'!$L$37</f>
        <v>0</v>
      </c>
      <c r="X347" s="303">
        <f ca="1">VLOOKUP(E347,'1.1a-Jaarprijzen'!$B$32:$Q$51,16,FALSE)*K347</f>
        <v>0</v>
      </c>
      <c r="Z347" s="771">
        <f t="shared" si="49"/>
        <v>192</v>
      </c>
      <c r="AA347" s="491" t="str">
        <f t="shared" si="50"/>
        <v>8040-40</v>
      </c>
    </row>
    <row r="348" spans="2:27" s="489" customFormat="1" ht="15" hidden="1">
      <c r="B348" s="329"/>
      <c r="C348" s="330"/>
      <c r="D348" s="294">
        <f>VLOOKUP(E348,'1.1a-Jaarprijzen'!$B$13:$G$29,6,FALSE)</f>
        <v>3</v>
      </c>
      <c r="E348" s="768" t="s">
        <v>835</v>
      </c>
      <c r="F348" s="294" t="s">
        <v>387</v>
      </c>
      <c r="G348" s="295">
        <v>27</v>
      </c>
      <c r="H348" s="293" t="s">
        <v>395</v>
      </c>
      <c r="I348" s="296" t="str">
        <f t="shared" si="17"/>
        <v>administratieve -,  vergaderruimte</v>
      </c>
      <c r="J348" s="294" t="s">
        <v>462</v>
      </c>
      <c r="K348" s="297">
        <v>24</v>
      </c>
      <c r="L348" s="297"/>
      <c r="M348" s="298">
        <v>1200</v>
      </c>
      <c r="N348" s="299">
        <f t="shared" si="46"/>
        <v>200</v>
      </c>
      <c r="O348" s="483">
        <v>1</v>
      </c>
      <c r="P348" s="483">
        <v>1</v>
      </c>
      <c r="Q348" s="291">
        <f t="shared" si="47"/>
        <v>0</v>
      </c>
      <c r="R348" s="291">
        <f t="shared" si="48"/>
        <v>0</v>
      </c>
      <c r="S348" s="300">
        <f t="shared" si="43"/>
        <v>0</v>
      </c>
      <c r="T348" s="300">
        <f t="shared" si="44"/>
        <v>0</v>
      </c>
      <c r="U348" s="769" t="str">
        <f t="shared" si="45"/>
        <v>V</v>
      </c>
      <c r="V348" s="302"/>
      <c r="W348" s="303">
        <f>(Q348+R348)*'1.0-Contractblad'!$L$37</f>
        <v>0</v>
      </c>
      <c r="X348" s="303">
        <f ca="1">VLOOKUP(E348,'1.1a-Jaarprijzen'!$B$32:$Q$51,16,FALSE)*K348</f>
        <v>0</v>
      </c>
      <c r="Z348" s="771">
        <f t="shared" si="49"/>
        <v>4800</v>
      </c>
      <c r="AA348" s="491" t="str">
        <f t="shared" si="50"/>
        <v>1200-200</v>
      </c>
    </row>
    <row r="349" spans="2:27" s="489" customFormat="1" ht="15" hidden="1">
      <c r="B349" s="329"/>
      <c r="C349" s="330"/>
      <c r="D349" s="294">
        <f>VLOOKUP(E349,'1.1a-Jaarprijzen'!$B$13:$G$29,6,FALSE)</f>
        <v>3</v>
      </c>
      <c r="E349" s="768" t="s">
        <v>835</v>
      </c>
      <c r="F349" s="294" t="s">
        <v>387</v>
      </c>
      <c r="G349" s="294">
        <v>28</v>
      </c>
      <c r="H349" s="709" t="s">
        <v>395</v>
      </c>
      <c r="I349" s="296" t="str">
        <f t="shared" ref="I349:I553" si="51">IF($M349="",0,VLOOKUP($M349,Kengetal,4,FALSE))</f>
        <v>administratieve -,  vergaderruimte</v>
      </c>
      <c r="J349" s="294" t="s">
        <v>462</v>
      </c>
      <c r="K349" s="297">
        <v>10.7</v>
      </c>
      <c r="L349" s="297"/>
      <c r="M349" s="298">
        <v>1200</v>
      </c>
      <c r="N349" s="299">
        <f t="shared" si="46"/>
        <v>200</v>
      </c>
      <c r="O349" s="483">
        <v>1</v>
      </c>
      <c r="P349" s="483">
        <v>1</v>
      </c>
      <c r="Q349" s="291">
        <f t="shared" si="47"/>
        <v>0</v>
      </c>
      <c r="R349" s="291">
        <f t="shared" si="48"/>
        <v>0</v>
      </c>
      <c r="S349" s="300">
        <f t="shared" si="43"/>
        <v>0</v>
      </c>
      <c r="T349" s="300">
        <f t="shared" si="44"/>
        <v>0</v>
      </c>
      <c r="U349" s="769" t="str">
        <f t="shared" si="45"/>
        <v>V</v>
      </c>
      <c r="V349" s="302"/>
      <c r="W349" s="303">
        <f>(Q349+R349)*'1.0-Contractblad'!$L$37</f>
        <v>0</v>
      </c>
      <c r="X349" s="303">
        <f ca="1">VLOOKUP(E349,'1.1a-Jaarprijzen'!$B$32:$Q$51,16,FALSE)*K349</f>
        <v>0</v>
      </c>
      <c r="Z349" s="771">
        <f t="shared" si="49"/>
        <v>2140</v>
      </c>
      <c r="AA349" s="491" t="str">
        <f t="shared" si="50"/>
        <v>1200-200</v>
      </c>
    </row>
    <row r="350" spans="2:27" s="489" customFormat="1" ht="15" hidden="1">
      <c r="B350" s="329"/>
      <c r="C350" s="330"/>
      <c r="D350" s="294">
        <f>VLOOKUP(E350,'1.1a-Jaarprijzen'!$B$13:$G$29,6,FALSE)</f>
        <v>3</v>
      </c>
      <c r="E350" s="768" t="s">
        <v>835</v>
      </c>
      <c r="F350" s="294" t="s">
        <v>387</v>
      </c>
      <c r="G350" s="294">
        <v>32</v>
      </c>
      <c r="H350" s="709" t="s">
        <v>646</v>
      </c>
      <c r="I350" s="296" t="str">
        <f t="shared" si="51"/>
        <v>leslokaal/leerplein groep 4 t/m 8</v>
      </c>
      <c r="J350" s="294" t="s">
        <v>655</v>
      </c>
      <c r="K350" s="297">
        <v>56.1</v>
      </c>
      <c r="L350" s="297"/>
      <c r="M350" s="298">
        <v>18200</v>
      </c>
      <c r="N350" s="299">
        <f t="shared" si="46"/>
        <v>200</v>
      </c>
      <c r="O350" s="483">
        <v>1</v>
      </c>
      <c r="P350" s="483">
        <v>1</v>
      </c>
      <c r="Q350" s="291">
        <f t="shared" si="47"/>
        <v>0</v>
      </c>
      <c r="R350" s="291">
        <f t="shared" si="48"/>
        <v>0</v>
      </c>
      <c r="S350" s="300">
        <f t="shared" ref="S350:S413" si="52">IF($M350=0,0,VLOOKUP($M350,Kengetal,6,FALSE))</f>
        <v>0</v>
      </c>
      <c r="T350" s="300">
        <f t="shared" ref="T350:T413" si="53">IF($M350=0,0,VLOOKUP($M350,Kengetal,7,FALSE))</f>
        <v>0</v>
      </c>
      <c r="U350" s="769" t="str">
        <f t="shared" si="45"/>
        <v>L</v>
      </c>
      <c r="V350" s="302"/>
      <c r="W350" s="303">
        <f>(Q350+R350)*'1.0-Contractblad'!$L$37</f>
        <v>0</v>
      </c>
      <c r="X350" s="303">
        <f ca="1">VLOOKUP(E350,'1.1a-Jaarprijzen'!$B$32:$Q$51,16,FALSE)*K350</f>
        <v>0</v>
      </c>
      <c r="Z350" s="771">
        <f t="shared" si="49"/>
        <v>11220</v>
      </c>
      <c r="AA350" s="491" t="str">
        <f t="shared" si="50"/>
        <v>18200-200</v>
      </c>
    </row>
    <row r="351" spans="2:27" s="489" customFormat="1" ht="15" hidden="1">
      <c r="B351" s="329"/>
      <c r="C351" s="330"/>
      <c r="D351" s="294">
        <f>VLOOKUP(E351,'1.1a-Jaarprijzen'!$B$13:$G$29,6,FALSE)</f>
        <v>3</v>
      </c>
      <c r="E351" s="768" t="s">
        <v>835</v>
      </c>
      <c r="F351" s="294" t="s">
        <v>387</v>
      </c>
      <c r="G351" s="294">
        <v>33</v>
      </c>
      <c r="H351" s="709" t="s">
        <v>646</v>
      </c>
      <c r="I351" s="296" t="str">
        <f t="shared" si="51"/>
        <v>leslokaal/leerplein groep 4 t/m 8</v>
      </c>
      <c r="J351" s="294" t="s">
        <v>655</v>
      </c>
      <c r="K351" s="297">
        <v>56.1</v>
      </c>
      <c r="L351" s="297"/>
      <c r="M351" s="298">
        <v>18200</v>
      </c>
      <c r="N351" s="299">
        <f t="shared" si="46"/>
        <v>200</v>
      </c>
      <c r="O351" s="483">
        <v>1</v>
      </c>
      <c r="P351" s="483">
        <v>1</v>
      </c>
      <c r="Q351" s="291">
        <f t="shared" si="47"/>
        <v>0</v>
      </c>
      <c r="R351" s="291">
        <f t="shared" si="48"/>
        <v>0</v>
      </c>
      <c r="S351" s="300">
        <f t="shared" si="52"/>
        <v>0</v>
      </c>
      <c r="T351" s="300">
        <f t="shared" si="53"/>
        <v>0</v>
      </c>
      <c r="U351" s="769" t="str">
        <f t="shared" si="45"/>
        <v>L</v>
      </c>
      <c r="V351" s="302"/>
      <c r="W351" s="303">
        <f>(Q351+R351)*'1.0-Contractblad'!$L$37</f>
        <v>0</v>
      </c>
      <c r="X351" s="303">
        <f ca="1">VLOOKUP(E351,'1.1a-Jaarprijzen'!$B$32:$Q$51,16,FALSE)*K351</f>
        <v>0</v>
      </c>
      <c r="Z351" s="771">
        <f t="shared" si="49"/>
        <v>11220</v>
      </c>
      <c r="AA351" s="491" t="str">
        <f t="shared" si="50"/>
        <v>18200-200</v>
      </c>
    </row>
    <row r="352" spans="2:27" s="489" customFormat="1" ht="15" hidden="1">
      <c r="B352" s="329"/>
      <c r="C352" s="330"/>
      <c r="D352" s="294">
        <f>VLOOKUP(E352,'1.1a-Jaarprijzen'!$B$13:$G$29,6,FALSE)</f>
        <v>3</v>
      </c>
      <c r="E352" s="768" t="s">
        <v>835</v>
      </c>
      <c r="F352" s="294" t="s">
        <v>387</v>
      </c>
      <c r="G352" s="294">
        <v>34</v>
      </c>
      <c r="H352" s="709" t="s">
        <v>477</v>
      </c>
      <c r="I352" s="296" t="str">
        <f t="shared" si="51"/>
        <v>sanitaire ruimte (toilet-/doucheruimte)</v>
      </c>
      <c r="J352" s="294" t="s">
        <v>461</v>
      </c>
      <c r="K352" s="297">
        <v>7.9</v>
      </c>
      <c r="L352" s="297"/>
      <c r="M352" s="298">
        <v>4200</v>
      </c>
      <c r="N352" s="299">
        <f t="shared" si="46"/>
        <v>200</v>
      </c>
      <c r="O352" s="483">
        <v>1</v>
      </c>
      <c r="P352" s="483">
        <v>1</v>
      </c>
      <c r="Q352" s="291">
        <f t="shared" si="47"/>
        <v>0</v>
      </c>
      <c r="R352" s="291">
        <f t="shared" si="48"/>
        <v>0</v>
      </c>
      <c r="S352" s="300">
        <f t="shared" si="52"/>
        <v>0</v>
      </c>
      <c r="T352" s="300">
        <f t="shared" si="53"/>
        <v>0</v>
      </c>
      <c r="U352" s="769" t="str">
        <f t="shared" si="45"/>
        <v>S</v>
      </c>
      <c r="V352" s="302"/>
      <c r="W352" s="303">
        <f>(Q352+R352)*'1.0-Contractblad'!$L$37</f>
        <v>0</v>
      </c>
      <c r="X352" s="303">
        <f ca="1">VLOOKUP(E352,'1.1a-Jaarprijzen'!$B$32:$Q$51,16,FALSE)*K352</f>
        <v>0</v>
      </c>
      <c r="Z352" s="771">
        <f t="shared" si="49"/>
        <v>1580</v>
      </c>
      <c r="AA352" s="491" t="str">
        <f t="shared" si="50"/>
        <v>4200-200</v>
      </c>
    </row>
    <row r="353" spans="2:27" s="489" customFormat="1" ht="15" hidden="1">
      <c r="B353" s="329"/>
      <c r="C353" s="330"/>
      <c r="D353" s="294">
        <f>VLOOKUP(E353,'1.1a-Jaarprijzen'!$B$13:$G$29,6,FALSE)</f>
        <v>3</v>
      </c>
      <c r="E353" s="768" t="s">
        <v>835</v>
      </c>
      <c r="F353" s="294" t="s">
        <v>261</v>
      </c>
      <c r="G353" s="294" t="s">
        <v>567</v>
      </c>
      <c r="H353" s="709" t="s">
        <v>402</v>
      </c>
      <c r="I353" s="296" t="str">
        <f t="shared" si="51"/>
        <v>trappenhuis</v>
      </c>
      <c r="J353" s="294" t="s">
        <v>465</v>
      </c>
      <c r="K353" s="297">
        <v>4</v>
      </c>
      <c r="L353" s="297"/>
      <c r="M353" s="298">
        <v>9200</v>
      </c>
      <c r="N353" s="299">
        <f t="shared" si="46"/>
        <v>200</v>
      </c>
      <c r="O353" s="483">
        <v>1</v>
      </c>
      <c r="P353" s="483">
        <v>1</v>
      </c>
      <c r="Q353" s="291">
        <f t="shared" si="47"/>
        <v>0</v>
      </c>
      <c r="R353" s="291">
        <f t="shared" si="48"/>
        <v>0</v>
      </c>
      <c r="S353" s="300">
        <f t="shared" si="52"/>
        <v>0</v>
      </c>
      <c r="T353" s="300">
        <f t="shared" si="53"/>
        <v>0</v>
      </c>
      <c r="U353" s="769" t="str">
        <f t="shared" si="45"/>
        <v>V</v>
      </c>
      <c r="V353" s="302"/>
      <c r="W353" s="303">
        <f>(Q353+R353)*'1.0-Contractblad'!$L$37</f>
        <v>0</v>
      </c>
      <c r="X353" s="303">
        <f ca="1">VLOOKUP(E353,'1.1a-Jaarprijzen'!$B$32:$Q$51,16,FALSE)*K353</f>
        <v>0</v>
      </c>
      <c r="Z353" s="771">
        <f t="shared" si="49"/>
        <v>800</v>
      </c>
      <c r="AA353" s="491" t="str">
        <f t="shared" si="50"/>
        <v>9200-200</v>
      </c>
    </row>
    <row r="354" spans="2:27" s="489" customFormat="1" ht="15" hidden="1">
      <c r="B354" s="329"/>
      <c r="C354" s="330"/>
      <c r="D354" s="294">
        <f>VLOOKUP(E354,'1.1a-Jaarprijzen'!$B$13:$G$29,6,FALSE)</f>
        <v>3</v>
      </c>
      <c r="E354" s="768" t="s">
        <v>835</v>
      </c>
      <c r="F354" s="294" t="s">
        <v>261</v>
      </c>
      <c r="G354" s="294" t="s">
        <v>567</v>
      </c>
      <c r="H354" s="709" t="s">
        <v>388</v>
      </c>
      <c r="I354" s="296" t="str">
        <f t="shared" si="51"/>
        <v>entree, gang, hal, repro</v>
      </c>
      <c r="J354" s="294" t="s">
        <v>655</v>
      </c>
      <c r="K354" s="297">
        <v>41.7</v>
      </c>
      <c r="L354" s="297"/>
      <c r="M354" s="298">
        <v>3200</v>
      </c>
      <c r="N354" s="299">
        <f t="shared" si="46"/>
        <v>200</v>
      </c>
      <c r="O354" s="483">
        <v>1</v>
      </c>
      <c r="P354" s="483">
        <v>1</v>
      </c>
      <c r="Q354" s="291">
        <f t="shared" si="47"/>
        <v>0</v>
      </c>
      <c r="R354" s="291">
        <f t="shared" si="48"/>
        <v>0</v>
      </c>
      <c r="S354" s="300">
        <f t="shared" si="52"/>
        <v>0</v>
      </c>
      <c r="T354" s="300">
        <f t="shared" si="53"/>
        <v>0</v>
      </c>
      <c r="U354" s="769" t="str">
        <f t="shared" si="45"/>
        <v>V</v>
      </c>
      <c r="V354" s="302"/>
      <c r="W354" s="303">
        <f>(Q354+R354)*'1.0-Contractblad'!$L$37</f>
        <v>0</v>
      </c>
      <c r="X354" s="303">
        <f ca="1">VLOOKUP(E354,'1.1a-Jaarprijzen'!$B$32:$Q$51,16,FALSE)*K354</f>
        <v>0</v>
      </c>
      <c r="Z354" s="771">
        <f t="shared" si="49"/>
        <v>8340</v>
      </c>
      <c r="AA354" s="491" t="str">
        <f t="shared" si="50"/>
        <v>3200-200</v>
      </c>
    </row>
    <row r="355" spans="2:27" s="489" customFormat="1" ht="15" hidden="1">
      <c r="B355" s="329"/>
      <c r="C355" s="330"/>
      <c r="D355" s="294">
        <f>VLOOKUP(E355,'1.1a-Jaarprijzen'!$B$13:$G$29,6,FALSE)</f>
        <v>3</v>
      </c>
      <c r="E355" s="768" t="s">
        <v>835</v>
      </c>
      <c r="F355" s="294" t="s">
        <v>261</v>
      </c>
      <c r="G355" s="294" t="s">
        <v>568</v>
      </c>
      <c r="H355" s="709" t="s">
        <v>964</v>
      </c>
      <c r="I355" s="296" t="str">
        <f t="shared" si="51"/>
        <v>administratieve -,  vergaderruimte</v>
      </c>
      <c r="J355" s="294" t="s">
        <v>655</v>
      </c>
      <c r="K355" s="297">
        <v>55.8</v>
      </c>
      <c r="L355" s="297"/>
      <c r="M355" s="298">
        <v>1200</v>
      </c>
      <c r="N355" s="299">
        <f t="shared" si="46"/>
        <v>200</v>
      </c>
      <c r="O355" s="483">
        <v>1</v>
      </c>
      <c r="P355" s="483">
        <v>1</v>
      </c>
      <c r="Q355" s="291">
        <f t="shared" si="47"/>
        <v>0</v>
      </c>
      <c r="R355" s="291">
        <f t="shared" si="48"/>
        <v>0</v>
      </c>
      <c r="S355" s="300">
        <f t="shared" si="52"/>
        <v>0</v>
      </c>
      <c r="T355" s="300">
        <f t="shared" si="53"/>
        <v>0</v>
      </c>
      <c r="U355" s="769" t="str">
        <f t="shared" si="45"/>
        <v>V</v>
      </c>
      <c r="V355" s="302"/>
      <c r="W355" s="303">
        <f>(Q355+R355)*'1.0-Contractblad'!$L$37</f>
        <v>0</v>
      </c>
      <c r="X355" s="303">
        <f ca="1">VLOOKUP(E355,'1.1a-Jaarprijzen'!$B$32:$Q$51,16,FALSE)*K355</f>
        <v>0</v>
      </c>
      <c r="Z355" s="771">
        <f t="shared" si="49"/>
        <v>11160</v>
      </c>
      <c r="AA355" s="491" t="str">
        <f t="shared" si="50"/>
        <v>1200-200</v>
      </c>
    </row>
    <row r="356" spans="2:27" s="489" customFormat="1" ht="15" hidden="1">
      <c r="B356" s="329"/>
      <c r="C356" s="330"/>
      <c r="D356" s="294">
        <f>VLOOKUP(E356,'1.1a-Jaarprijzen'!$B$13:$G$29,6,FALSE)</f>
        <v>3</v>
      </c>
      <c r="E356" s="768" t="s">
        <v>839</v>
      </c>
      <c r="F356" s="294" t="s">
        <v>387</v>
      </c>
      <c r="G356" s="294" t="s">
        <v>840</v>
      </c>
      <c r="H356" s="709" t="s">
        <v>394</v>
      </c>
      <c r="I356" s="296" t="str">
        <f t="shared" si="51"/>
        <v>entree, gang, hal, repro</v>
      </c>
      <c r="J356" s="294" t="s">
        <v>656</v>
      </c>
      <c r="K356" s="297">
        <v>9.1999999999999993</v>
      </c>
      <c r="L356" s="297"/>
      <c r="M356" s="298">
        <v>3200</v>
      </c>
      <c r="N356" s="299">
        <f t="shared" si="46"/>
        <v>200</v>
      </c>
      <c r="O356" s="483">
        <v>1</v>
      </c>
      <c r="P356" s="483">
        <v>1</v>
      </c>
      <c r="Q356" s="291">
        <f t="shared" si="47"/>
        <v>0</v>
      </c>
      <c r="R356" s="291">
        <f t="shared" si="48"/>
        <v>0</v>
      </c>
      <c r="S356" s="300">
        <f t="shared" si="52"/>
        <v>0</v>
      </c>
      <c r="T356" s="300">
        <f t="shared" si="53"/>
        <v>0</v>
      </c>
      <c r="U356" s="769" t="str">
        <f t="shared" si="45"/>
        <v>V</v>
      </c>
      <c r="V356" s="302"/>
      <c r="W356" s="303">
        <f>(Q356+R356)*'1.0-Contractblad'!$L$37</f>
        <v>0</v>
      </c>
      <c r="X356" s="303">
        <f ca="1">VLOOKUP(E356,'1.1a-Jaarprijzen'!$B$32:$Q$51,16,FALSE)*K356</f>
        <v>0</v>
      </c>
      <c r="Z356" s="771">
        <f t="shared" si="49"/>
        <v>1839.9999999999998</v>
      </c>
      <c r="AA356" s="491" t="str">
        <f t="shared" si="50"/>
        <v>3200-200</v>
      </c>
    </row>
    <row r="357" spans="2:27" s="489" customFormat="1" ht="15" hidden="1">
      <c r="B357" s="329"/>
      <c r="C357" s="330"/>
      <c r="D357" s="294">
        <f>VLOOKUP(E357,'1.1a-Jaarprijzen'!$B$13:$G$29,6,FALSE)</f>
        <v>3</v>
      </c>
      <c r="E357" s="768" t="s">
        <v>839</v>
      </c>
      <c r="F357" s="294" t="s">
        <v>387</v>
      </c>
      <c r="G357" s="294" t="s">
        <v>841</v>
      </c>
      <c r="H357" s="709" t="s">
        <v>397</v>
      </c>
      <c r="I357" s="296" t="str">
        <f t="shared" si="51"/>
        <v>aula, gemeenschappelijke ruimte, bibliotheek</v>
      </c>
      <c r="J357" s="294" t="s">
        <v>655</v>
      </c>
      <c r="K357" s="297">
        <v>52</v>
      </c>
      <c r="L357" s="297"/>
      <c r="M357" s="298">
        <v>2200</v>
      </c>
      <c r="N357" s="299">
        <f t="shared" si="46"/>
        <v>200</v>
      </c>
      <c r="O357" s="483">
        <v>1</v>
      </c>
      <c r="P357" s="483">
        <v>1</v>
      </c>
      <c r="Q357" s="291">
        <f t="shared" si="47"/>
        <v>0</v>
      </c>
      <c r="R357" s="291">
        <f t="shared" si="48"/>
        <v>0</v>
      </c>
      <c r="S357" s="300">
        <f t="shared" si="52"/>
        <v>0</v>
      </c>
      <c r="T357" s="300">
        <f t="shared" si="53"/>
        <v>0</v>
      </c>
      <c r="U357" s="769" t="str">
        <f t="shared" ref="U357:U420" si="54">IF(M357="","",VLOOKUP(M357,Kengetal,14,FALSE))</f>
        <v>V</v>
      </c>
      <c r="V357" s="302"/>
      <c r="W357" s="303">
        <f>(Q357+R357)*'1.0-Contractblad'!$L$37</f>
        <v>0</v>
      </c>
      <c r="X357" s="303">
        <f ca="1">VLOOKUP(E357,'1.1a-Jaarprijzen'!$B$32:$Q$51,16,FALSE)*K357</f>
        <v>0</v>
      </c>
      <c r="Z357" s="771">
        <f t="shared" si="49"/>
        <v>10400</v>
      </c>
      <c r="AA357" s="491" t="str">
        <f t="shared" si="50"/>
        <v>2200-200</v>
      </c>
    </row>
    <row r="358" spans="2:27" s="489" customFormat="1" ht="15" hidden="1">
      <c r="B358" s="329"/>
      <c r="C358" s="330"/>
      <c r="D358" s="294">
        <f>VLOOKUP(E358,'1.1a-Jaarprijzen'!$B$13:$G$29,6,FALSE)</f>
        <v>3</v>
      </c>
      <c r="E358" s="768" t="s">
        <v>839</v>
      </c>
      <c r="F358" s="294" t="s">
        <v>387</v>
      </c>
      <c r="G358" s="294" t="s">
        <v>842</v>
      </c>
      <c r="H358" s="709" t="s">
        <v>1002</v>
      </c>
      <c r="I358" s="296" t="str">
        <f t="shared" si="51"/>
        <v>aula, gemeenschappelijke ruimte, bibliotheek</v>
      </c>
      <c r="J358" s="294" t="s">
        <v>655</v>
      </c>
      <c r="K358" s="297">
        <v>52</v>
      </c>
      <c r="L358" s="297"/>
      <c r="M358" s="298">
        <v>2200</v>
      </c>
      <c r="N358" s="299">
        <f t="shared" ref="N358:N421" si="55">VLOOKUP(M358,Kengetal,3,FALSE)</f>
        <v>200</v>
      </c>
      <c r="O358" s="483">
        <v>1</v>
      </c>
      <c r="P358" s="483">
        <v>1</v>
      </c>
      <c r="Q358" s="291">
        <f t="shared" ref="Q358:Q421" si="56">S358*K358*O358</f>
        <v>0</v>
      </c>
      <c r="R358" s="291">
        <f t="shared" ref="R358:R421" si="57">T358*K358*P358</f>
        <v>0</v>
      </c>
      <c r="S358" s="300">
        <f t="shared" si="52"/>
        <v>0</v>
      </c>
      <c r="T358" s="300">
        <f t="shared" si="53"/>
        <v>0</v>
      </c>
      <c r="U358" s="769" t="str">
        <f t="shared" si="54"/>
        <v>V</v>
      </c>
      <c r="V358" s="302"/>
      <c r="W358" s="303">
        <f>(Q358+R358)*'1.0-Contractblad'!$L$37</f>
        <v>0</v>
      </c>
      <c r="X358" s="303">
        <f ca="1">VLOOKUP(E358,'1.1a-Jaarprijzen'!$B$32:$Q$51,16,FALSE)*K358</f>
        <v>0</v>
      </c>
      <c r="Z358" s="771">
        <f t="shared" ref="Z358:Z421" si="58">K358*N358</f>
        <v>10400</v>
      </c>
      <c r="AA358" s="491" t="str">
        <f t="shared" ref="AA358:AA421" si="59">CONCATENATE(M358,"-",N358)</f>
        <v>2200-200</v>
      </c>
    </row>
    <row r="359" spans="2:27" s="489" customFormat="1" ht="15" hidden="1">
      <c r="B359" s="329"/>
      <c r="C359" s="330"/>
      <c r="D359" s="294">
        <f>VLOOKUP(E359,'1.1a-Jaarprijzen'!$B$13:$G$29,6,FALSE)</f>
        <v>3</v>
      </c>
      <c r="E359" s="768" t="s">
        <v>839</v>
      </c>
      <c r="F359" s="294" t="s">
        <v>387</v>
      </c>
      <c r="G359" s="294" t="s">
        <v>843</v>
      </c>
      <c r="H359" s="709" t="s">
        <v>394</v>
      </c>
      <c r="I359" s="296" t="str">
        <f t="shared" si="51"/>
        <v>entree, gang, hal, repro</v>
      </c>
      <c r="J359" s="294" t="s">
        <v>656</v>
      </c>
      <c r="K359" s="297">
        <v>5.6</v>
      </c>
      <c r="L359" s="297"/>
      <c r="M359" s="298">
        <v>3200</v>
      </c>
      <c r="N359" s="299">
        <f t="shared" si="55"/>
        <v>200</v>
      </c>
      <c r="O359" s="483">
        <v>1</v>
      </c>
      <c r="P359" s="483">
        <v>1</v>
      </c>
      <c r="Q359" s="291">
        <f t="shared" si="56"/>
        <v>0</v>
      </c>
      <c r="R359" s="291">
        <f t="shared" si="57"/>
        <v>0</v>
      </c>
      <c r="S359" s="300">
        <f t="shared" si="52"/>
        <v>0</v>
      </c>
      <c r="T359" s="300">
        <f t="shared" si="53"/>
        <v>0</v>
      </c>
      <c r="U359" s="769" t="str">
        <f t="shared" si="54"/>
        <v>V</v>
      </c>
      <c r="V359" s="302"/>
      <c r="W359" s="303">
        <f>(Q359+R359)*'1.0-Contractblad'!$L$37</f>
        <v>0</v>
      </c>
      <c r="X359" s="303">
        <f ca="1">VLOOKUP(E359,'1.1a-Jaarprijzen'!$B$32:$Q$51,16,FALSE)*K359</f>
        <v>0</v>
      </c>
      <c r="Z359" s="771">
        <f t="shared" si="58"/>
        <v>1120</v>
      </c>
      <c r="AA359" s="491" t="str">
        <f t="shared" si="59"/>
        <v>3200-200</v>
      </c>
    </row>
    <row r="360" spans="2:27" s="489" customFormat="1" ht="15" hidden="1">
      <c r="B360" s="329"/>
      <c r="C360" s="330"/>
      <c r="D360" s="294">
        <f>VLOOKUP(E360,'1.1a-Jaarprijzen'!$B$13:$G$29,6,FALSE)</f>
        <v>3</v>
      </c>
      <c r="E360" s="768" t="s">
        <v>839</v>
      </c>
      <c r="F360" s="294" t="s">
        <v>387</v>
      </c>
      <c r="G360" s="294" t="s">
        <v>844</v>
      </c>
      <c r="H360" s="709" t="s">
        <v>646</v>
      </c>
      <c r="I360" s="296" t="str">
        <f t="shared" si="51"/>
        <v>leslokaal/leerplein groep 4 t/m 8</v>
      </c>
      <c r="J360" s="294" t="s">
        <v>655</v>
      </c>
      <c r="K360" s="297">
        <v>56.7</v>
      </c>
      <c r="L360" s="297"/>
      <c r="M360" s="298">
        <v>18200</v>
      </c>
      <c r="N360" s="299">
        <f t="shared" si="55"/>
        <v>200</v>
      </c>
      <c r="O360" s="483">
        <v>1</v>
      </c>
      <c r="P360" s="483">
        <v>1</v>
      </c>
      <c r="Q360" s="291">
        <f t="shared" si="56"/>
        <v>0</v>
      </c>
      <c r="R360" s="291">
        <f t="shared" si="57"/>
        <v>0</v>
      </c>
      <c r="S360" s="300">
        <f t="shared" si="52"/>
        <v>0</v>
      </c>
      <c r="T360" s="300">
        <f t="shared" si="53"/>
        <v>0</v>
      </c>
      <c r="U360" s="769" t="str">
        <f t="shared" si="54"/>
        <v>L</v>
      </c>
      <c r="V360" s="302"/>
      <c r="W360" s="303">
        <f>(Q360+R360)*'1.0-Contractblad'!$L$37</f>
        <v>0</v>
      </c>
      <c r="X360" s="303">
        <f ca="1">VLOOKUP(E360,'1.1a-Jaarprijzen'!$B$32:$Q$51,16,FALSE)*K360</f>
        <v>0</v>
      </c>
      <c r="Z360" s="771">
        <f t="shared" si="58"/>
        <v>11340</v>
      </c>
      <c r="AA360" s="491" t="str">
        <f t="shared" si="59"/>
        <v>18200-200</v>
      </c>
    </row>
    <row r="361" spans="2:27" s="489" customFormat="1" ht="15" hidden="1">
      <c r="B361" s="329"/>
      <c r="C361" s="330"/>
      <c r="D361" s="294">
        <f>VLOOKUP(E361,'1.1a-Jaarprijzen'!$B$13:$G$29,6,FALSE)</f>
        <v>3</v>
      </c>
      <c r="E361" s="768" t="s">
        <v>839</v>
      </c>
      <c r="F361" s="294" t="s">
        <v>387</v>
      </c>
      <c r="G361" s="294" t="s">
        <v>845</v>
      </c>
      <c r="H361" s="709" t="s">
        <v>646</v>
      </c>
      <c r="I361" s="296" t="str">
        <f t="shared" si="51"/>
        <v>leslokaal/leerplein groep 4 t/m 8</v>
      </c>
      <c r="J361" s="294" t="s">
        <v>655</v>
      </c>
      <c r="K361" s="297">
        <v>56.3</v>
      </c>
      <c r="L361" s="297"/>
      <c r="M361" s="298">
        <v>18200</v>
      </c>
      <c r="N361" s="299">
        <f t="shared" si="55"/>
        <v>200</v>
      </c>
      <c r="O361" s="483">
        <v>1</v>
      </c>
      <c r="P361" s="483">
        <v>1</v>
      </c>
      <c r="Q361" s="291">
        <f t="shared" si="56"/>
        <v>0</v>
      </c>
      <c r="R361" s="291">
        <f t="shared" si="57"/>
        <v>0</v>
      </c>
      <c r="S361" s="300">
        <f t="shared" si="52"/>
        <v>0</v>
      </c>
      <c r="T361" s="300">
        <f t="shared" si="53"/>
        <v>0</v>
      </c>
      <c r="U361" s="769" t="str">
        <f t="shared" si="54"/>
        <v>L</v>
      </c>
      <c r="V361" s="302"/>
      <c r="W361" s="303">
        <f>(Q361+R361)*'1.0-Contractblad'!$L$37</f>
        <v>0</v>
      </c>
      <c r="X361" s="303">
        <f ca="1">VLOOKUP(E361,'1.1a-Jaarprijzen'!$B$32:$Q$51,16,FALSE)*K361</f>
        <v>0</v>
      </c>
      <c r="Z361" s="771">
        <f t="shared" si="58"/>
        <v>11260</v>
      </c>
      <c r="AA361" s="491" t="str">
        <f t="shared" si="59"/>
        <v>18200-200</v>
      </c>
    </row>
    <row r="362" spans="2:27" s="489" customFormat="1" ht="15" hidden="1">
      <c r="B362" s="329"/>
      <c r="C362" s="330"/>
      <c r="D362" s="294">
        <f>VLOOKUP(E362,'1.1a-Jaarprijzen'!$B$13:$G$29,6,FALSE)</f>
        <v>3</v>
      </c>
      <c r="E362" s="770" t="s">
        <v>839</v>
      </c>
      <c r="F362" s="294" t="s">
        <v>387</v>
      </c>
      <c r="G362" s="294" t="s">
        <v>846</v>
      </c>
      <c r="H362" s="709" t="s">
        <v>700</v>
      </c>
      <c r="I362" s="296" t="str">
        <f t="shared" si="51"/>
        <v>speellokaal</v>
      </c>
      <c r="J362" s="294" t="s">
        <v>463</v>
      </c>
      <c r="K362" s="297">
        <v>84.3</v>
      </c>
      <c r="L362" s="297"/>
      <c r="M362" s="298">
        <v>8260</v>
      </c>
      <c r="N362" s="299">
        <f t="shared" si="55"/>
        <v>260</v>
      </c>
      <c r="O362" s="483">
        <v>1</v>
      </c>
      <c r="P362" s="483">
        <v>1</v>
      </c>
      <c r="Q362" s="291">
        <f t="shared" si="56"/>
        <v>0</v>
      </c>
      <c r="R362" s="291">
        <f t="shared" si="57"/>
        <v>0</v>
      </c>
      <c r="S362" s="300">
        <f t="shared" si="52"/>
        <v>0</v>
      </c>
      <c r="T362" s="300">
        <f t="shared" si="53"/>
        <v>0</v>
      </c>
      <c r="U362" s="769" t="str">
        <f t="shared" si="54"/>
        <v>L</v>
      </c>
      <c r="V362" s="302"/>
      <c r="W362" s="303">
        <f>(Q362+R362)*'1.0-Contractblad'!$L$37</f>
        <v>0</v>
      </c>
      <c r="X362" s="303">
        <f ca="1">VLOOKUP(E362,'1.1a-Jaarprijzen'!$B$32:$Q$51,16,FALSE)*K362</f>
        <v>0</v>
      </c>
      <c r="Z362" s="771">
        <f t="shared" si="58"/>
        <v>21918</v>
      </c>
      <c r="AA362" s="491" t="str">
        <f t="shared" si="59"/>
        <v>8260-260</v>
      </c>
    </row>
    <row r="363" spans="2:27" s="489" customFormat="1" ht="15" hidden="1">
      <c r="B363" s="329"/>
      <c r="C363" s="330"/>
      <c r="D363" s="294">
        <f>VLOOKUP(E363,'1.1a-Jaarprijzen'!$B$13:$G$29,6,FALSE)</f>
        <v>3</v>
      </c>
      <c r="E363" s="768" t="s">
        <v>839</v>
      </c>
      <c r="F363" s="294" t="s">
        <v>387</v>
      </c>
      <c r="G363" s="295" t="s">
        <v>847</v>
      </c>
      <c r="H363" s="293" t="s">
        <v>848</v>
      </c>
      <c r="I363" s="296" t="str">
        <f t="shared" si="51"/>
        <v>speellokaal (berging)</v>
      </c>
      <c r="J363" s="294" t="s">
        <v>463</v>
      </c>
      <c r="K363" s="297">
        <v>4.5</v>
      </c>
      <c r="L363" s="297"/>
      <c r="M363" s="298">
        <v>8040</v>
      </c>
      <c r="N363" s="299">
        <f t="shared" si="55"/>
        <v>40</v>
      </c>
      <c r="O363" s="483">
        <v>1</v>
      </c>
      <c r="P363" s="483">
        <v>1</v>
      </c>
      <c r="Q363" s="291">
        <f t="shared" si="56"/>
        <v>0</v>
      </c>
      <c r="R363" s="291">
        <f t="shared" si="57"/>
        <v>0</v>
      </c>
      <c r="S363" s="300">
        <f t="shared" si="52"/>
        <v>0</v>
      </c>
      <c r="T363" s="300">
        <f t="shared" si="53"/>
        <v>0</v>
      </c>
      <c r="U363" s="769" t="str">
        <f t="shared" si="54"/>
        <v>L</v>
      </c>
      <c r="V363" s="302"/>
      <c r="W363" s="303">
        <f>(Q363+R363)*'1.0-Contractblad'!$L$37</f>
        <v>0</v>
      </c>
      <c r="X363" s="303">
        <f ca="1">VLOOKUP(E363,'1.1a-Jaarprijzen'!$B$32:$Q$51,16,FALSE)*K363</f>
        <v>0</v>
      </c>
      <c r="Z363" s="771">
        <f t="shared" si="58"/>
        <v>180</v>
      </c>
      <c r="AA363" s="491" t="str">
        <f t="shared" si="59"/>
        <v>8040-40</v>
      </c>
    </row>
    <row r="364" spans="2:27" s="489" customFormat="1" ht="15" hidden="1">
      <c r="B364" s="329"/>
      <c r="C364" s="330"/>
      <c r="D364" s="294">
        <f>VLOOKUP(E364,'1.1a-Jaarprijzen'!$B$13:$G$29,6,FALSE)</f>
        <v>3</v>
      </c>
      <c r="E364" s="768" t="s">
        <v>839</v>
      </c>
      <c r="F364" s="294" t="s">
        <v>387</v>
      </c>
      <c r="G364" s="295" t="s">
        <v>849</v>
      </c>
      <c r="H364" s="293" t="s">
        <v>646</v>
      </c>
      <c r="I364" s="296" t="str">
        <f t="shared" si="51"/>
        <v>leslokaal/leerplein groep 4 t/m 8</v>
      </c>
      <c r="J364" s="294" t="s">
        <v>655</v>
      </c>
      <c r="K364" s="297">
        <v>55.9</v>
      </c>
      <c r="L364" s="297"/>
      <c r="M364" s="298">
        <v>18200</v>
      </c>
      <c r="N364" s="299">
        <f t="shared" si="55"/>
        <v>200</v>
      </c>
      <c r="O364" s="483">
        <v>1</v>
      </c>
      <c r="P364" s="483">
        <v>1</v>
      </c>
      <c r="Q364" s="291">
        <f t="shared" si="56"/>
        <v>0</v>
      </c>
      <c r="R364" s="291">
        <f t="shared" si="57"/>
        <v>0</v>
      </c>
      <c r="S364" s="300">
        <f t="shared" si="52"/>
        <v>0</v>
      </c>
      <c r="T364" s="300">
        <f t="shared" si="53"/>
        <v>0</v>
      </c>
      <c r="U364" s="769" t="str">
        <f t="shared" si="54"/>
        <v>L</v>
      </c>
      <c r="V364" s="302"/>
      <c r="W364" s="303">
        <f>(Q364+R364)*'1.0-Contractblad'!$L$37</f>
        <v>0</v>
      </c>
      <c r="X364" s="303">
        <f ca="1">VLOOKUP(E364,'1.1a-Jaarprijzen'!$B$32:$Q$51,16,FALSE)*K364</f>
        <v>0</v>
      </c>
      <c r="Z364" s="771">
        <f t="shared" si="58"/>
        <v>11180</v>
      </c>
      <c r="AA364" s="491" t="str">
        <f t="shared" si="59"/>
        <v>18200-200</v>
      </c>
    </row>
    <row r="365" spans="2:27" s="489" customFormat="1" ht="15" hidden="1">
      <c r="B365" s="329"/>
      <c r="C365" s="330"/>
      <c r="D365" s="294">
        <f>VLOOKUP(E365,'1.1a-Jaarprijzen'!$B$13:$G$29,6,FALSE)</f>
        <v>3</v>
      </c>
      <c r="E365" s="768" t="s">
        <v>839</v>
      </c>
      <c r="F365" s="294" t="s">
        <v>387</v>
      </c>
      <c r="G365" s="295" t="s">
        <v>850</v>
      </c>
      <c r="H365" s="293" t="s">
        <v>477</v>
      </c>
      <c r="I365" s="296" t="str">
        <f t="shared" si="51"/>
        <v>sanitaire ruimte (toilet-/doucheruimte)</v>
      </c>
      <c r="J365" s="294" t="s">
        <v>461</v>
      </c>
      <c r="K365" s="297">
        <v>6.4</v>
      </c>
      <c r="L365" s="297"/>
      <c r="M365" s="298">
        <v>4200</v>
      </c>
      <c r="N365" s="299">
        <f t="shared" si="55"/>
        <v>200</v>
      </c>
      <c r="O365" s="483">
        <v>1</v>
      </c>
      <c r="P365" s="483">
        <v>1</v>
      </c>
      <c r="Q365" s="291">
        <f t="shared" si="56"/>
        <v>0</v>
      </c>
      <c r="R365" s="291">
        <f t="shared" si="57"/>
        <v>0</v>
      </c>
      <c r="S365" s="300">
        <f t="shared" si="52"/>
        <v>0</v>
      </c>
      <c r="T365" s="300">
        <f t="shared" si="53"/>
        <v>0</v>
      </c>
      <c r="U365" s="769" t="str">
        <f t="shared" si="54"/>
        <v>S</v>
      </c>
      <c r="V365" s="302"/>
      <c r="W365" s="303">
        <f>(Q365+R365)*'1.0-Contractblad'!$L$37</f>
        <v>0</v>
      </c>
      <c r="X365" s="303">
        <f ca="1">VLOOKUP(E365,'1.1a-Jaarprijzen'!$B$32:$Q$51,16,FALSE)*K365</f>
        <v>0</v>
      </c>
      <c r="Z365" s="771">
        <f t="shared" si="58"/>
        <v>1280</v>
      </c>
      <c r="AA365" s="491" t="str">
        <f t="shared" si="59"/>
        <v>4200-200</v>
      </c>
    </row>
    <row r="366" spans="2:27" s="489" customFormat="1" ht="15" hidden="1">
      <c r="B366" s="329"/>
      <c r="C366" s="330"/>
      <c r="D366" s="294">
        <f>VLOOKUP(E366,'1.1a-Jaarprijzen'!$B$13:$G$29,6,FALSE)</f>
        <v>3</v>
      </c>
      <c r="E366" s="768" t="s">
        <v>839</v>
      </c>
      <c r="F366" s="294" t="s">
        <v>387</v>
      </c>
      <c r="G366" s="295" t="s">
        <v>726</v>
      </c>
      <c r="H366" s="293" t="s">
        <v>388</v>
      </c>
      <c r="I366" s="296" t="str">
        <f t="shared" si="51"/>
        <v>entree, gang, hal, repro</v>
      </c>
      <c r="J366" s="294" t="s">
        <v>655</v>
      </c>
      <c r="K366" s="297">
        <v>5.8</v>
      </c>
      <c r="L366" s="297"/>
      <c r="M366" s="298">
        <v>3200</v>
      </c>
      <c r="N366" s="299">
        <f t="shared" si="55"/>
        <v>200</v>
      </c>
      <c r="O366" s="483">
        <v>1</v>
      </c>
      <c r="P366" s="483">
        <v>1</v>
      </c>
      <c r="Q366" s="291">
        <f t="shared" si="56"/>
        <v>0</v>
      </c>
      <c r="R366" s="291">
        <f t="shared" si="57"/>
        <v>0</v>
      </c>
      <c r="S366" s="300">
        <f t="shared" si="52"/>
        <v>0</v>
      </c>
      <c r="T366" s="300">
        <f t="shared" si="53"/>
        <v>0</v>
      </c>
      <c r="U366" s="769" t="str">
        <f t="shared" si="54"/>
        <v>V</v>
      </c>
      <c r="V366" s="302"/>
      <c r="W366" s="303">
        <f>(Q366+R366)*'1.0-Contractblad'!$L$37</f>
        <v>0</v>
      </c>
      <c r="X366" s="303">
        <f ca="1">VLOOKUP(E366,'1.1a-Jaarprijzen'!$B$32:$Q$51,16,FALSE)*K366</f>
        <v>0</v>
      </c>
      <c r="Z366" s="771">
        <f t="shared" si="58"/>
        <v>1160</v>
      </c>
      <c r="AA366" s="491" t="str">
        <f t="shared" si="59"/>
        <v>3200-200</v>
      </c>
    </row>
    <row r="367" spans="2:27" s="489" customFormat="1" ht="15" hidden="1">
      <c r="B367" s="329"/>
      <c r="C367" s="330"/>
      <c r="D367" s="294">
        <f>VLOOKUP(E367,'1.1a-Jaarprijzen'!$B$13:$G$29,6,FALSE)</f>
        <v>3</v>
      </c>
      <c r="E367" s="768" t="s">
        <v>839</v>
      </c>
      <c r="F367" s="294" t="s">
        <v>387</v>
      </c>
      <c r="G367" s="295" t="s">
        <v>851</v>
      </c>
      <c r="H367" s="293" t="s">
        <v>964</v>
      </c>
      <c r="I367" s="296" t="str">
        <f t="shared" si="51"/>
        <v>administratieve -,  vergaderruimte</v>
      </c>
      <c r="J367" s="294" t="s">
        <v>655</v>
      </c>
      <c r="K367" s="297">
        <v>17.7</v>
      </c>
      <c r="L367" s="297"/>
      <c r="M367" s="298">
        <v>1200</v>
      </c>
      <c r="N367" s="299">
        <f t="shared" si="55"/>
        <v>200</v>
      </c>
      <c r="O367" s="483">
        <v>1</v>
      </c>
      <c r="P367" s="483">
        <v>1</v>
      </c>
      <c r="Q367" s="291">
        <f t="shared" si="56"/>
        <v>0</v>
      </c>
      <c r="R367" s="291">
        <f t="shared" si="57"/>
        <v>0</v>
      </c>
      <c r="S367" s="300">
        <f t="shared" si="52"/>
        <v>0</v>
      </c>
      <c r="T367" s="300">
        <f t="shared" si="53"/>
        <v>0</v>
      </c>
      <c r="U367" s="769" t="str">
        <f t="shared" si="54"/>
        <v>V</v>
      </c>
      <c r="V367" s="302"/>
      <c r="W367" s="303">
        <f>(Q367+R367)*'1.0-Contractblad'!$L$37</f>
        <v>0</v>
      </c>
      <c r="X367" s="303">
        <f ca="1">VLOOKUP(E367,'1.1a-Jaarprijzen'!$B$32:$Q$51,16,FALSE)*K367</f>
        <v>0</v>
      </c>
      <c r="Z367" s="771">
        <f t="shared" si="58"/>
        <v>3540</v>
      </c>
      <c r="AA367" s="491" t="str">
        <f t="shared" si="59"/>
        <v>1200-200</v>
      </c>
    </row>
    <row r="368" spans="2:27" s="489" customFormat="1" ht="15" hidden="1">
      <c r="B368" s="329"/>
      <c r="C368" s="330"/>
      <c r="D368" s="294">
        <f>VLOOKUP(E368,'1.1a-Jaarprijzen'!$B$13:$G$29,6,FALSE)</f>
        <v>3</v>
      </c>
      <c r="E368" s="768" t="s">
        <v>839</v>
      </c>
      <c r="F368" s="294" t="s">
        <v>387</v>
      </c>
      <c r="G368" s="295" t="s">
        <v>793</v>
      </c>
      <c r="H368" s="293" t="s">
        <v>477</v>
      </c>
      <c r="I368" s="296" t="str">
        <f t="shared" si="51"/>
        <v>sanitaire ruimte (toilet-/doucheruimte)</v>
      </c>
      <c r="J368" s="294" t="s">
        <v>461</v>
      </c>
      <c r="K368" s="297">
        <v>6.4</v>
      </c>
      <c r="L368" s="297"/>
      <c r="M368" s="298">
        <v>4200</v>
      </c>
      <c r="N368" s="299">
        <f t="shared" si="55"/>
        <v>200</v>
      </c>
      <c r="O368" s="483">
        <v>1</v>
      </c>
      <c r="P368" s="483">
        <v>1</v>
      </c>
      <c r="Q368" s="291">
        <f t="shared" si="56"/>
        <v>0</v>
      </c>
      <c r="R368" s="291">
        <f t="shared" si="57"/>
        <v>0</v>
      </c>
      <c r="S368" s="300">
        <f t="shared" si="52"/>
        <v>0</v>
      </c>
      <c r="T368" s="300">
        <f t="shared" si="53"/>
        <v>0</v>
      </c>
      <c r="U368" s="769" t="str">
        <f t="shared" si="54"/>
        <v>S</v>
      </c>
      <c r="V368" s="302"/>
      <c r="W368" s="303">
        <f>(Q368+R368)*'1.0-Contractblad'!$L$37</f>
        <v>0</v>
      </c>
      <c r="X368" s="303">
        <f ca="1">VLOOKUP(E368,'1.1a-Jaarprijzen'!$B$32:$Q$51,16,FALSE)*K368</f>
        <v>0</v>
      </c>
      <c r="Z368" s="771">
        <f t="shared" si="58"/>
        <v>1280</v>
      </c>
      <c r="AA368" s="491" t="str">
        <f t="shared" si="59"/>
        <v>4200-200</v>
      </c>
    </row>
    <row r="369" spans="2:27" s="489" customFormat="1" ht="15" hidden="1">
      <c r="B369" s="329"/>
      <c r="C369" s="330"/>
      <c r="D369" s="294">
        <f>VLOOKUP(E369,'1.1a-Jaarprijzen'!$B$13:$G$29,6,FALSE)</f>
        <v>3</v>
      </c>
      <c r="E369" s="768" t="s">
        <v>839</v>
      </c>
      <c r="F369" s="294" t="s">
        <v>387</v>
      </c>
      <c r="G369" s="295" t="s">
        <v>852</v>
      </c>
      <c r="H369" s="293" t="s">
        <v>477</v>
      </c>
      <c r="I369" s="296" t="str">
        <f t="shared" si="51"/>
        <v>sanitaire ruimte (toilet-/doucheruimte)</v>
      </c>
      <c r="J369" s="294" t="s">
        <v>735</v>
      </c>
      <c r="K369" s="297">
        <v>3.6</v>
      </c>
      <c r="L369" s="297"/>
      <c r="M369" s="298">
        <v>4200</v>
      </c>
      <c r="N369" s="299">
        <f t="shared" si="55"/>
        <v>200</v>
      </c>
      <c r="O369" s="483">
        <v>1</v>
      </c>
      <c r="P369" s="483">
        <v>1</v>
      </c>
      <c r="Q369" s="291">
        <f t="shared" si="56"/>
        <v>0</v>
      </c>
      <c r="R369" s="291">
        <f t="shared" si="57"/>
        <v>0</v>
      </c>
      <c r="S369" s="300">
        <f t="shared" si="52"/>
        <v>0</v>
      </c>
      <c r="T369" s="300">
        <f t="shared" si="53"/>
        <v>0</v>
      </c>
      <c r="U369" s="769" t="str">
        <f t="shared" si="54"/>
        <v>S</v>
      </c>
      <c r="V369" s="302"/>
      <c r="W369" s="303">
        <f>(Q369+R369)*'1.0-Contractblad'!$L$37</f>
        <v>0</v>
      </c>
      <c r="X369" s="303">
        <f ca="1">VLOOKUP(E369,'1.1a-Jaarprijzen'!$B$32:$Q$51,16,FALSE)*K369</f>
        <v>0</v>
      </c>
      <c r="Z369" s="771">
        <f t="shared" si="58"/>
        <v>720</v>
      </c>
      <c r="AA369" s="491" t="str">
        <f t="shared" si="59"/>
        <v>4200-200</v>
      </c>
    </row>
    <row r="370" spans="2:27" s="489" customFormat="1" ht="15" hidden="1">
      <c r="B370" s="329"/>
      <c r="C370" s="330"/>
      <c r="D370" s="294">
        <f>VLOOKUP(E370,'1.1a-Jaarprijzen'!$B$13:$G$29,6,FALSE)</f>
        <v>3</v>
      </c>
      <c r="E370" s="768" t="s">
        <v>839</v>
      </c>
      <c r="F370" s="294" t="s">
        <v>387</v>
      </c>
      <c r="G370" s="295" t="s">
        <v>853</v>
      </c>
      <c r="H370" s="293" t="s">
        <v>395</v>
      </c>
      <c r="I370" s="296" t="str">
        <f t="shared" si="51"/>
        <v>administratieve -,  vergaderruimte</v>
      </c>
      <c r="J370" s="294" t="s">
        <v>655</v>
      </c>
      <c r="K370" s="297">
        <v>11.1</v>
      </c>
      <c r="L370" s="297"/>
      <c r="M370" s="298">
        <v>1200</v>
      </c>
      <c r="N370" s="299">
        <f t="shared" si="55"/>
        <v>200</v>
      </c>
      <c r="O370" s="483">
        <v>1</v>
      </c>
      <c r="P370" s="483">
        <v>1</v>
      </c>
      <c r="Q370" s="291">
        <f t="shared" si="56"/>
        <v>0</v>
      </c>
      <c r="R370" s="291">
        <f t="shared" si="57"/>
        <v>0</v>
      </c>
      <c r="S370" s="300">
        <f t="shared" si="52"/>
        <v>0</v>
      </c>
      <c r="T370" s="300">
        <f t="shared" si="53"/>
        <v>0</v>
      </c>
      <c r="U370" s="769" t="str">
        <f t="shared" si="54"/>
        <v>V</v>
      </c>
      <c r="V370" s="302"/>
      <c r="W370" s="303">
        <f>(Q370+R370)*'1.0-Contractblad'!$L$37</f>
        <v>0</v>
      </c>
      <c r="X370" s="303">
        <f ca="1">VLOOKUP(E370,'1.1a-Jaarprijzen'!$B$32:$Q$51,16,FALSE)*K370</f>
        <v>0</v>
      </c>
      <c r="Z370" s="771">
        <f t="shared" si="58"/>
        <v>2220</v>
      </c>
      <c r="AA370" s="491" t="str">
        <f t="shared" si="59"/>
        <v>1200-200</v>
      </c>
    </row>
    <row r="371" spans="2:27" s="489" customFormat="1" ht="15" hidden="1">
      <c r="B371" s="329"/>
      <c r="C371" s="330"/>
      <c r="D371" s="294">
        <f>VLOOKUP(E371,'1.1a-Jaarprijzen'!$B$13:$G$29,6,FALSE)</f>
        <v>3</v>
      </c>
      <c r="E371" s="768" t="s">
        <v>839</v>
      </c>
      <c r="F371" s="294" t="s">
        <v>387</v>
      </c>
      <c r="G371" s="295" t="s">
        <v>595</v>
      </c>
      <c r="H371" s="293" t="s">
        <v>388</v>
      </c>
      <c r="I371" s="296" t="str">
        <f t="shared" si="51"/>
        <v>entree, gang, hal, repro</v>
      </c>
      <c r="J371" s="294" t="s">
        <v>655</v>
      </c>
      <c r="K371" s="297">
        <v>10.8</v>
      </c>
      <c r="L371" s="297"/>
      <c r="M371" s="298">
        <v>3200</v>
      </c>
      <c r="N371" s="299">
        <f t="shared" si="55"/>
        <v>200</v>
      </c>
      <c r="O371" s="483">
        <v>1</v>
      </c>
      <c r="P371" s="483">
        <v>1</v>
      </c>
      <c r="Q371" s="291">
        <f t="shared" si="56"/>
        <v>0</v>
      </c>
      <c r="R371" s="291">
        <f t="shared" si="57"/>
        <v>0</v>
      </c>
      <c r="S371" s="300">
        <f t="shared" si="52"/>
        <v>0</v>
      </c>
      <c r="T371" s="300">
        <f t="shared" si="53"/>
        <v>0</v>
      </c>
      <c r="U371" s="769" t="str">
        <f t="shared" si="54"/>
        <v>V</v>
      </c>
      <c r="V371" s="302"/>
      <c r="W371" s="303">
        <f>(Q371+R371)*'1.0-Contractblad'!$L$37</f>
        <v>0</v>
      </c>
      <c r="X371" s="303">
        <f ca="1">VLOOKUP(E371,'1.1a-Jaarprijzen'!$B$32:$Q$51,16,FALSE)*K371</f>
        <v>0</v>
      </c>
      <c r="Z371" s="771">
        <f t="shared" si="58"/>
        <v>2160</v>
      </c>
      <c r="AA371" s="491" t="str">
        <f t="shared" si="59"/>
        <v>3200-200</v>
      </c>
    </row>
    <row r="372" spans="2:27" s="489" customFormat="1" ht="15" hidden="1">
      <c r="B372" s="329"/>
      <c r="C372" s="330"/>
      <c r="D372" s="294">
        <f>VLOOKUP(E372,'1.1a-Jaarprijzen'!$B$13:$G$29,6,FALSE)</f>
        <v>3</v>
      </c>
      <c r="E372" s="768" t="s">
        <v>839</v>
      </c>
      <c r="F372" s="294" t="s">
        <v>387</v>
      </c>
      <c r="G372" s="295" t="s">
        <v>854</v>
      </c>
      <c r="H372" s="293" t="s">
        <v>1003</v>
      </c>
      <c r="I372" s="296" t="str">
        <f t="shared" si="51"/>
        <v>leslokaal groep 1 t/m 3</v>
      </c>
      <c r="J372" s="294" t="s">
        <v>655</v>
      </c>
      <c r="K372" s="297">
        <v>60.8</v>
      </c>
      <c r="L372" s="297"/>
      <c r="M372" s="298">
        <v>7200</v>
      </c>
      <c r="N372" s="299">
        <f t="shared" si="55"/>
        <v>200</v>
      </c>
      <c r="O372" s="483">
        <v>1</v>
      </c>
      <c r="P372" s="483">
        <v>1</v>
      </c>
      <c r="Q372" s="291">
        <f t="shared" si="56"/>
        <v>0</v>
      </c>
      <c r="R372" s="291">
        <f t="shared" si="57"/>
        <v>0</v>
      </c>
      <c r="S372" s="300">
        <f t="shared" si="52"/>
        <v>0</v>
      </c>
      <c r="T372" s="300">
        <f t="shared" si="53"/>
        <v>0</v>
      </c>
      <c r="U372" s="769" t="str">
        <f t="shared" si="54"/>
        <v>L</v>
      </c>
      <c r="V372" s="302"/>
      <c r="W372" s="303">
        <f>(Q372+R372)*'1.0-Contractblad'!$L$37</f>
        <v>0</v>
      </c>
      <c r="X372" s="303">
        <f ca="1">VLOOKUP(E372,'1.1a-Jaarprijzen'!$B$32:$Q$51,16,FALSE)*K372</f>
        <v>0</v>
      </c>
      <c r="Z372" s="771">
        <f t="shared" si="58"/>
        <v>12160</v>
      </c>
      <c r="AA372" s="491" t="str">
        <f t="shared" si="59"/>
        <v>7200-200</v>
      </c>
    </row>
    <row r="373" spans="2:27" s="489" customFormat="1" ht="15" hidden="1">
      <c r="B373" s="329"/>
      <c r="C373" s="330"/>
      <c r="D373" s="294">
        <f>VLOOKUP(E373,'1.1a-Jaarprijzen'!$B$13:$G$29,6,FALSE)</f>
        <v>3</v>
      </c>
      <c r="E373" s="768" t="s">
        <v>839</v>
      </c>
      <c r="F373" s="294" t="s">
        <v>387</v>
      </c>
      <c r="G373" s="295" t="s">
        <v>855</v>
      </c>
      <c r="H373" s="293" t="s">
        <v>477</v>
      </c>
      <c r="I373" s="296" t="str">
        <f t="shared" si="51"/>
        <v>sanitaire ruimte (toilet-/doucheruimte)</v>
      </c>
      <c r="J373" s="294" t="s">
        <v>461</v>
      </c>
      <c r="K373" s="297">
        <v>5.15</v>
      </c>
      <c r="L373" s="297"/>
      <c r="M373" s="298">
        <v>4200</v>
      </c>
      <c r="N373" s="299">
        <f t="shared" si="55"/>
        <v>200</v>
      </c>
      <c r="O373" s="483">
        <v>1</v>
      </c>
      <c r="P373" s="483">
        <v>1</v>
      </c>
      <c r="Q373" s="291">
        <f t="shared" si="56"/>
        <v>0</v>
      </c>
      <c r="R373" s="291">
        <f t="shared" si="57"/>
        <v>0</v>
      </c>
      <c r="S373" s="300">
        <f t="shared" si="52"/>
        <v>0</v>
      </c>
      <c r="T373" s="300">
        <f t="shared" si="53"/>
        <v>0</v>
      </c>
      <c r="U373" s="769" t="str">
        <f t="shared" si="54"/>
        <v>S</v>
      </c>
      <c r="V373" s="302"/>
      <c r="W373" s="303">
        <f>(Q373+R373)*'1.0-Contractblad'!$L$37</f>
        <v>0</v>
      </c>
      <c r="X373" s="303">
        <f ca="1">VLOOKUP(E373,'1.1a-Jaarprijzen'!$B$32:$Q$51,16,FALSE)*K373</f>
        <v>0</v>
      </c>
      <c r="Z373" s="771">
        <f t="shared" si="58"/>
        <v>1030</v>
      </c>
      <c r="AA373" s="491" t="str">
        <f t="shared" si="59"/>
        <v>4200-200</v>
      </c>
    </row>
    <row r="374" spans="2:27" s="489" customFormat="1" ht="15" hidden="1">
      <c r="B374" s="329"/>
      <c r="C374" s="330"/>
      <c r="D374" s="294">
        <f>VLOOKUP(E374,'1.1a-Jaarprijzen'!$B$13:$G$29,6,FALSE)</f>
        <v>3</v>
      </c>
      <c r="E374" s="770" t="s">
        <v>839</v>
      </c>
      <c r="F374" s="294" t="s">
        <v>387</v>
      </c>
      <c r="G374" s="295" t="s">
        <v>493</v>
      </c>
      <c r="H374" s="293" t="s">
        <v>1004</v>
      </c>
      <c r="I374" s="296" t="str">
        <f t="shared" si="51"/>
        <v>Kinderopvang</v>
      </c>
      <c r="J374" s="294" t="s">
        <v>655</v>
      </c>
      <c r="K374" s="297">
        <v>62.26</v>
      </c>
      <c r="L374" s="297"/>
      <c r="M374" s="298">
        <v>22260</v>
      </c>
      <c r="N374" s="299">
        <f t="shared" si="55"/>
        <v>260</v>
      </c>
      <c r="O374" s="483">
        <v>1</v>
      </c>
      <c r="P374" s="483">
        <v>1</v>
      </c>
      <c r="Q374" s="291">
        <f t="shared" si="56"/>
        <v>0</v>
      </c>
      <c r="R374" s="291">
        <f t="shared" si="57"/>
        <v>0</v>
      </c>
      <c r="S374" s="300">
        <f t="shared" si="52"/>
        <v>0</v>
      </c>
      <c r="T374" s="300">
        <f t="shared" si="53"/>
        <v>0</v>
      </c>
      <c r="U374" s="769" t="str">
        <f t="shared" si="54"/>
        <v>L</v>
      </c>
      <c r="V374" s="302"/>
      <c r="W374" s="303">
        <f>(Q374+R374)*'1.0-Contractblad'!$L$37</f>
        <v>0</v>
      </c>
      <c r="X374" s="303">
        <f ca="1">VLOOKUP(E374,'1.1a-Jaarprijzen'!$B$32:$Q$51,16,FALSE)*K374</f>
        <v>0</v>
      </c>
      <c r="Z374" s="771">
        <f t="shared" si="58"/>
        <v>16187.6</v>
      </c>
      <c r="AA374" s="491" t="str">
        <f t="shared" si="59"/>
        <v>22260-260</v>
      </c>
    </row>
    <row r="375" spans="2:27" s="489" customFormat="1" ht="15" hidden="1">
      <c r="B375" s="329"/>
      <c r="C375" s="330"/>
      <c r="D375" s="294">
        <f>VLOOKUP(E375,'1.1a-Jaarprijzen'!$B$13:$G$29,6,FALSE)</f>
        <v>3</v>
      </c>
      <c r="E375" s="770" t="s">
        <v>839</v>
      </c>
      <c r="F375" s="294" t="s">
        <v>387</v>
      </c>
      <c r="G375" s="295" t="s">
        <v>494</v>
      </c>
      <c r="H375" s="293" t="s">
        <v>1004</v>
      </c>
      <c r="I375" s="296" t="str">
        <f t="shared" si="51"/>
        <v>Kinderopvang</v>
      </c>
      <c r="J375" s="294" t="s">
        <v>655</v>
      </c>
      <c r="K375" s="297">
        <v>52.42</v>
      </c>
      <c r="L375" s="297"/>
      <c r="M375" s="298">
        <v>22260</v>
      </c>
      <c r="N375" s="299">
        <f t="shared" si="55"/>
        <v>260</v>
      </c>
      <c r="O375" s="483">
        <v>1</v>
      </c>
      <c r="P375" s="483">
        <v>1</v>
      </c>
      <c r="Q375" s="291">
        <f t="shared" si="56"/>
        <v>0</v>
      </c>
      <c r="R375" s="291">
        <f t="shared" si="57"/>
        <v>0</v>
      </c>
      <c r="S375" s="300">
        <f t="shared" si="52"/>
        <v>0</v>
      </c>
      <c r="T375" s="300">
        <f t="shared" si="53"/>
        <v>0</v>
      </c>
      <c r="U375" s="769" t="str">
        <f t="shared" si="54"/>
        <v>L</v>
      </c>
      <c r="V375" s="302"/>
      <c r="W375" s="303">
        <f>(Q375+R375)*'1.0-Contractblad'!$L$37</f>
        <v>0</v>
      </c>
      <c r="X375" s="303">
        <f ca="1">VLOOKUP(E375,'1.1a-Jaarprijzen'!$B$32:$Q$51,16,FALSE)*K375</f>
        <v>0</v>
      </c>
      <c r="Z375" s="771">
        <f t="shared" si="58"/>
        <v>13629.2</v>
      </c>
      <c r="AA375" s="491" t="str">
        <f t="shared" si="59"/>
        <v>22260-260</v>
      </c>
    </row>
    <row r="376" spans="2:27" s="489" customFormat="1" ht="15" hidden="1">
      <c r="B376" s="329"/>
      <c r="C376" s="330"/>
      <c r="D376" s="294">
        <f>VLOOKUP(E376,'1.1a-Jaarprijzen'!$B$13:$G$29,6,FALSE)</f>
        <v>3</v>
      </c>
      <c r="E376" s="770" t="s">
        <v>839</v>
      </c>
      <c r="F376" s="294" t="s">
        <v>387</v>
      </c>
      <c r="G376" s="295" t="s">
        <v>495</v>
      </c>
      <c r="H376" s="293" t="s">
        <v>1004</v>
      </c>
      <c r="I376" s="296" t="str">
        <f t="shared" si="51"/>
        <v>Kinderopvang</v>
      </c>
      <c r="J376" s="294" t="s">
        <v>655</v>
      </c>
      <c r="K376" s="297">
        <v>39.130000000000003</v>
      </c>
      <c r="L376" s="297"/>
      <c r="M376" s="298">
        <v>22260</v>
      </c>
      <c r="N376" s="299">
        <f t="shared" si="55"/>
        <v>260</v>
      </c>
      <c r="O376" s="483">
        <v>1</v>
      </c>
      <c r="P376" s="483">
        <v>1</v>
      </c>
      <c r="Q376" s="291">
        <f t="shared" si="56"/>
        <v>0</v>
      </c>
      <c r="R376" s="291">
        <f t="shared" si="57"/>
        <v>0</v>
      </c>
      <c r="S376" s="300">
        <f t="shared" si="52"/>
        <v>0</v>
      </c>
      <c r="T376" s="300">
        <f t="shared" si="53"/>
        <v>0</v>
      </c>
      <c r="U376" s="769" t="str">
        <f t="shared" si="54"/>
        <v>L</v>
      </c>
      <c r="V376" s="302"/>
      <c r="W376" s="303">
        <f>(Q376+R376)*'1.0-Contractblad'!$L$37</f>
        <v>0</v>
      </c>
      <c r="X376" s="303">
        <f ca="1">VLOOKUP(E376,'1.1a-Jaarprijzen'!$B$32:$Q$51,16,FALSE)*K376</f>
        <v>0</v>
      </c>
      <c r="Z376" s="771">
        <f t="shared" si="58"/>
        <v>10173.800000000001</v>
      </c>
      <c r="AA376" s="491" t="str">
        <f t="shared" si="59"/>
        <v>22260-260</v>
      </c>
    </row>
    <row r="377" spans="2:27" s="489" customFormat="1" ht="15" hidden="1">
      <c r="B377" s="329"/>
      <c r="C377" s="330"/>
      <c r="D377" s="294">
        <f>VLOOKUP(E377,'1.1a-Jaarprijzen'!$B$13:$G$29,6,FALSE)</f>
        <v>3</v>
      </c>
      <c r="E377" s="770" t="s">
        <v>839</v>
      </c>
      <c r="F377" s="294" t="s">
        <v>387</v>
      </c>
      <c r="G377" s="295" t="s">
        <v>496</v>
      </c>
      <c r="H377" s="293" t="s">
        <v>1005</v>
      </c>
      <c r="I377" s="296" t="str">
        <f t="shared" si="51"/>
        <v>kinderverblijf ruimte</v>
      </c>
      <c r="J377" s="294" t="s">
        <v>655</v>
      </c>
      <c r="K377" s="297">
        <v>9.4</v>
      </c>
      <c r="L377" s="297"/>
      <c r="M377" s="298">
        <v>12260</v>
      </c>
      <c r="N377" s="299">
        <f t="shared" si="55"/>
        <v>260</v>
      </c>
      <c r="O377" s="483">
        <v>1</v>
      </c>
      <c r="P377" s="483">
        <v>1</v>
      </c>
      <c r="Q377" s="291">
        <f t="shared" si="56"/>
        <v>0</v>
      </c>
      <c r="R377" s="291">
        <f t="shared" si="57"/>
        <v>0</v>
      </c>
      <c r="S377" s="300">
        <f t="shared" si="52"/>
        <v>0</v>
      </c>
      <c r="T377" s="300">
        <f t="shared" si="53"/>
        <v>0</v>
      </c>
      <c r="U377" s="769" t="str">
        <f t="shared" si="54"/>
        <v>V</v>
      </c>
      <c r="V377" s="302"/>
      <c r="W377" s="303">
        <f>(Q377+R377)*'1.0-Contractblad'!$L$37</f>
        <v>0</v>
      </c>
      <c r="X377" s="303">
        <f ca="1">VLOOKUP(E377,'1.1a-Jaarprijzen'!$B$32:$Q$51,16,FALSE)*K377</f>
        <v>0</v>
      </c>
      <c r="Z377" s="771">
        <f t="shared" si="58"/>
        <v>2444</v>
      </c>
      <c r="AA377" s="491" t="str">
        <f t="shared" si="59"/>
        <v>12260-260</v>
      </c>
    </row>
    <row r="378" spans="2:27" s="489" customFormat="1" ht="15" hidden="1">
      <c r="B378" s="329"/>
      <c r="C378" s="330"/>
      <c r="D378" s="294">
        <f>VLOOKUP(E378,'1.1a-Jaarprijzen'!$B$13:$G$29,6,FALSE)</f>
        <v>3</v>
      </c>
      <c r="E378" s="770" t="s">
        <v>839</v>
      </c>
      <c r="F378" s="294" t="s">
        <v>387</v>
      </c>
      <c r="G378" s="295" t="s">
        <v>511</v>
      </c>
      <c r="H378" s="293" t="s">
        <v>1006</v>
      </c>
      <c r="I378" s="296" t="str">
        <f t="shared" si="51"/>
        <v>entree, gang, hal, repro</v>
      </c>
      <c r="J378" s="294" t="s">
        <v>655</v>
      </c>
      <c r="K378" s="297">
        <v>8.41</v>
      </c>
      <c r="L378" s="297"/>
      <c r="M378" s="298">
        <v>3260</v>
      </c>
      <c r="N378" s="299">
        <f t="shared" si="55"/>
        <v>260</v>
      </c>
      <c r="O378" s="483">
        <v>1</v>
      </c>
      <c r="P378" s="483">
        <v>1</v>
      </c>
      <c r="Q378" s="291">
        <f t="shared" si="56"/>
        <v>0</v>
      </c>
      <c r="R378" s="291">
        <f t="shared" si="57"/>
        <v>0</v>
      </c>
      <c r="S378" s="300">
        <f t="shared" si="52"/>
        <v>0</v>
      </c>
      <c r="T378" s="300">
        <f t="shared" si="53"/>
        <v>0</v>
      </c>
      <c r="U378" s="769" t="str">
        <f t="shared" si="54"/>
        <v>V</v>
      </c>
      <c r="V378" s="302"/>
      <c r="W378" s="303">
        <f>(Q378+R378)*'1.0-Contractblad'!$L$37</f>
        <v>0</v>
      </c>
      <c r="X378" s="303">
        <f ca="1">VLOOKUP(E378,'1.1a-Jaarprijzen'!$B$32:$Q$51,16,FALSE)*K378</f>
        <v>0</v>
      </c>
      <c r="Z378" s="771">
        <f t="shared" si="58"/>
        <v>2186.6</v>
      </c>
      <c r="AA378" s="491" t="str">
        <f t="shared" si="59"/>
        <v>3260-260</v>
      </c>
    </row>
    <row r="379" spans="2:27" s="489" customFormat="1" ht="15" hidden="1">
      <c r="B379" s="329"/>
      <c r="C379" s="330"/>
      <c r="D379" s="294">
        <f>VLOOKUP(E379,'1.1a-Jaarprijzen'!$B$13:$G$29,6,FALSE)</f>
        <v>3</v>
      </c>
      <c r="E379" s="770" t="s">
        <v>839</v>
      </c>
      <c r="F379" s="294" t="s">
        <v>387</v>
      </c>
      <c r="G379" s="295" t="s">
        <v>651</v>
      </c>
      <c r="H379" s="293" t="s">
        <v>1007</v>
      </c>
      <c r="I379" s="296" t="str">
        <f t="shared" si="51"/>
        <v>entree, gang, hal, repro</v>
      </c>
      <c r="J379" s="294" t="s">
        <v>655</v>
      </c>
      <c r="K379" s="297">
        <v>12.42</v>
      </c>
      <c r="L379" s="297"/>
      <c r="M379" s="298">
        <v>3260</v>
      </c>
      <c r="N379" s="299">
        <f t="shared" si="55"/>
        <v>260</v>
      </c>
      <c r="O379" s="483">
        <v>1</v>
      </c>
      <c r="P379" s="483">
        <v>1</v>
      </c>
      <c r="Q379" s="291">
        <f t="shared" si="56"/>
        <v>0</v>
      </c>
      <c r="R379" s="291">
        <f t="shared" si="57"/>
        <v>0</v>
      </c>
      <c r="S379" s="300">
        <f t="shared" si="52"/>
        <v>0</v>
      </c>
      <c r="T379" s="300">
        <f t="shared" si="53"/>
        <v>0</v>
      </c>
      <c r="U379" s="769" t="str">
        <f t="shared" si="54"/>
        <v>V</v>
      </c>
      <c r="V379" s="302"/>
      <c r="W379" s="303">
        <f>(Q379+R379)*'1.0-Contractblad'!$L$37</f>
        <v>0</v>
      </c>
      <c r="X379" s="303">
        <f ca="1">VLOOKUP(E379,'1.1a-Jaarprijzen'!$B$32:$Q$51,16,FALSE)*K379</f>
        <v>0</v>
      </c>
      <c r="Z379" s="771">
        <f t="shared" si="58"/>
        <v>3229.2</v>
      </c>
      <c r="AA379" s="491" t="str">
        <f t="shared" si="59"/>
        <v>3260-260</v>
      </c>
    </row>
    <row r="380" spans="2:27" s="489" customFormat="1" ht="15" hidden="1">
      <c r="B380" s="329"/>
      <c r="C380" s="330"/>
      <c r="D380" s="294">
        <f>VLOOKUP(E380,'1.1a-Jaarprijzen'!$B$13:$G$29,6,FALSE)</f>
        <v>3</v>
      </c>
      <c r="E380" s="770" t="s">
        <v>839</v>
      </c>
      <c r="F380" s="294" t="s">
        <v>387</v>
      </c>
      <c r="G380" s="295" t="s">
        <v>523</v>
      </c>
      <c r="H380" s="293" t="s">
        <v>1008</v>
      </c>
      <c r="I380" s="296" t="str">
        <f t="shared" si="51"/>
        <v>sanitaire ruimte (toilet-/doucheruimte)</v>
      </c>
      <c r="J380" s="294" t="s">
        <v>655</v>
      </c>
      <c r="K380" s="297">
        <v>2.1</v>
      </c>
      <c r="L380" s="297"/>
      <c r="M380" s="298">
        <v>4260</v>
      </c>
      <c r="N380" s="299">
        <f t="shared" si="55"/>
        <v>260</v>
      </c>
      <c r="O380" s="483">
        <v>1</v>
      </c>
      <c r="P380" s="483">
        <v>1</v>
      </c>
      <c r="Q380" s="291">
        <f t="shared" si="56"/>
        <v>0</v>
      </c>
      <c r="R380" s="291">
        <f t="shared" si="57"/>
        <v>0</v>
      </c>
      <c r="S380" s="300">
        <f t="shared" si="52"/>
        <v>0</v>
      </c>
      <c r="T380" s="300">
        <f t="shared" si="53"/>
        <v>0</v>
      </c>
      <c r="U380" s="769" t="str">
        <f t="shared" si="54"/>
        <v>S</v>
      </c>
      <c r="V380" s="302"/>
      <c r="W380" s="303">
        <f>(Q380+R380)*'1.0-Contractblad'!$L$37</f>
        <v>0</v>
      </c>
      <c r="X380" s="303">
        <f ca="1">VLOOKUP(E380,'1.1a-Jaarprijzen'!$B$32:$Q$51,16,FALSE)*K380</f>
        <v>0</v>
      </c>
      <c r="Z380" s="771">
        <f t="shared" si="58"/>
        <v>546</v>
      </c>
      <c r="AA380" s="491" t="str">
        <f t="shared" si="59"/>
        <v>4260-260</v>
      </c>
    </row>
    <row r="381" spans="2:27" s="489" customFormat="1" ht="15" hidden="1">
      <c r="B381" s="329"/>
      <c r="C381" s="330"/>
      <c r="D381" s="294">
        <f>VLOOKUP(E381,'1.1a-Jaarprijzen'!$B$13:$G$29,6,FALSE)</f>
        <v>3</v>
      </c>
      <c r="E381" s="770" t="s">
        <v>839</v>
      </c>
      <c r="F381" s="294" t="s">
        <v>387</v>
      </c>
      <c r="G381" s="295" t="s">
        <v>524</v>
      </c>
      <c r="H381" s="293" t="s">
        <v>1008</v>
      </c>
      <c r="I381" s="296" t="str">
        <f t="shared" si="51"/>
        <v>sanitaire ruimte (toilet-/doucheruimte)</v>
      </c>
      <c r="J381" s="294" t="s">
        <v>655</v>
      </c>
      <c r="K381" s="297">
        <v>11.38</v>
      </c>
      <c r="L381" s="297"/>
      <c r="M381" s="298">
        <v>4260</v>
      </c>
      <c r="N381" s="299">
        <f t="shared" si="55"/>
        <v>260</v>
      </c>
      <c r="O381" s="483">
        <v>1</v>
      </c>
      <c r="P381" s="483">
        <v>1</v>
      </c>
      <c r="Q381" s="291">
        <f t="shared" si="56"/>
        <v>0</v>
      </c>
      <c r="R381" s="291">
        <f t="shared" si="57"/>
        <v>0</v>
      </c>
      <c r="S381" s="300">
        <f t="shared" si="52"/>
        <v>0</v>
      </c>
      <c r="T381" s="300">
        <f t="shared" si="53"/>
        <v>0</v>
      </c>
      <c r="U381" s="769" t="str">
        <f t="shared" si="54"/>
        <v>S</v>
      </c>
      <c r="V381" s="302"/>
      <c r="W381" s="303">
        <f>(Q381+R381)*'1.0-Contractblad'!$L$37</f>
        <v>0</v>
      </c>
      <c r="X381" s="303">
        <f ca="1">VLOOKUP(E381,'1.1a-Jaarprijzen'!$B$32:$Q$51,16,FALSE)*K381</f>
        <v>0</v>
      </c>
      <c r="Z381" s="771">
        <f t="shared" si="58"/>
        <v>2958.8</v>
      </c>
      <c r="AA381" s="491" t="str">
        <f t="shared" si="59"/>
        <v>4260-260</v>
      </c>
    </row>
    <row r="382" spans="2:27" s="489" customFormat="1" ht="15" hidden="1">
      <c r="B382" s="329"/>
      <c r="C382" s="330"/>
      <c r="D382" s="294">
        <f>VLOOKUP(E382,'1.1a-Jaarprijzen'!$B$13:$G$29,6,FALSE)</f>
        <v>3</v>
      </c>
      <c r="E382" s="770" t="s">
        <v>839</v>
      </c>
      <c r="F382" s="294" t="s">
        <v>387</v>
      </c>
      <c r="G382" s="295" t="s">
        <v>541</v>
      </c>
      <c r="H382" s="293" t="s">
        <v>1009</v>
      </c>
      <c r="I382" s="296" t="str">
        <f t="shared" si="51"/>
        <v>pantry/keuken</v>
      </c>
      <c r="J382" s="294" t="s">
        <v>655</v>
      </c>
      <c r="K382" s="297">
        <v>8.84</v>
      </c>
      <c r="L382" s="297"/>
      <c r="M382" s="298">
        <v>5260</v>
      </c>
      <c r="N382" s="299">
        <f t="shared" si="55"/>
        <v>260</v>
      </c>
      <c r="O382" s="483">
        <v>1</v>
      </c>
      <c r="P382" s="483">
        <v>1</v>
      </c>
      <c r="Q382" s="291">
        <f t="shared" si="56"/>
        <v>0</v>
      </c>
      <c r="R382" s="291">
        <f t="shared" si="57"/>
        <v>0</v>
      </c>
      <c r="S382" s="300">
        <f t="shared" si="52"/>
        <v>0</v>
      </c>
      <c r="T382" s="300">
        <f t="shared" si="53"/>
        <v>0</v>
      </c>
      <c r="U382" s="769" t="str">
        <f t="shared" si="54"/>
        <v>V</v>
      </c>
      <c r="V382" s="302"/>
      <c r="W382" s="303">
        <f>(Q382+R382)*'1.0-Contractblad'!$L$37</f>
        <v>0</v>
      </c>
      <c r="X382" s="303">
        <f ca="1">VLOOKUP(E382,'1.1a-Jaarprijzen'!$B$32:$Q$51,16,FALSE)*K382</f>
        <v>0</v>
      </c>
      <c r="Z382" s="771">
        <f t="shared" si="58"/>
        <v>2298.4</v>
      </c>
      <c r="AA382" s="491" t="str">
        <f t="shared" si="59"/>
        <v>5260-260</v>
      </c>
    </row>
    <row r="383" spans="2:27" s="489" customFormat="1" ht="15" hidden="1">
      <c r="B383" s="329"/>
      <c r="C383" s="330"/>
      <c r="D383" s="294">
        <f>VLOOKUP(E383,'1.1a-Jaarprijzen'!$B$13:$G$29,6,FALSE)</f>
        <v>3</v>
      </c>
      <c r="E383" s="768" t="s">
        <v>856</v>
      </c>
      <c r="F383" s="294" t="s">
        <v>387</v>
      </c>
      <c r="G383" s="295">
        <v>11</v>
      </c>
      <c r="H383" s="293" t="s">
        <v>646</v>
      </c>
      <c r="I383" s="296" t="str">
        <f t="shared" si="51"/>
        <v>leslokaal groep 1 t/m 3</v>
      </c>
      <c r="J383" s="294" t="s">
        <v>655</v>
      </c>
      <c r="K383" s="297">
        <v>52.326000000000001</v>
      </c>
      <c r="L383" s="297"/>
      <c r="M383" s="298">
        <v>7200</v>
      </c>
      <c r="N383" s="299">
        <f t="shared" si="55"/>
        <v>200</v>
      </c>
      <c r="O383" s="483">
        <v>1</v>
      </c>
      <c r="P383" s="483">
        <v>1</v>
      </c>
      <c r="Q383" s="291">
        <f t="shared" si="56"/>
        <v>0</v>
      </c>
      <c r="R383" s="291">
        <f t="shared" si="57"/>
        <v>0</v>
      </c>
      <c r="S383" s="300">
        <f t="shared" si="52"/>
        <v>0</v>
      </c>
      <c r="T383" s="300">
        <f t="shared" si="53"/>
        <v>0</v>
      </c>
      <c r="U383" s="769" t="str">
        <f t="shared" si="54"/>
        <v>L</v>
      </c>
      <c r="V383" s="302"/>
      <c r="W383" s="303">
        <f>(Q383+R383)*'1.0-Contractblad'!$L$37</f>
        <v>0</v>
      </c>
      <c r="X383" s="303">
        <f ca="1">VLOOKUP(E383,'1.1a-Jaarprijzen'!$B$32:$Q$51,16,FALSE)*K383</f>
        <v>0</v>
      </c>
      <c r="Z383" s="771">
        <f t="shared" si="58"/>
        <v>10465.200000000001</v>
      </c>
      <c r="AA383" s="491" t="str">
        <f t="shared" si="59"/>
        <v>7200-200</v>
      </c>
    </row>
    <row r="384" spans="2:27" s="489" customFormat="1" ht="15" hidden="1">
      <c r="B384" s="329"/>
      <c r="C384" s="330"/>
      <c r="D384" s="294">
        <f>VLOOKUP(E384,'1.1a-Jaarprijzen'!$B$13:$G$29,6,FALSE)</f>
        <v>3</v>
      </c>
      <c r="E384" s="768" t="s">
        <v>856</v>
      </c>
      <c r="F384" s="294" t="s">
        <v>387</v>
      </c>
      <c r="G384" s="295">
        <v>12</v>
      </c>
      <c r="H384" s="293" t="s">
        <v>646</v>
      </c>
      <c r="I384" s="296" t="str">
        <f t="shared" si="51"/>
        <v>leslokaal groep 1 t/m 3</v>
      </c>
      <c r="J384" s="294" t="s">
        <v>655</v>
      </c>
      <c r="K384" s="297">
        <v>52.326000000000001</v>
      </c>
      <c r="L384" s="297"/>
      <c r="M384" s="298">
        <v>7200</v>
      </c>
      <c r="N384" s="299">
        <f t="shared" si="55"/>
        <v>200</v>
      </c>
      <c r="O384" s="483">
        <v>1</v>
      </c>
      <c r="P384" s="483">
        <v>1</v>
      </c>
      <c r="Q384" s="291">
        <f t="shared" si="56"/>
        <v>0</v>
      </c>
      <c r="R384" s="291">
        <f t="shared" si="57"/>
        <v>0</v>
      </c>
      <c r="S384" s="300">
        <f t="shared" si="52"/>
        <v>0</v>
      </c>
      <c r="T384" s="300">
        <f t="shared" si="53"/>
        <v>0</v>
      </c>
      <c r="U384" s="769" t="str">
        <f t="shared" si="54"/>
        <v>L</v>
      </c>
      <c r="V384" s="302"/>
      <c r="W384" s="303">
        <f>(Q384+R384)*'1.0-Contractblad'!$L$37</f>
        <v>0</v>
      </c>
      <c r="X384" s="303">
        <f ca="1">VLOOKUP(E384,'1.1a-Jaarprijzen'!$B$32:$Q$51,16,FALSE)*K384</f>
        <v>0</v>
      </c>
      <c r="Z384" s="771">
        <f t="shared" si="58"/>
        <v>10465.200000000001</v>
      </c>
      <c r="AA384" s="491" t="str">
        <f t="shared" si="59"/>
        <v>7200-200</v>
      </c>
    </row>
    <row r="385" spans="2:27" s="489" customFormat="1" ht="15" hidden="1">
      <c r="B385" s="329"/>
      <c r="C385" s="330"/>
      <c r="D385" s="294">
        <f>VLOOKUP(E385,'1.1a-Jaarprijzen'!$B$13:$G$29,6,FALSE)</f>
        <v>3</v>
      </c>
      <c r="E385" s="768" t="s">
        <v>856</v>
      </c>
      <c r="F385" s="294" t="s">
        <v>387</v>
      </c>
      <c r="G385" s="295">
        <v>17</v>
      </c>
      <c r="H385" s="293" t="s">
        <v>646</v>
      </c>
      <c r="I385" s="296" t="str">
        <f t="shared" si="51"/>
        <v>leslokaal groep 1 t/m 3</v>
      </c>
      <c r="J385" s="294" t="s">
        <v>655</v>
      </c>
      <c r="K385" s="297">
        <v>56.286000000000001</v>
      </c>
      <c r="L385" s="297"/>
      <c r="M385" s="298">
        <v>7200</v>
      </c>
      <c r="N385" s="299">
        <f t="shared" si="55"/>
        <v>200</v>
      </c>
      <c r="O385" s="483">
        <v>1</v>
      </c>
      <c r="P385" s="483">
        <v>1</v>
      </c>
      <c r="Q385" s="291">
        <f t="shared" si="56"/>
        <v>0</v>
      </c>
      <c r="R385" s="291">
        <f t="shared" si="57"/>
        <v>0</v>
      </c>
      <c r="S385" s="300">
        <f t="shared" si="52"/>
        <v>0</v>
      </c>
      <c r="T385" s="300">
        <f t="shared" si="53"/>
        <v>0</v>
      </c>
      <c r="U385" s="769" t="str">
        <f t="shared" si="54"/>
        <v>L</v>
      </c>
      <c r="V385" s="302"/>
      <c r="W385" s="303">
        <f>(Q385+R385)*'1.0-Contractblad'!$L$37</f>
        <v>0</v>
      </c>
      <c r="X385" s="303">
        <f ca="1">VLOOKUP(E385,'1.1a-Jaarprijzen'!$B$32:$Q$51,16,FALSE)*K385</f>
        <v>0</v>
      </c>
      <c r="Z385" s="771">
        <f t="shared" si="58"/>
        <v>11257.2</v>
      </c>
      <c r="AA385" s="491" t="str">
        <f t="shared" si="59"/>
        <v>7200-200</v>
      </c>
    </row>
    <row r="386" spans="2:27" s="489" customFormat="1" ht="15" hidden="1">
      <c r="B386" s="329"/>
      <c r="C386" s="330"/>
      <c r="D386" s="294">
        <f>VLOOKUP(E386,'1.1a-Jaarprijzen'!$B$13:$G$29,6,FALSE)</f>
        <v>3</v>
      </c>
      <c r="E386" s="785" t="s">
        <v>856</v>
      </c>
      <c r="F386" s="294" t="s">
        <v>387</v>
      </c>
      <c r="G386" s="295">
        <v>18</v>
      </c>
      <c r="H386" s="293" t="s">
        <v>646</v>
      </c>
      <c r="I386" s="296" t="str">
        <f t="shared" si="51"/>
        <v>Kinderopvang</v>
      </c>
      <c r="J386" s="294" t="s">
        <v>655</v>
      </c>
      <c r="K386" s="297">
        <v>56.286000000000001</v>
      </c>
      <c r="L386" s="297"/>
      <c r="M386" s="298">
        <v>22260</v>
      </c>
      <c r="N386" s="299">
        <f t="shared" si="55"/>
        <v>260</v>
      </c>
      <c r="O386" s="483">
        <v>1</v>
      </c>
      <c r="P386" s="483">
        <v>1</v>
      </c>
      <c r="Q386" s="291">
        <f t="shared" si="56"/>
        <v>0</v>
      </c>
      <c r="R386" s="291">
        <f t="shared" si="57"/>
        <v>0</v>
      </c>
      <c r="S386" s="300">
        <f t="shared" si="52"/>
        <v>0</v>
      </c>
      <c r="T386" s="300">
        <f t="shared" si="53"/>
        <v>0</v>
      </c>
      <c r="U386" s="769" t="str">
        <f t="shared" si="54"/>
        <v>L</v>
      </c>
      <c r="V386" s="302" t="s">
        <v>1024</v>
      </c>
      <c r="W386" s="303">
        <f>(Q386+R386)*'1.0-Contractblad'!$L$37</f>
        <v>0</v>
      </c>
      <c r="X386" s="303">
        <f ca="1">VLOOKUP(E386,'1.1a-Jaarprijzen'!$B$32:$Q$51,16,FALSE)*K386</f>
        <v>0</v>
      </c>
      <c r="Z386" s="771">
        <f t="shared" si="58"/>
        <v>14634.36</v>
      </c>
      <c r="AA386" s="491" t="str">
        <f t="shared" si="59"/>
        <v>22260-260</v>
      </c>
    </row>
    <row r="387" spans="2:27" s="489" customFormat="1" ht="15" hidden="1">
      <c r="B387" s="329"/>
      <c r="C387" s="330"/>
      <c r="D387" s="294">
        <f>VLOOKUP(E387,'1.1a-Jaarprijzen'!$B$13:$G$29,6,FALSE)</f>
        <v>3</v>
      </c>
      <c r="E387" s="785" t="s">
        <v>856</v>
      </c>
      <c r="F387" s="294" t="s">
        <v>387</v>
      </c>
      <c r="G387" s="295">
        <v>22</v>
      </c>
      <c r="H387" s="293" t="s">
        <v>391</v>
      </c>
      <c r="I387" s="296" t="str">
        <f t="shared" si="51"/>
        <v>speellokaal (berging)</v>
      </c>
      <c r="J387" s="294" t="s">
        <v>463</v>
      </c>
      <c r="K387" s="297">
        <v>84.15</v>
      </c>
      <c r="L387" s="297"/>
      <c r="M387" s="298">
        <v>8040</v>
      </c>
      <c r="N387" s="299">
        <f t="shared" si="55"/>
        <v>40</v>
      </c>
      <c r="O387" s="483">
        <v>1</v>
      </c>
      <c r="P387" s="483">
        <v>1</v>
      </c>
      <c r="Q387" s="291">
        <f t="shared" si="56"/>
        <v>0</v>
      </c>
      <c r="R387" s="291">
        <f t="shared" si="57"/>
        <v>0</v>
      </c>
      <c r="S387" s="300">
        <f t="shared" si="52"/>
        <v>0</v>
      </c>
      <c r="T387" s="300">
        <f t="shared" si="53"/>
        <v>0</v>
      </c>
      <c r="U387" s="769" t="str">
        <f t="shared" si="54"/>
        <v>L</v>
      </c>
      <c r="V387" s="302" t="s">
        <v>1023</v>
      </c>
      <c r="W387" s="303">
        <f>(Q387+R387)*'1.0-Contractblad'!$L$37</f>
        <v>0</v>
      </c>
      <c r="X387" s="303">
        <f ca="1">VLOOKUP(E387,'1.1a-Jaarprijzen'!$B$32:$Q$51,16,FALSE)*K387</f>
        <v>0</v>
      </c>
      <c r="Z387" s="771">
        <f t="shared" si="58"/>
        <v>3366</v>
      </c>
      <c r="AA387" s="491" t="str">
        <f t="shared" si="59"/>
        <v>8040-40</v>
      </c>
    </row>
    <row r="388" spans="2:27" s="489" customFormat="1" ht="15">
      <c r="B388" s="329"/>
      <c r="C388" s="330"/>
      <c r="D388" s="294">
        <f>VLOOKUP(E388,'1.1a-Jaarprijzen'!$B$13:$G$29,6,FALSE)</f>
        <v>3</v>
      </c>
      <c r="E388" s="768" t="s">
        <v>856</v>
      </c>
      <c r="F388" s="294" t="s">
        <v>387</v>
      </c>
      <c r="G388" s="295">
        <v>28</v>
      </c>
      <c r="H388" s="293" t="s">
        <v>646</v>
      </c>
      <c r="I388" s="296" t="str">
        <f t="shared" si="51"/>
        <v>Periodiek</v>
      </c>
      <c r="J388" s="294" t="s">
        <v>655</v>
      </c>
      <c r="K388" s="297">
        <v>54.207000000000001</v>
      </c>
      <c r="L388" s="297"/>
      <c r="M388" s="298" t="s">
        <v>934</v>
      </c>
      <c r="N388" s="299">
        <f t="shared" si="55"/>
        <v>1</v>
      </c>
      <c r="O388" s="483">
        <v>1</v>
      </c>
      <c r="P388" s="483">
        <v>1</v>
      </c>
      <c r="Q388" s="291">
        <f t="shared" si="56"/>
        <v>0</v>
      </c>
      <c r="R388" s="291">
        <f t="shared" si="57"/>
        <v>0</v>
      </c>
      <c r="S388" s="300">
        <f t="shared" si="52"/>
        <v>0</v>
      </c>
      <c r="T388" s="300">
        <f t="shared" si="53"/>
        <v>0</v>
      </c>
      <c r="U388" s="769">
        <f t="shared" si="54"/>
        <v>0</v>
      </c>
      <c r="V388" s="302" t="s">
        <v>1023</v>
      </c>
      <c r="W388" s="303">
        <f>(Q388+R388)*'1.0-Contractblad'!$L$37</f>
        <v>0</v>
      </c>
      <c r="X388" s="303">
        <f ca="1">VLOOKUP(E388,'1.1a-Jaarprijzen'!$B$32:$Q$51,16,FALSE)*K388</f>
        <v>0</v>
      </c>
      <c r="Z388" s="771">
        <f t="shared" si="58"/>
        <v>54.207000000000001</v>
      </c>
      <c r="AA388" s="491" t="str">
        <f t="shared" si="59"/>
        <v>Periodiek-1</v>
      </c>
    </row>
    <row r="389" spans="2:27" s="489" customFormat="1" ht="15" hidden="1">
      <c r="B389" s="329"/>
      <c r="C389" s="330"/>
      <c r="D389" s="294">
        <f>VLOOKUP(E389,'1.1a-Jaarprijzen'!$B$13:$G$29,6,FALSE)</f>
        <v>3</v>
      </c>
      <c r="E389" s="768" t="s">
        <v>856</v>
      </c>
      <c r="F389" s="294" t="s">
        <v>387</v>
      </c>
      <c r="G389" s="294">
        <v>29</v>
      </c>
      <c r="H389" s="293" t="s">
        <v>646</v>
      </c>
      <c r="I389" s="296" t="str">
        <f t="shared" si="51"/>
        <v>leslokaal/leerplein groep 4 t/m 8</v>
      </c>
      <c r="J389" s="294" t="s">
        <v>655</v>
      </c>
      <c r="K389" s="297">
        <v>54.207000000000001</v>
      </c>
      <c r="L389" s="297"/>
      <c r="M389" s="298">
        <v>18200</v>
      </c>
      <c r="N389" s="299">
        <f t="shared" si="55"/>
        <v>200</v>
      </c>
      <c r="O389" s="483">
        <v>1</v>
      </c>
      <c r="P389" s="483">
        <v>1</v>
      </c>
      <c r="Q389" s="291">
        <f t="shared" si="56"/>
        <v>0</v>
      </c>
      <c r="R389" s="291">
        <f t="shared" si="57"/>
        <v>0</v>
      </c>
      <c r="S389" s="300">
        <f t="shared" si="52"/>
        <v>0</v>
      </c>
      <c r="T389" s="300">
        <f t="shared" si="53"/>
        <v>0</v>
      </c>
      <c r="U389" s="769" t="str">
        <f t="shared" si="54"/>
        <v>L</v>
      </c>
      <c r="V389" s="302"/>
      <c r="W389" s="303">
        <f>(Q389+R389)*'1.0-Contractblad'!$L$37</f>
        <v>0</v>
      </c>
      <c r="X389" s="303">
        <f ca="1">VLOOKUP(E389,'1.1a-Jaarprijzen'!$B$32:$Q$51,16,FALSE)*K389</f>
        <v>0</v>
      </c>
      <c r="Z389" s="771">
        <f t="shared" si="58"/>
        <v>10841.4</v>
      </c>
      <c r="AA389" s="491" t="str">
        <f t="shared" si="59"/>
        <v>18200-200</v>
      </c>
    </row>
    <row r="390" spans="2:27" s="489" customFormat="1" ht="15" hidden="1">
      <c r="B390" s="329"/>
      <c r="C390" s="330"/>
      <c r="D390" s="294">
        <f>VLOOKUP(E390,'1.1a-Jaarprijzen'!$B$13:$G$29,6,FALSE)</f>
        <v>3</v>
      </c>
      <c r="E390" s="768" t="s">
        <v>856</v>
      </c>
      <c r="F390" s="294" t="s">
        <v>387</v>
      </c>
      <c r="G390" s="294">
        <v>35</v>
      </c>
      <c r="H390" s="293" t="s">
        <v>646</v>
      </c>
      <c r="I390" s="296" t="str">
        <f t="shared" si="51"/>
        <v>leslokaal/leerplein groep 4 t/m 8</v>
      </c>
      <c r="J390" s="294" t="s">
        <v>655</v>
      </c>
      <c r="K390" s="297">
        <v>50.094000000000001</v>
      </c>
      <c r="L390" s="297"/>
      <c r="M390" s="298">
        <v>18200</v>
      </c>
      <c r="N390" s="299">
        <f t="shared" si="55"/>
        <v>200</v>
      </c>
      <c r="O390" s="483">
        <v>1</v>
      </c>
      <c r="P390" s="483">
        <v>1</v>
      </c>
      <c r="Q390" s="291">
        <f t="shared" si="56"/>
        <v>0</v>
      </c>
      <c r="R390" s="291">
        <f t="shared" si="57"/>
        <v>0</v>
      </c>
      <c r="S390" s="300">
        <f t="shared" si="52"/>
        <v>0</v>
      </c>
      <c r="T390" s="300">
        <f t="shared" si="53"/>
        <v>0</v>
      </c>
      <c r="U390" s="769" t="str">
        <f t="shared" si="54"/>
        <v>L</v>
      </c>
      <c r="V390" s="302"/>
      <c r="W390" s="303">
        <f>(Q390+R390)*'1.0-Contractblad'!$L$37</f>
        <v>0</v>
      </c>
      <c r="X390" s="303">
        <f ca="1">VLOOKUP(E390,'1.1a-Jaarprijzen'!$B$32:$Q$51,16,FALSE)*K390</f>
        <v>0</v>
      </c>
      <c r="Z390" s="771">
        <f t="shared" si="58"/>
        <v>10018.800000000001</v>
      </c>
      <c r="AA390" s="491" t="str">
        <f t="shared" si="59"/>
        <v>18200-200</v>
      </c>
    </row>
    <row r="391" spans="2:27" s="489" customFormat="1" ht="15" hidden="1">
      <c r="B391" s="329"/>
      <c r="C391" s="330"/>
      <c r="D391" s="294">
        <f>VLOOKUP(E391,'1.1a-Jaarprijzen'!$B$13:$G$29,6,FALSE)</f>
        <v>3</v>
      </c>
      <c r="E391" s="768" t="s">
        <v>856</v>
      </c>
      <c r="F391" s="294" t="s">
        <v>387</v>
      </c>
      <c r="G391" s="295">
        <v>36</v>
      </c>
      <c r="H391" s="293" t="s">
        <v>646</v>
      </c>
      <c r="I391" s="296" t="str">
        <f t="shared" si="51"/>
        <v>leslokaal/leerplein groep 4 t/m 8</v>
      </c>
      <c r="J391" s="294" t="s">
        <v>655</v>
      </c>
      <c r="K391" s="297">
        <v>50.094000000000001</v>
      </c>
      <c r="L391" s="297"/>
      <c r="M391" s="298">
        <v>18200</v>
      </c>
      <c r="N391" s="299">
        <f t="shared" si="55"/>
        <v>200</v>
      </c>
      <c r="O391" s="483">
        <v>1</v>
      </c>
      <c r="P391" s="483">
        <v>1</v>
      </c>
      <c r="Q391" s="291">
        <f t="shared" si="56"/>
        <v>0</v>
      </c>
      <c r="R391" s="291">
        <f t="shared" si="57"/>
        <v>0</v>
      </c>
      <c r="S391" s="300">
        <f t="shared" si="52"/>
        <v>0</v>
      </c>
      <c r="T391" s="300">
        <f t="shared" si="53"/>
        <v>0</v>
      </c>
      <c r="U391" s="769" t="str">
        <f t="shared" si="54"/>
        <v>L</v>
      </c>
      <c r="V391" s="302" t="s">
        <v>1025</v>
      </c>
      <c r="W391" s="303">
        <f>(Q391+R391)*'1.0-Contractblad'!$L$37</f>
        <v>0</v>
      </c>
      <c r="X391" s="303">
        <f ca="1">VLOOKUP(E391,'1.1a-Jaarprijzen'!$B$32:$Q$51,16,FALSE)*K391</f>
        <v>0</v>
      </c>
      <c r="Z391" s="771">
        <f t="shared" si="58"/>
        <v>10018.800000000001</v>
      </c>
      <c r="AA391" s="491" t="str">
        <f t="shared" si="59"/>
        <v>18200-200</v>
      </c>
    </row>
    <row r="392" spans="2:27" s="489" customFormat="1" ht="15" hidden="1">
      <c r="B392" s="329"/>
      <c r="C392" s="330"/>
      <c r="D392" s="294">
        <f>VLOOKUP(E392,'1.1a-Jaarprijzen'!$B$13:$G$29,6,FALSE)</f>
        <v>3</v>
      </c>
      <c r="E392" s="768" t="s">
        <v>856</v>
      </c>
      <c r="F392" s="294" t="s">
        <v>387</v>
      </c>
      <c r="G392" s="295" t="s">
        <v>641</v>
      </c>
      <c r="H392" s="293" t="s">
        <v>646</v>
      </c>
      <c r="I392" s="296" t="str">
        <f t="shared" si="51"/>
        <v>leslokaal/leerplein groep 4 t/m 8</v>
      </c>
      <c r="J392" s="294" t="s">
        <v>655</v>
      </c>
      <c r="K392" s="297">
        <v>52.326000000000001</v>
      </c>
      <c r="L392" s="297"/>
      <c r="M392" s="298">
        <v>18200</v>
      </c>
      <c r="N392" s="299">
        <f t="shared" si="55"/>
        <v>200</v>
      </c>
      <c r="O392" s="483">
        <v>1</v>
      </c>
      <c r="P392" s="483">
        <v>1</v>
      </c>
      <c r="Q392" s="291">
        <f t="shared" si="56"/>
        <v>0</v>
      </c>
      <c r="R392" s="291">
        <f t="shared" si="57"/>
        <v>0</v>
      </c>
      <c r="S392" s="300">
        <f t="shared" si="52"/>
        <v>0</v>
      </c>
      <c r="T392" s="300">
        <f t="shared" si="53"/>
        <v>0</v>
      </c>
      <c r="U392" s="769" t="str">
        <f t="shared" si="54"/>
        <v>L</v>
      </c>
      <c r="V392" s="302"/>
      <c r="W392" s="303">
        <f>(Q392+R392)*'1.0-Contractblad'!$L$37</f>
        <v>0</v>
      </c>
      <c r="X392" s="303">
        <f ca="1">VLOOKUP(E392,'1.1a-Jaarprijzen'!$B$32:$Q$51,16,FALSE)*K392</f>
        <v>0</v>
      </c>
      <c r="Z392" s="771">
        <f t="shared" si="58"/>
        <v>10465.200000000001</v>
      </c>
      <c r="AA392" s="491" t="str">
        <f t="shared" si="59"/>
        <v>18200-200</v>
      </c>
    </row>
    <row r="393" spans="2:27" s="489" customFormat="1" ht="15" hidden="1">
      <c r="B393" s="329"/>
      <c r="C393" s="330"/>
      <c r="D393" s="294">
        <f>VLOOKUP(E393,'1.1a-Jaarprijzen'!$B$13:$G$29,6,FALSE)</f>
        <v>3</v>
      </c>
      <c r="E393" s="768" t="s">
        <v>856</v>
      </c>
      <c r="F393" s="294" t="s">
        <v>387</v>
      </c>
      <c r="G393" s="295" t="s">
        <v>642</v>
      </c>
      <c r="H393" s="293" t="s">
        <v>646</v>
      </c>
      <c r="I393" s="296" t="str">
        <f t="shared" si="51"/>
        <v>leslokaal/leerplein groep 4 t/m 8</v>
      </c>
      <c r="J393" s="294" t="s">
        <v>655</v>
      </c>
      <c r="K393" s="297">
        <v>52.326000000000001</v>
      </c>
      <c r="L393" s="297"/>
      <c r="M393" s="298">
        <v>18200</v>
      </c>
      <c r="N393" s="299">
        <f t="shared" si="55"/>
        <v>200</v>
      </c>
      <c r="O393" s="483">
        <v>1</v>
      </c>
      <c r="P393" s="483">
        <v>1</v>
      </c>
      <c r="Q393" s="291">
        <f t="shared" si="56"/>
        <v>0</v>
      </c>
      <c r="R393" s="291">
        <f t="shared" si="57"/>
        <v>0</v>
      </c>
      <c r="S393" s="300">
        <f t="shared" si="52"/>
        <v>0</v>
      </c>
      <c r="T393" s="300">
        <f t="shared" si="53"/>
        <v>0</v>
      </c>
      <c r="U393" s="769" t="str">
        <f t="shared" si="54"/>
        <v>L</v>
      </c>
      <c r="V393" s="302"/>
      <c r="W393" s="303">
        <f>(Q393+R393)*'1.0-Contractblad'!$L$37</f>
        <v>0</v>
      </c>
      <c r="X393" s="303">
        <f ca="1">VLOOKUP(E393,'1.1a-Jaarprijzen'!$B$32:$Q$51,16,FALSE)*K393</f>
        <v>0</v>
      </c>
      <c r="Z393" s="771">
        <f t="shared" si="58"/>
        <v>10465.200000000001</v>
      </c>
      <c r="AA393" s="491" t="str">
        <f t="shared" si="59"/>
        <v>18200-200</v>
      </c>
    </row>
    <row r="394" spans="2:27" s="489" customFormat="1" ht="15" hidden="1">
      <c r="B394" s="329"/>
      <c r="C394" s="330"/>
      <c r="D394" s="294">
        <f>VLOOKUP(E394,'1.1a-Jaarprijzen'!$B$13:$G$29,6,FALSE)</f>
        <v>3</v>
      </c>
      <c r="E394" s="768" t="s">
        <v>856</v>
      </c>
      <c r="F394" s="294" t="s">
        <v>387</v>
      </c>
      <c r="G394" s="295" t="s">
        <v>647</v>
      </c>
      <c r="H394" s="293" t="s">
        <v>646</v>
      </c>
      <c r="I394" s="296" t="str">
        <f t="shared" si="51"/>
        <v>leslokaal/leerplein groep 4 t/m 8</v>
      </c>
      <c r="J394" s="294" t="s">
        <v>655</v>
      </c>
      <c r="K394" s="297">
        <v>56.286000000000001</v>
      </c>
      <c r="L394" s="297"/>
      <c r="M394" s="298">
        <v>18200</v>
      </c>
      <c r="N394" s="299">
        <f t="shared" si="55"/>
        <v>200</v>
      </c>
      <c r="O394" s="483">
        <v>1</v>
      </c>
      <c r="P394" s="483">
        <v>1</v>
      </c>
      <c r="Q394" s="291">
        <f t="shared" si="56"/>
        <v>0</v>
      </c>
      <c r="R394" s="291">
        <f t="shared" si="57"/>
        <v>0</v>
      </c>
      <c r="S394" s="300">
        <f t="shared" si="52"/>
        <v>0</v>
      </c>
      <c r="T394" s="300">
        <f t="shared" si="53"/>
        <v>0</v>
      </c>
      <c r="U394" s="769" t="str">
        <f t="shared" si="54"/>
        <v>L</v>
      </c>
      <c r="V394" s="302"/>
      <c r="W394" s="303">
        <f>(Q394+R394)*'1.0-Contractblad'!$L$37</f>
        <v>0</v>
      </c>
      <c r="X394" s="303">
        <f ca="1">VLOOKUP(E394,'1.1a-Jaarprijzen'!$B$32:$Q$51,16,FALSE)*K394</f>
        <v>0</v>
      </c>
      <c r="Z394" s="771">
        <f t="shared" si="58"/>
        <v>11257.2</v>
      </c>
      <c r="AA394" s="491" t="str">
        <f t="shared" si="59"/>
        <v>18200-200</v>
      </c>
    </row>
    <row r="395" spans="2:27" s="489" customFormat="1" ht="15" hidden="1">
      <c r="B395" s="329"/>
      <c r="C395" s="330"/>
      <c r="D395" s="294">
        <f>VLOOKUP(E395,'1.1a-Jaarprijzen'!$B$13:$G$29,6,FALSE)</f>
        <v>3</v>
      </c>
      <c r="E395" s="768" t="s">
        <v>856</v>
      </c>
      <c r="F395" s="294" t="s">
        <v>387</v>
      </c>
      <c r="G395" s="295" t="s">
        <v>648</v>
      </c>
      <c r="H395" s="293" t="s">
        <v>646</v>
      </c>
      <c r="I395" s="296" t="str">
        <f t="shared" si="51"/>
        <v>leslokaal/leerplein groep 4 t/m 8</v>
      </c>
      <c r="J395" s="294" t="s">
        <v>655</v>
      </c>
      <c r="K395" s="297">
        <v>56.286000000000001</v>
      </c>
      <c r="L395" s="297"/>
      <c r="M395" s="298">
        <v>18200</v>
      </c>
      <c r="N395" s="299">
        <f t="shared" si="55"/>
        <v>200</v>
      </c>
      <c r="O395" s="483">
        <v>1</v>
      </c>
      <c r="P395" s="483">
        <v>1</v>
      </c>
      <c r="Q395" s="291">
        <f t="shared" si="56"/>
        <v>0</v>
      </c>
      <c r="R395" s="291">
        <f t="shared" si="57"/>
        <v>0</v>
      </c>
      <c r="S395" s="300">
        <f t="shared" si="52"/>
        <v>0</v>
      </c>
      <c r="T395" s="300">
        <f t="shared" si="53"/>
        <v>0</v>
      </c>
      <c r="U395" s="769" t="str">
        <f t="shared" si="54"/>
        <v>L</v>
      </c>
      <c r="V395" s="302"/>
      <c r="W395" s="303">
        <f>(Q395+R395)*'1.0-Contractblad'!$L$37</f>
        <v>0</v>
      </c>
      <c r="X395" s="303">
        <f ca="1">VLOOKUP(E395,'1.1a-Jaarprijzen'!$B$32:$Q$51,16,FALSE)*K395</f>
        <v>0</v>
      </c>
      <c r="Z395" s="771">
        <f t="shared" si="58"/>
        <v>11257.2</v>
      </c>
      <c r="AA395" s="491" t="str">
        <f t="shared" si="59"/>
        <v>18200-200</v>
      </c>
    </row>
    <row r="396" spans="2:27" s="489" customFormat="1" ht="15" hidden="1">
      <c r="B396" s="329"/>
      <c r="C396" s="330"/>
      <c r="D396" s="294">
        <f>VLOOKUP(E396,'1.1a-Jaarprijzen'!$B$13:$G$29,6,FALSE)</f>
        <v>3</v>
      </c>
      <c r="E396" s="768" t="s">
        <v>856</v>
      </c>
      <c r="F396" s="294" t="s">
        <v>387</v>
      </c>
      <c r="G396" s="295" t="s">
        <v>701</v>
      </c>
      <c r="H396" s="293" t="s">
        <v>646</v>
      </c>
      <c r="I396" s="296" t="str">
        <f t="shared" si="51"/>
        <v>leslokaal/leerplein groep 4 t/m 8</v>
      </c>
      <c r="J396" s="294" t="s">
        <v>655</v>
      </c>
      <c r="K396" s="297">
        <v>47.519999999999996</v>
      </c>
      <c r="L396" s="297"/>
      <c r="M396" s="298">
        <v>18200</v>
      </c>
      <c r="N396" s="299">
        <f t="shared" si="55"/>
        <v>200</v>
      </c>
      <c r="O396" s="483">
        <v>1</v>
      </c>
      <c r="P396" s="483">
        <v>1</v>
      </c>
      <c r="Q396" s="291">
        <f t="shared" si="56"/>
        <v>0</v>
      </c>
      <c r="R396" s="291">
        <f t="shared" si="57"/>
        <v>0</v>
      </c>
      <c r="S396" s="300">
        <f t="shared" si="52"/>
        <v>0</v>
      </c>
      <c r="T396" s="300">
        <f t="shared" si="53"/>
        <v>0</v>
      </c>
      <c r="U396" s="769" t="str">
        <f t="shared" si="54"/>
        <v>L</v>
      </c>
      <c r="V396" s="302"/>
      <c r="W396" s="303">
        <f>(Q396+R396)*'1.0-Contractblad'!$L$37</f>
        <v>0</v>
      </c>
      <c r="X396" s="303">
        <f ca="1">VLOOKUP(E396,'1.1a-Jaarprijzen'!$B$32:$Q$51,16,FALSE)*K396</f>
        <v>0</v>
      </c>
      <c r="Z396" s="771">
        <f t="shared" si="58"/>
        <v>9504</v>
      </c>
      <c r="AA396" s="491" t="str">
        <f t="shared" si="59"/>
        <v>18200-200</v>
      </c>
    </row>
    <row r="397" spans="2:27" s="489" customFormat="1" ht="15" hidden="1">
      <c r="B397" s="329"/>
      <c r="C397" s="330"/>
      <c r="D397" s="294">
        <f>VLOOKUP(E397,'1.1a-Jaarprijzen'!$B$13:$G$29,6,FALSE)</f>
        <v>3</v>
      </c>
      <c r="E397" s="768" t="s">
        <v>856</v>
      </c>
      <c r="F397" s="294" t="s">
        <v>387</v>
      </c>
      <c r="G397" s="295" t="s">
        <v>702</v>
      </c>
      <c r="H397" s="293" t="s">
        <v>646</v>
      </c>
      <c r="I397" s="296" t="str">
        <f t="shared" si="51"/>
        <v>leslokaal/leerplein groep 4 t/m 8</v>
      </c>
      <c r="J397" s="294" t="s">
        <v>655</v>
      </c>
      <c r="K397" s="297">
        <v>47.519999999999996</v>
      </c>
      <c r="L397" s="297"/>
      <c r="M397" s="298">
        <v>18200</v>
      </c>
      <c r="N397" s="299">
        <f t="shared" si="55"/>
        <v>200</v>
      </c>
      <c r="O397" s="483">
        <v>1</v>
      </c>
      <c r="P397" s="483">
        <v>1</v>
      </c>
      <c r="Q397" s="291">
        <f t="shared" si="56"/>
        <v>0</v>
      </c>
      <c r="R397" s="291">
        <f t="shared" si="57"/>
        <v>0</v>
      </c>
      <c r="S397" s="300">
        <f t="shared" si="52"/>
        <v>0</v>
      </c>
      <c r="T397" s="300">
        <f t="shared" si="53"/>
        <v>0</v>
      </c>
      <c r="U397" s="769" t="str">
        <f t="shared" si="54"/>
        <v>L</v>
      </c>
      <c r="V397" s="302"/>
      <c r="W397" s="303">
        <f>(Q397+R397)*'1.0-Contractblad'!$L$37</f>
        <v>0</v>
      </c>
      <c r="X397" s="303">
        <f ca="1">VLOOKUP(E397,'1.1a-Jaarprijzen'!$B$32:$Q$51,16,FALSE)*K397</f>
        <v>0</v>
      </c>
      <c r="Z397" s="771">
        <f t="shared" si="58"/>
        <v>9504</v>
      </c>
      <c r="AA397" s="491" t="str">
        <f t="shared" si="59"/>
        <v>18200-200</v>
      </c>
    </row>
    <row r="398" spans="2:27" s="489" customFormat="1" ht="15" hidden="1">
      <c r="B398" s="329"/>
      <c r="C398" s="330"/>
      <c r="D398" s="294">
        <f>VLOOKUP(E398,'1.1a-Jaarprijzen'!$B$13:$G$29,6,FALSE)</f>
        <v>3</v>
      </c>
      <c r="E398" s="768" t="s">
        <v>856</v>
      </c>
      <c r="F398" s="294" t="s">
        <v>387</v>
      </c>
      <c r="G398" s="295" t="s">
        <v>704</v>
      </c>
      <c r="H398" s="293" t="s">
        <v>646</v>
      </c>
      <c r="I398" s="296" t="str">
        <f t="shared" si="51"/>
        <v>leslokaal/leerplein groep 4 t/m 8</v>
      </c>
      <c r="J398" s="294" t="s">
        <v>655</v>
      </c>
      <c r="K398" s="297">
        <v>54.207000000000001</v>
      </c>
      <c r="L398" s="297"/>
      <c r="M398" s="298">
        <v>18200</v>
      </c>
      <c r="N398" s="299">
        <f t="shared" si="55"/>
        <v>200</v>
      </c>
      <c r="O398" s="483">
        <v>1</v>
      </c>
      <c r="P398" s="483">
        <v>1</v>
      </c>
      <c r="Q398" s="291">
        <f t="shared" si="56"/>
        <v>0</v>
      </c>
      <c r="R398" s="291">
        <f t="shared" si="57"/>
        <v>0</v>
      </c>
      <c r="S398" s="300">
        <f t="shared" si="52"/>
        <v>0</v>
      </c>
      <c r="T398" s="300">
        <f t="shared" si="53"/>
        <v>0</v>
      </c>
      <c r="U398" s="769" t="str">
        <f t="shared" si="54"/>
        <v>L</v>
      </c>
      <c r="V398" s="302"/>
      <c r="W398" s="303">
        <f>(Q398+R398)*'1.0-Contractblad'!$L$37</f>
        <v>0</v>
      </c>
      <c r="X398" s="303">
        <f ca="1">VLOOKUP(E398,'1.1a-Jaarprijzen'!$B$32:$Q$51,16,FALSE)*K398</f>
        <v>0</v>
      </c>
      <c r="Z398" s="771">
        <f t="shared" si="58"/>
        <v>10841.4</v>
      </c>
      <c r="AA398" s="491" t="str">
        <f t="shared" si="59"/>
        <v>18200-200</v>
      </c>
    </row>
    <row r="399" spans="2:27" s="489" customFormat="1" ht="15" hidden="1">
      <c r="B399" s="329"/>
      <c r="C399" s="330"/>
      <c r="D399" s="294">
        <f>VLOOKUP(E399,'1.1a-Jaarprijzen'!$B$13:$G$29,6,FALSE)</f>
        <v>3</v>
      </c>
      <c r="E399" s="768" t="s">
        <v>856</v>
      </c>
      <c r="F399" s="294" t="s">
        <v>387</v>
      </c>
      <c r="G399" s="295" t="s">
        <v>705</v>
      </c>
      <c r="H399" s="293" t="s">
        <v>646</v>
      </c>
      <c r="I399" s="296" t="str">
        <f t="shared" si="51"/>
        <v>leslokaal/leerplein groep 4 t/m 8</v>
      </c>
      <c r="J399" s="294" t="s">
        <v>655</v>
      </c>
      <c r="K399" s="297">
        <v>54.207000000000001</v>
      </c>
      <c r="L399" s="297"/>
      <c r="M399" s="298">
        <v>18200</v>
      </c>
      <c r="N399" s="299">
        <f t="shared" si="55"/>
        <v>200</v>
      </c>
      <c r="O399" s="483">
        <v>1</v>
      </c>
      <c r="P399" s="483">
        <v>1</v>
      </c>
      <c r="Q399" s="291">
        <f t="shared" si="56"/>
        <v>0</v>
      </c>
      <c r="R399" s="291">
        <f t="shared" si="57"/>
        <v>0</v>
      </c>
      <c r="S399" s="300">
        <f t="shared" si="52"/>
        <v>0</v>
      </c>
      <c r="T399" s="300">
        <f t="shared" si="53"/>
        <v>0</v>
      </c>
      <c r="U399" s="769" t="str">
        <f t="shared" si="54"/>
        <v>L</v>
      </c>
      <c r="V399" s="302" t="s">
        <v>1025</v>
      </c>
      <c r="W399" s="303">
        <f>(Q399+R399)*'1.0-Contractblad'!$L$37</f>
        <v>0</v>
      </c>
      <c r="X399" s="303">
        <f ca="1">VLOOKUP(E399,'1.1a-Jaarprijzen'!$B$32:$Q$51,16,FALSE)*K399</f>
        <v>0</v>
      </c>
      <c r="Z399" s="771">
        <f t="shared" si="58"/>
        <v>10841.4</v>
      </c>
      <c r="AA399" s="491" t="str">
        <f t="shared" si="59"/>
        <v>18200-200</v>
      </c>
    </row>
    <row r="400" spans="2:27" s="489" customFormat="1" ht="15" hidden="1">
      <c r="B400" s="329"/>
      <c r="C400" s="330"/>
      <c r="D400" s="294">
        <f>VLOOKUP(E400,'1.1a-Jaarprijzen'!$B$13:$G$29,6,FALSE)</f>
        <v>3</v>
      </c>
      <c r="E400" s="768" t="s">
        <v>856</v>
      </c>
      <c r="F400" s="294" t="s">
        <v>387</v>
      </c>
      <c r="G400" s="295" t="s">
        <v>708</v>
      </c>
      <c r="H400" s="293" t="s">
        <v>646</v>
      </c>
      <c r="I400" s="296" t="str">
        <f t="shared" si="51"/>
        <v>leslokaal/leerplein groep 4 t/m 8</v>
      </c>
      <c r="J400" s="294" t="s">
        <v>655</v>
      </c>
      <c r="K400" s="297">
        <v>48.707999999999998</v>
      </c>
      <c r="L400" s="297"/>
      <c r="M400" s="298">
        <v>18200</v>
      </c>
      <c r="N400" s="299">
        <f t="shared" si="55"/>
        <v>200</v>
      </c>
      <c r="O400" s="483">
        <v>1</v>
      </c>
      <c r="P400" s="483">
        <v>1</v>
      </c>
      <c r="Q400" s="291">
        <f t="shared" si="56"/>
        <v>0</v>
      </c>
      <c r="R400" s="291">
        <f t="shared" si="57"/>
        <v>0</v>
      </c>
      <c r="S400" s="300">
        <f t="shared" si="52"/>
        <v>0</v>
      </c>
      <c r="T400" s="300">
        <f t="shared" si="53"/>
        <v>0</v>
      </c>
      <c r="U400" s="769" t="str">
        <f t="shared" si="54"/>
        <v>L</v>
      </c>
      <c r="V400" s="302"/>
      <c r="W400" s="303">
        <f>(Q400+R400)*'1.0-Contractblad'!$L$37</f>
        <v>0</v>
      </c>
      <c r="X400" s="303">
        <f ca="1">VLOOKUP(E400,'1.1a-Jaarprijzen'!$B$32:$Q$51,16,FALSE)*K400</f>
        <v>0</v>
      </c>
      <c r="Z400" s="771">
        <f t="shared" si="58"/>
        <v>9741.6</v>
      </c>
      <c r="AA400" s="491" t="str">
        <f t="shared" si="59"/>
        <v>18200-200</v>
      </c>
    </row>
    <row r="401" spans="2:27" s="489" customFormat="1" ht="15" hidden="1">
      <c r="B401" s="329"/>
      <c r="C401" s="330"/>
      <c r="D401" s="294">
        <f>VLOOKUP(E401,'1.1a-Jaarprijzen'!$B$13:$G$29,6,FALSE)</f>
        <v>3</v>
      </c>
      <c r="E401" s="768" t="s">
        <v>856</v>
      </c>
      <c r="F401" s="294" t="s">
        <v>387</v>
      </c>
      <c r="G401" s="295" t="s">
        <v>709</v>
      </c>
      <c r="H401" s="293" t="s">
        <v>646</v>
      </c>
      <c r="I401" s="296" t="str">
        <f t="shared" si="51"/>
        <v>leslokaal/leerplein groep 4 t/m 8</v>
      </c>
      <c r="J401" s="297" t="s">
        <v>655</v>
      </c>
      <c r="K401" s="297">
        <v>48.707999999999998</v>
      </c>
      <c r="L401" s="297"/>
      <c r="M401" s="298">
        <v>18200</v>
      </c>
      <c r="N401" s="299">
        <f t="shared" si="55"/>
        <v>200</v>
      </c>
      <c r="O401" s="483">
        <v>1</v>
      </c>
      <c r="P401" s="483">
        <v>1</v>
      </c>
      <c r="Q401" s="291">
        <f t="shared" si="56"/>
        <v>0</v>
      </c>
      <c r="R401" s="291">
        <f t="shared" si="57"/>
        <v>0</v>
      </c>
      <c r="S401" s="300">
        <f t="shared" si="52"/>
        <v>0</v>
      </c>
      <c r="T401" s="300">
        <f t="shared" si="53"/>
        <v>0</v>
      </c>
      <c r="U401" s="769" t="str">
        <f t="shared" si="54"/>
        <v>L</v>
      </c>
      <c r="V401" s="302"/>
      <c r="W401" s="303">
        <f>(Q401+R401)*'1.0-Contractblad'!$L$37</f>
        <v>0</v>
      </c>
      <c r="X401" s="303">
        <f ca="1">VLOOKUP(E401,'1.1a-Jaarprijzen'!$B$32:$Q$51,16,FALSE)*K401</f>
        <v>0</v>
      </c>
      <c r="Z401" s="771">
        <f t="shared" si="58"/>
        <v>9741.6</v>
      </c>
      <c r="AA401" s="491" t="str">
        <f t="shared" si="59"/>
        <v>18200-200</v>
      </c>
    </row>
    <row r="402" spans="2:27" s="489" customFormat="1" ht="15" hidden="1">
      <c r="B402" s="329"/>
      <c r="C402" s="330"/>
      <c r="D402" s="294">
        <f>VLOOKUP(E402,'1.1a-Jaarprijzen'!$B$13:$G$29,6,FALSE)</f>
        <v>3</v>
      </c>
      <c r="E402" s="768" t="s">
        <v>856</v>
      </c>
      <c r="F402" s="294" t="s">
        <v>387</v>
      </c>
      <c r="G402" s="295">
        <v>1</v>
      </c>
      <c r="H402" s="293" t="s">
        <v>394</v>
      </c>
      <c r="I402" s="296" t="str">
        <f t="shared" si="51"/>
        <v>entree, gang, hal, repro</v>
      </c>
      <c r="J402" s="294" t="s">
        <v>656</v>
      </c>
      <c r="K402" s="297">
        <v>7.9200000000000008</v>
      </c>
      <c r="L402" s="297"/>
      <c r="M402" s="298">
        <v>3200</v>
      </c>
      <c r="N402" s="299">
        <f t="shared" si="55"/>
        <v>200</v>
      </c>
      <c r="O402" s="483">
        <v>1</v>
      </c>
      <c r="P402" s="483">
        <v>1</v>
      </c>
      <c r="Q402" s="291">
        <f t="shared" si="56"/>
        <v>0</v>
      </c>
      <c r="R402" s="291">
        <f t="shared" si="57"/>
        <v>0</v>
      </c>
      <c r="S402" s="300">
        <f t="shared" si="52"/>
        <v>0</v>
      </c>
      <c r="T402" s="300">
        <f t="shared" si="53"/>
        <v>0</v>
      </c>
      <c r="U402" s="769" t="str">
        <f t="shared" si="54"/>
        <v>V</v>
      </c>
      <c r="V402" s="302"/>
      <c r="W402" s="303">
        <f>(Q402+R402)*'1.0-Contractblad'!$L$37</f>
        <v>0</v>
      </c>
      <c r="X402" s="303">
        <f ca="1">VLOOKUP(E402,'1.1a-Jaarprijzen'!$B$32:$Q$51,16,FALSE)*K402</f>
        <v>0</v>
      </c>
      <c r="Z402" s="771">
        <f t="shared" si="58"/>
        <v>1584.0000000000002</v>
      </c>
      <c r="AA402" s="491" t="str">
        <f t="shared" si="59"/>
        <v>3200-200</v>
      </c>
    </row>
    <row r="403" spans="2:27" s="489" customFormat="1" ht="15" hidden="1">
      <c r="B403" s="329"/>
      <c r="C403" s="330"/>
      <c r="D403" s="294">
        <f>VLOOKUP(E403,'1.1a-Jaarprijzen'!$B$13:$G$29,6,FALSE)</f>
        <v>3</v>
      </c>
      <c r="E403" s="768" t="s">
        <v>856</v>
      </c>
      <c r="F403" s="294" t="s">
        <v>387</v>
      </c>
      <c r="G403" s="295" t="s">
        <v>857</v>
      </c>
      <c r="H403" s="293" t="s">
        <v>858</v>
      </c>
      <c r="I403" s="296" t="str">
        <f t="shared" si="51"/>
        <v>aula, gemeenschappelijke ruimte, bibliotheek</v>
      </c>
      <c r="J403" s="294" t="s">
        <v>655</v>
      </c>
      <c r="K403" s="297">
        <v>49.058999999999997</v>
      </c>
      <c r="L403" s="297"/>
      <c r="M403" s="298">
        <v>2200</v>
      </c>
      <c r="N403" s="299">
        <f t="shared" si="55"/>
        <v>200</v>
      </c>
      <c r="O403" s="483">
        <v>1</v>
      </c>
      <c r="P403" s="483">
        <v>1</v>
      </c>
      <c r="Q403" s="291">
        <f t="shared" si="56"/>
        <v>0</v>
      </c>
      <c r="R403" s="291">
        <f t="shared" si="57"/>
        <v>0</v>
      </c>
      <c r="S403" s="300">
        <f t="shared" si="52"/>
        <v>0</v>
      </c>
      <c r="T403" s="300">
        <f t="shared" si="53"/>
        <v>0</v>
      </c>
      <c r="U403" s="769" t="str">
        <f t="shared" si="54"/>
        <v>V</v>
      </c>
      <c r="V403" s="302"/>
      <c r="W403" s="303">
        <f>(Q403+R403)*'1.0-Contractblad'!$L$37</f>
        <v>0</v>
      </c>
      <c r="X403" s="303">
        <f ca="1">VLOOKUP(E403,'1.1a-Jaarprijzen'!$B$32:$Q$51,16,FALSE)*K403</f>
        <v>0</v>
      </c>
      <c r="Z403" s="771">
        <f t="shared" si="58"/>
        <v>9811.7999999999993</v>
      </c>
      <c r="AA403" s="491" t="str">
        <f t="shared" si="59"/>
        <v>2200-200</v>
      </c>
    </row>
    <row r="404" spans="2:27" s="489" customFormat="1" ht="15" hidden="1">
      <c r="B404" s="329"/>
      <c r="C404" s="330"/>
      <c r="D404" s="294">
        <f>VLOOKUP(E404,'1.1a-Jaarprijzen'!$B$13:$G$29,6,FALSE)</f>
        <v>3</v>
      </c>
      <c r="E404" s="768" t="s">
        <v>856</v>
      </c>
      <c r="F404" s="294" t="s">
        <v>387</v>
      </c>
      <c r="G404" s="295" t="s">
        <v>859</v>
      </c>
      <c r="H404" s="293" t="s">
        <v>858</v>
      </c>
      <c r="I404" s="296" t="str">
        <f t="shared" si="51"/>
        <v>aula, gemeenschappelijke ruimte, bibliotheek</v>
      </c>
      <c r="J404" s="294" t="s">
        <v>655</v>
      </c>
      <c r="K404" s="297">
        <v>37.475999999999999</v>
      </c>
      <c r="L404" s="297"/>
      <c r="M404" s="298">
        <v>2200</v>
      </c>
      <c r="N404" s="299">
        <f t="shared" si="55"/>
        <v>200</v>
      </c>
      <c r="O404" s="483">
        <v>1</v>
      </c>
      <c r="P404" s="483">
        <v>1</v>
      </c>
      <c r="Q404" s="291">
        <f t="shared" si="56"/>
        <v>0</v>
      </c>
      <c r="R404" s="291">
        <f t="shared" si="57"/>
        <v>0</v>
      </c>
      <c r="S404" s="300">
        <f t="shared" si="52"/>
        <v>0</v>
      </c>
      <c r="T404" s="300">
        <f t="shared" si="53"/>
        <v>0</v>
      </c>
      <c r="U404" s="769" t="str">
        <f t="shared" si="54"/>
        <v>V</v>
      </c>
      <c r="V404" s="302" t="s">
        <v>1025</v>
      </c>
      <c r="W404" s="303">
        <f>(Q404+R404)*'1.0-Contractblad'!$L$37</f>
        <v>0</v>
      </c>
      <c r="X404" s="303">
        <f ca="1">VLOOKUP(E404,'1.1a-Jaarprijzen'!$B$32:$Q$51,16,FALSE)*K404</f>
        <v>0</v>
      </c>
      <c r="Z404" s="771">
        <f t="shared" si="58"/>
        <v>7495.2</v>
      </c>
      <c r="AA404" s="491" t="str">
        <f t="shared" si="59"/>
        <v>2200-200</v>
      </c>
    </row>
    <row r="405" spans="2:27" s="489" customFormat="1" ht="15" hidden="1">
      <c r="B405" s="329"/>
      <c r="C405" s="330"/>
      <c r="D405" s="294">
        <f>VLOOKUP(E405,'1.1a-Jaarprijzen'!$B$13:$G$29,6,FALSE)</f>
        <v>3</v>
      </c>
      <c r="E405" s="768" t="s">
        <v>856</v>
      </c>
      <c r="F405" s="294" t="s">
        <v>387</v>
      </c>
      <c r="G405" s="295" t="s">
        <v>860</v>
      </c>
      <c r="H405" s="293" t="s">
        <v>388</v>
      </c>
      <c r="I405" s="296" t="str">
        <f t="shared" si="51"/>
        <v>entree, gang, hal, repro</v>
      </c>
      <c r="J405" s="294" t="s">
        <v>655</v>
      </c>
      <c r="K405" s="297">
        <v>16.434000000000001</v>
      </c>
      <c r="L405" s="297"/>
      <c r="M405" s="298">
        <v>3200</v>
      </c>
      <c r="N405" s="299">
        <f t="shared" si="55"/>
        <v>200</v>
      </c>
      <c r="O405" s="483">
        <v>1</v>
      </c>
      <c r="P405" s="483">
        <v>1</v>
      </c>
      <c r="Q405" s="291">
        <f t="shared" si="56"/>
        <v>0</v>
      </c>
      <c r="R405" s="291">
        <f t="shared" si="57"/>
        <v>0</v>
      </c>
      <c r="S405" s="300">
        <f t="shared" si="52"/>
        <v>0</v>
      </c>
      <c r="T405" s="300">
        <f t="shared" si="53"/>
        <v>0</v>
      </c>
      <c r="U405" s="769" t="str">
        <f t="shared" si="54"/>
        <v>V</v>
      </c>
      <c r="V405" s="302"/>
      <c r="W405" s="303">
        <f>(Q405+R405)*'1.0-Contractblad'!$L$37</f>
        <v>0</v>
      </c>
      <c r="X405" s="303">
        <f ca="1">VLOOKUP(E405,'1.1a-Jaarprijzen'!$B$32:$Q$51,16,FALSE)*K405</f>
        <v>0</v>
      </c>
      <c r="Z405" s="771">
        <f t="shared" si="58"/>
        <v>3286.8</v>
      </c>
      <c r="AA405" s="491" t="str">
        <f t="shared" si="59"/>
        <v>3200-200</v>
      </c>
    </row>
    <row r="406" spans="2:27" s="489" customFormat="1" ht="15" hidden="1">
      <c r="B406" s="329"/>
      <c r="C406" s="330"/>
      <c r="D406" s="294">
        <f>VLOOKUP(E406,'1.1a-Jaarprijzen'!$B$13:$G$29,6,FALSE)</f>
        <v>3</v>
      </c>
      <c r="E406" s="768" t="s">
        <v>856</v>
      </c>
      <c r="F406" s="294" t="s">
        <v>387</v>
      </c>
      <c r="G406" s="295" t="s">
        <v>861</v>
      </c>
      <c r="H406" s="293" t="s">
        <v>862</v>
      </c>
      <c r="I406" s="296" t="str">
        <f t="shared" si="51"/>
        <v>entree, gang, hal, repro</v>
      </c>
      <c r="J406" s="297" t="s">
        <v>655</v>
      </c>
      <c r="K406" s="297">
        <v>126.702</v>
      </c>
      <c r="L406" s="297"/>
      <c r="M406" s="298">
        <v>3200</v>
      </c>
      <c r="N406" s="299">
        <f t="shared" si="55"/>
        <v>200</v>
      </c>
      <c r="O406" s="483">
        <v>1</v>
      </c>
      <c r="P406" s="483">
        <v>1</v>
      </c>
      <c r="Q406" s="291">
        <f t="shared" si="56"/>
        <v>0</v>
      </c>
      <c r="R406" s="291">
        <f t="shared" si="57"/>
        <v>0</v>
      </c>
      <c r="S406" s="300">
        <f t="shared" si="52"/>
        <v>0</v>
      </c>
      <c r="T406" s="300">
        <f t="shared" si="53"/>
        <v>0</v>
      </c>
      <c r="U406" s="769" t="str">
        <f t="shared" si="54"/>
        <v>V</v>
      </c>
      <c r="V406" s="302"/>
      <c r="W406" s="303">
        <f>(Q406+R406)*'1.0-Contractblad'!$L$37</f>
        <v>0</v>
      </c>
      <c r="X406" s="303">
        <f ca="1">VLOOKUP(E406,'1.1a-Jaarprijzen'!$B$32:$Q$51,16,FALSE)*K406</f>
        <v>0</v>
      </c>
      <c r="Z406" s="771">
        <f t="shared" si="58"/>
        <v>25340.400000000001</v>
      </c>
      <c r="AA406" s="491" t="str">
        <f t="shared" si="59"/>
        <v>3200-200</v>
      </c>
    </row>
    <row r="407" spans="2:27" s="489" customFormat="1" ht="15" hidden="1">
      <c r="B407" s="329"/>
      <c r="C407" s="330"/>
      <c r="D407" s="294">
        <f>VLOOKUP(E407,'1.1a-Jaarprijzen'!$B$13:$G$29,6,FALSE)</f>
        <v>3</v>
      </c>
      <c r="E407" s="768" t="s">
        <v>856</v>
      </c>
      <c r="F407" s="294" t="s">
        <v>387</v>
      </c>
      <c r="G407" s="295">
        <v>41</v>
      </c>
      <c r="H407" s="293" t="s">
        <v>396</v>
      </c>
      <c r="I407" s="296" t="str">
        <f t="shared" si="51"/>
        <v>pantry/keuken</v>
      </c>
      <c r="J407" s="297" t="s">
        <v>655</v>
      </c>
      <c r="K407" s="297">
        <v>8.8920000000000012</v>
      </c>
      <c r="L407" s="297"/>
      <c r="M407" s="298">
        <v>5200</v>
      </c>
      <c r="N407" s="299">
        <f t="shared" si="55"/>
        <v>200</v>
      </c>
      <c r="O407" s="483">
        <v>1</v>
      </c>
      <c r="P407" s="483">
        <v>1</v>
      </c>
      <c r="Q407" s="291">
        <f t="shared" si="56"/>
        <v>0</v>
      </c>
      <c r="R407" s="291">
        <f t="shared" si="57"/>
        <v>0</v>
      </c>
      <c r="S407" s="300">
        <f t="shared" si="52"/>
        <v>0</v>
      </c>
      <c r="T407" s="300">
        <f t="shared" si="53"/>
        <v>0</v>
      </c>
      <c r="U407" s="769" t="str">
        <f t="shared" si="54"/>
        <v>V</v>
      </c>
      <c r="V407" s="302"/>
      <c r="W407" s="303">
        <f>(Q407+R407)*'1.0-Contractblad'!$L$37</f>
        <v>0</v>
      </c>
      <c r="X407" s="303">
        <f ca="1">VLOOKUP(E407,'1.1a-Jaarprijzen'!$B$32:$Q$51,16,FALSE)*K407</f>
        <v>0</v>
      </c>
      <c r="Z407" s="771">
        <f t="shared" si="58"/>
        <v>1778.4000000000003</v>
      </c>
      <c r="AA407" s="491" t="str">
        <f t="shared" si="59"/>
        <v>5200-200</v>
      </c>
    </row>
    <row r="408" spans="2:27" s="489" customFormat="1" ht="15" hidden="1">
      <c r="B408" s="329"/>
      <c r="C408" s="330"/>
      <c r="D408" s="294">
        <f>VLOOKUP(E408,'1.1a-Jaarprijzen'!$B$13:$G$29,6,FALSE)</f>
        <v>3</v>
      </c>
      <c r="E408" s="768" t="s">
        <v>856</v>
      </c>
      <c r="F408" s="294" t="s">
        <v>387</v>
      </c>
      <c r="G408" s="295" t="s">
        <v>668</v>
      </c>
      <c r="H408" s="293" t="s">
        <v>418</v>
      </c>
      <c r="I408" s="296" t="str">
        <f t="shared" si="51"/>
        <v>lift</v>
      </c>
      <c r="J408" s="297" t="s">
        <v>657</v>
      </c>
      <c r="K408" s="297">
        <v>1.9800000000000002</v>
      </c>
      <c r="L408" s="297"/>
      <c r="M408" s="298">
        <v>10040</v>
      </c>
      <c r="N408" s="299">
        <f t="shared" si="55"/>
        <v>40</v>
      </c>
      <c r="O408" s="483">
        <v>1</v>
      </c>
      <c r="P408" s="483">
        <v>1</v>
      </c>
      <c r="Q408" s="291">
        <f t="shared" si="56"/>
        <v>0</v>
      </c>
      <c r="R408" s="291">
        <f t="shared" si="57"/>
        <v>0</v>
      </c>
      <c r="S408" s="300">
        <f t="shared" si="52"/>
        <v>0</v>
      </c>
      <c r="T408" s="300">
        <f t="shared" si="53"/>
        <v>0</v>
      </c>
      <c r="U408" s="769" t="str">
        <f t="shared" si="54"/>
        <v>V</v>
      </c>
      <c r="V408" s="302"/>
      <c r="W408" s="303">
        <f>(Q408+R408)*'1.0-Contractblad'!$L$37</f>
        <v>0</v>
      </c>
      <c r="X408" s="303">
        <f ca="1">VLOOKUP(E408,'1.1a-Jaarprijzen'!$B$32:$Q$51,16,FALSE)*K408</f>
        <v>0</v>
      </c>
      <c r="Z408" s="771">
        <f t="shared" si="58"/>
        <v>79.2</v>
      </c>
      <c r="AA408" s="491" t="str">
        <f t="shared" si="59"/>
        <v>10040-40</v>
      </c>
    </row>
    <row r="409" spans="2:27" s="489" customFormat="1" ht="15" hidden="1">
      <c r="B409" s="329"/>
      <c r="C409" s="330"/>
      <c r="D409" s="294">
        <f>VLOOKUP(E409,'1.1a-Jaarprijzen'!$B$13:$G$29,6,FALSE)</f>
        <v>3</v>
      </c>
      <c r="E409" s="768" t="s">
        <v>856</v>
      </c>
      <c r="F409" s="294" t="s">
        <v>387</v>
      </c>
      <c r="G409" s="295">
        <v>31</v>
      </c>
      <c r="H409" s="293" t="s">
        <v>394</v>
      </c>
      <c r="I409" s="296" t="str">
        <f t="shared" si="51"/>
        <v>entree, gang, hal, repro</v>
      </c>
      <c r="J409" s="294" t="s">
        <v>656</v>
      </c>
      <c r="K409" s="297">
        <v>3.1680000000000001</v>
      </c>
      <c r="L409" s="297"/>
      <c r="M409" s="298">
        <v>3200</v>
      </c>
      <c r="N409" s="299">
        <f t="shared" si="55"/>
        <v>200</v>
      </c>
      <c r="O409" s="483">
        <v>1</v>
      </c>
      <c r="P409" s="483">
        <v>1</v>
      </c>
      <c r="Q409" s="291">
        <f t="shared" si="56"/>
        <v>0</v>
      </c>
      <c r="R409" s="291">
        <f t="shared" si="57"/>
        <v>0</v>
      </c>
      <c r="S409" s="300">
        <f t="shared" si="52"/>
        <v>0</v>
      </c>
      <c r="T409" s="300">
        <f t="shared" si="53"/>
        <v>0</v>
      </c>
      <c r="U409" s="769" t="str">
        <f t="shared" si="54"/>
        <v>V</v>
      </c>
      <c r="V409" s="302" t="s">
        <v>1026</v>
      </c>
      <c r="W409" s="303">
        <f>(Q409+R409)*'1.0-Contractblad'!$L$37</f>
        <v>0</v>
      </c>
      <c r="X409" s="303">
        <f ca="1">VLOOKUP(E409,'1.1a-Jaarprijzen'!$B$32:$Q$51,16,FALSE)*K409</f>
        <v>0</v>
      </c>
      <c r="Z409" s="771">
        <f t="shared" si="58"/>
        <v>633.6</v>
      </c>
      <c r="AA409" s="491" t="str">
        <f t="shared" si="59"/>
        <v>3200-200</v>
      </c>
    </row>
    <row r="410" spans="2:27" s="489" customFormat="1" ht="15" hidden="1">
      <c r="B410" s="329"/>
      <c r="C410" s="330"/>
      <c r="D410" s="294">
        <f>VLOOKUP(E410,'1.1a-Jaarprijzen'!$B$13:$G$29,6,FALSE)</f>
        <v>3</v>
      </c>
      <c r="E410" s="768" t="s">
        <v>856</v>
      </c>
      <c r="F410" s="294" t="s">
        <v>387</v>
      </c>
      <c r="G410" s="295">
        <v>42</v>
      </c>
      <c r="H410" s="293" t="s">
        <v>394</v>
      </c>
      <c r="I410" s="296" t="str">
        <f t="shared" si="51"/>
        <v>entree, gang, hal, repro</v>
      </c>
      <c r="J410" s="294" t="s">
        <v>656</v>
      </c>
      <c r="K410" s="297">
        <v>4.806</v>
      </c>
      <c r="L410" s="297"/>
      <c r="M410" s="298">
        <v>3200</v>
      </c>
      <c r="N410" s="299">
        <f t="shared" si="55"/>
        <v>200</v>
      </c>
      <c r="O410" s="483">
        <v>1</v>
      </c>
      <c r="P410" s="483">
        <v>1</v>
      </c>
      <c r="Q410" s="291">
        <f t="shared" si="56"/>
        <v>0</v>
      </c>
      <c r="R410" s="291">
        <f t="shared" si="57"/>
        <v>0</v>
      </c>
      <c r="S410" s="300">
        <f t="shared" si="52"/>
        <v>0</v>
      </c>
      <c r="T410" s="300">
        <f t="shared" si="53"/>
        <v>0</v>
      </c>
      <c r="U410" s="769" t="str">
        <f t="shared" si="54"/>
        <v>V</v>
      </c>
      <c r="V410" s="302" t="s">
        <v>1026</v>
      </c>
      <c r="W410" s="303">
        <f>(Q410+R410)*'1.0-Contractblad'!$L$37</f>
        <v>0</v>
      </c>
      <c r="X410" s="303">
        <f ca="1">VLOOKUP(E410,'1.1a-Jaarprijzen'!$B$32:$Q$51,16,FALSE)*K410</f>
        <v>0</v>
      </c>
      <c r="Z410" s="771">
        <f t="shared" si="58"/>
        <v>961.2</v>
      </c>
      <c r="AA410" s="491" t="str">
        <f t="shared" si="59"/>
        <v>3200-200</v>
      </c>
    </row>
    <row r="411" spans="2:27" s="489" customFormat="1" ht="15" hidden="1">
      <c r="B411" s="329"/>
      <c r="C411" s="330"/>
      <c r="D411" s="294">
        <f>VLOOKUP(E411,'1.1a-Jaarprijzen'!$B$13:$G$29,6,FALSE)</f>
        <v>3</v>
      </c>
      <c r="E411" s="768" t="s">
        <v>856</v>
      </c>
      <c r="F411" s="294" t="s">
        <v>387</v>
      </c>
      <c r="G411" s="295">
        <v>24</v>
      </c>
      <c r="H411" s="293" t="s">
        <v>388</v>
      </c>
      <c r="I411" s="296" t="str">
        <f t="shared" si="51"/>
        <v>entree, gang, hal, repro</v>
      </c>
      <c r="J411" s="294" t="s">
        <v>655</v>
      </c>
      <c r="K411" s="297">
        <v>83.160000000000011</v>
      </c>
      <c r="L411" s="297"/>
      <c r="M411" s="298">
        <v>3200</v>
      </c>
      <c r="N411" s="299">
        <f t="shared" si="55"/>
        <v>200</v>
      </c>
      <c r="O411" s="483">
        <v>1</v>
      </c>
      <c r="P411" s="483">
        <v>1</v>
      </c>
      <c r="Q411" s="291">
        <f t="shared" si="56"/>
        <v>0</v>
      </c>
      <c r="R411" s="291">
        <f t="shared" si="57"/>
        <v>0</v>
      </c>
      <c r="S411" s="300">
        <f t="shared" si="52"/>
        <v>0</v>
      </c>
      <c r="T411" s="300">
        <f t="shared" si="53"/>
        <v>0</v>
      </c>
      <c r="U411" s="769" t="str">
        <f t="shared" si="54"/>
        <v>V</v>
      </c>
      <c r="V411" s="302" t="s">
        <v>1026</v>
      </c>
      <c r="W411" s="303">
        <f>(Q411+R411)*'1.0-Contractblad'!$L$37</f>
        <v>0</v>
      </c>
      <c r="X411" s="303">
        <f ca="1">VLOOKUP(E411,'1.1a-Jaarprijzen'!$B$32:$Q$51,16,FALSE)*K411</f>
        <v>0</v>
      </c>
      <c r="Z411" s="771">
        <f t="shared" si="58"/>
        <v>16632.000000000004</v>
      </c>
      <c r="AA411" s="491" t="str">
        <f t="shared" si="59"/>
        <v>3200-200</v>
      </c>
    </row>
    <row r="412" spans="2:27" s="489" customFormat="1" ht="15" hidden="1">
      <c r="B412" s="329"/>
      <c r="C412" s="330"/>
      <c r="D412" s="294">
        <f>VLOOKUP(E412,'1.1a-Jaarprijzen'!$B$13:$G$29,6,FALSE)</f>
        <v>3</v>
      </c>
      <c r="E412" s="768" t="s">
        <v>856</v>
      </c>
      <c r="F412" s="294" t="s">
        <v>387</v>
      </c>
      <c r="G412" s="295" t="s">
        <v>644</v>
      </c>
      <c r="H412" s="293" t="s">
        <v>388</v>
      </c>
      <c r="I412" s="296" t="str">
        <f t="shared" si="51"/>
        <v>entree, gang, hal, repro</v>
      </c>
      <c r="J412" s="294" t="s">
        <v>655</v>
      </c>
      <c r="K412" s="297">
        <v>76.481999999999999</v>
      </c>
      <c r="L412" s="297"/>
      <c r="M412" s="298">
        <v>3200</v>
      </c>
      <c r="N412" s="299">
        <f t="shared" si="55"/>
        <v>200</v>
      </c>
      <c r="O412" s="483">
        <v>1</v>
      </c>
      <c r="P412" s="483">
        <v>1</v>
      </c>
      <c r="Q412" s="291">
        <f t="shared" si="56"/>
        <v>0</v>
      </c>
      <c r="R412" s="291">
        <f t="shared" si="57"/>
        <v>0</v>
      </c>
      <c r="S412" s="300">
        <f t="shared" si="52"/>
        <v>0</v>
      </c>
      <c r="T412" s="300">
        <f t="shared" si="53"/>
        <v>0</v>
      </c>
      <c r="U412" s="769" t="str">
        <f t="shared" si="54"/>
        <v>V</v>
      </c>
      <c r="V412" s="302" t="s">
        <v>1026</v>
      </c>
      <c r="W412" s="303">
        <f>(Q412+R412)*'1.0-Contractblad'!$L$37</f>
        <v>0</v>
      </c>
      <c r="X412" s="303">
        <f ca="1">VLOOKUP(E412,'1.1a-Jaarprijzen'!$B$32:$Q$51,16,FALSE)*K412</f>
        <v>0</v>
      </c>
      <c r="Z412" s="771">
        <f t="shared" si="58"/>
        <v>15296.4</v>
      </c>
      <c r="AA412" s="491" t="str">
        <f t="shared" si="59"/>
        <v>3200-200</v>
      </c>
    </row>
    <row r="413" spans="2:27" s="489" customFormat="1" ht="15" hidden="1">
      <c r="B413" s="329"/>
      <c r="C413" s="330"/>
      <c r="D413" s="294">
        <f>VLOOKUP(E413,'1.1a-Jaarprijzen'!$B$13:$G$29,6,FALSE)</f>
        <v>3</v>
      </c>
      <c r="E413" s="768" t="s">
        <v>856</v>
      </c>
      <c r="F413" s="294" t="s">
        <v>387</v>
      </c>
      <c r="G413" s="295" t="s">
        <v>863</v>
      </c>
      <c r="H413" s="293" t="s">
        <v>402</v>
      </c>
      <c r="I413" s="296" t="str">
        <f t="shared" si="51"/>
        <v>trappenhuis</v>
      </c>
      <c r="J413" s="294" t="s">
        <v>655</v>
      </c>
      <c r="K413" s="297">
        <v>6.9300000000000006</v>
      </c>
      <c r="L413" s="297"/>
      <c r="M413" s="298">
        <v>9200</v>
      </c>
      <c r="N413" s="299">
        <f t="shared" si="55"/>
        <v>200</v>
      </c>
      <c r="O413" s="483">
        <v>1</v>
      </c>
      <c r="P413" s="483">
        <v>1</v>
      </c>
      <c r="Q413" s="291">
        <f t="shared" si="56"/>
        <v>0</v>
      </c>
      <c r="R413" s="291">
        <f t="shared" si="57"/>
        <v>0</v>
      </c>
      <c r="S413" s="300">
        <f t="shared" si="52"/>
        <v>0</v>
      </c>
      <c r="T413" s="300">
        <f t="shared" si="53"/>
        <v>0</v>
      </c>
      <c r="U413" s="769" t="str">
        <f t="shared" si="54"/>
        <v>V</v>
      </c>
      <c r="V413" s="302" t="s">
        <v>1026</v>
      </c>
      <c r="W413" s="303">
        <f>(Q413+R413)*'1.0-Contractblad'!$L$37</f>
        <v>0</v>
      </c>
      <c r="X413" s="303">
        <f ca="1">VLOOKUP(E413,'1.1a-Jaarprijzen'!$B$32:$Q$51,16,FALSE)*K413</f>
        <v>0</v>
      </c>
      <c r="Z413" s="771">
        <f t="shared" si="58"/>
        <v>1386.0000000000002</v>
      </c>
      <c r="AA413" s="491" t="str">
        <f t="shared" si="59"/>
        <v>9200-200</v>
      </c>
    </row>
    <row r="414" spans="2:27" s="489" customFormat="1" ht="15" hidden="1">
      <c r="B414" s="329"/>
      <c r="C414" s="330"/>
      <c r="D414" s="294">
        <f>VLOOKUP(E414,'1.1a-Jaarprijzen'!$B$13:$G$29,6,FALSE)</f>
        <v>3</v>
      </c>
      <c r="E414" s="768" t="s">
        <v>856</v>
      </c>
      <c r="F414" s="294" t="s">
        <v>387</v>
      </c>
      <c r="G414" s="295" t="s">
        <v>567</v>
      </c>
      <c r="H414" s="293" t="s">
        <v>730</v>
      </c>
      <c r="I414" s="296" t="str">
        <f t="shared" si="51"/>
        <v>aula, gemeenschappelijke ruimte, bibliotheek</v>
      </c>
      <c r="J414" s="294" t="s">
        <v>655</v>
      </c>
      <c r="K414" s="297">
        <v>55.791000000000004</v>
      </c>
      <c r="L414" s="297"/>
      <c r="M414" s="298">
        <v>2200</v>
      </c>
      <c r="N414" s="299">
        <f t="shared" si="55"/>
        <v>200</v>
      </c>
      <c r="O414" s="483">
        <v>1</v>
      </c>
      <c r="P414" s="483">
        <v>1</v>
      </c>
      <c r="Q414" s="291">
        <f t="shared" si="56"/>
        <v>0</v>
      </c>
      <c r="R414" s="291">
        <f t="shared" si="57"/>
        <v>0</v>
      </c>
      <c r="S414" s="300">
        <f t="shared" ref="S414:S477" si="60">IF($M414=0,0,VLOOKUP($M414,Kengetal,6,FALSE))</f>
        <v>0</v>
      </c>
      <c r="T414" s="300">
        <f t="shared" ref="T414:T477" si="61">IF($M414=0,0,VLOOKUP($M414,Kengetal,7,FALSE))</f>
        <v>0</v>
      </c>
      <c r="U414" s="769" t="str">
        <f t="shared" si="54"/>
        <v>V</v>
      </c>
      <c r="V414" s="302" t="s">
        <v>1026</v>
      </c>
      <c r="W414" s="303">
        <f>(Q414+R414)*'1.0-Contractblad'!$L$37</f>
        <v>0</v>
      </c>
      <c r="X414" s="303">
        <f ca="1">VLOOKUP(E414,'1.1a-Jaarprijzen'!$B$32:$Q$51,16,FALSE)*K414</f>
        <v>0</v>
      </c>
      <c r="Z414" s="771">
        <f t="shared" si="58"/>
        <v>11158.2</v>
      </c>
      <c r="AA414" s="491" t="str">
        <f t="shared" si="59"/>
        <v>2200-200</v>
      </c>
    </row>
    <row r="415" spans="2:27" s="489" customFormat="1" ht="15" hidden="1">
      <c r="B415" s="329"/>
      <c r="C415" s="330"/>
      <c r="D415" s="294">
        <f>VLOOKUP(E415,'1.1a-Jaarprijzen'!$B$13:$G$29,6,FALSE)</f>
        <v>3</v>
      </c>
      <c r="E415" s="768" t="s">
        <v>856</v>
      </c>
      <c r="F415" s="294" t="s">
        <v>387</v>
      </c>
      <c r="G415" s="295" t="s">
        <v>706</v>
      </c>
      <c r="H415" s="293" t="s">
        <v>388</v>
      </c>
      <c r="I415" s="296" t="str">
        <f t="shared" si="51"/>
        <v>entree, gang, hal, repro</v>
      </c>
      <c r="J415" s="294" t="s">
        <v>655</v>
      </c>
      <c r="K415" s="297">
        <v>77.22</v>
      </c>
      <c r="L415" s="297"/>
      <c r="M415" s="298">
        <v>3200</v>
      </c>
      <c r="N415" s="299">
        <f t="shared" si="55"/>
        <v>200</v>
      </c>
      <c r="O415" s="483">
        <v>1</v>
      </c>
      <c r="P415" s="483">
        <v>1</v>
      </c>
      <c r="Q415" s="291">
        <f t="shared" si="56"/>
        <v>0</v>
      </c>
      <c r="R415" s="291">
        <f t="shared" si="57"/>
        <v>0</v>
      </c>
      <c r="S415" s="300">
        <f t="shared" si="60"/>
        <v>0</v>
      </c>
      <c r="T415" s="300">
        <f t="shared" si="61"/>
        <v>0</v>
      </c>
      <c r="U415" s="769" t="str">
        <f t="shared" si="54"/>
        <v>V</v>
      </c>
      <c r="V415" s="302" t="s">
        <v>1026</v>
      </c>
      <c r="W415" s="303">
        <f>(Q415+R415)*'1.0-Contractblad'!$L$37</f>
        <v>0</v>
      </c>
      <c r="X415" s="303">
        <f ca="1">VLOOKUP(E415,'1.1a-Jaarprijzen'!$B$32:$Q$51,16,FALSE)*K415</f>
        <v>0</v>
      </c>
      <c r="Z415" s="771">
        <f t="shared" si="58"/>
        <v>15444</v>
      </c>
      <c r="AA415" s="491" t="str">
        <f t="shared" si="59"/>
        <v>3200-200</v>
      </c>
    </row>
    <row r="416" spans="2:27" s="489" customFormat="1" ht="15" hidden="1">
      <c r="B416" s="329"/>
      <c r="C416" s="330"/>
      <c r="D416" s="294">
        <f>VLOOKUP(E416,'1.1a-Jaarprijzen'!$B$13:$G$29,6,FALSE)</f>
        <v>3</v>
      </c>
      <c r="E416" s="768" t="s">
        <v>856</v>
      </c>
      <c r="F416" s="294" t="s">
        <v>387</v>
      </c>
      <c r="G416" s="295" t="s">
        <v>710</v>
      </c>
      <c r="H416" s="293" t="s">
        <v>402</v>
      </c>
      <c r="I416" s="296" t="str">
        <f t="shared" si="51"/>
        <v>trappenhuis</v>
      </c>
      <c r="J416" s="294" t="s">
        <v>655</v>
      </c>
      <c r="K416" s="297">
        <v>21.501000000000001</v>
      </c>
      <c r="L416" s="297"/>
      <c r="M416" s="298">
        <v>9200</v>
      </c>
      <c r="N416" s="299">
        <f t="shared" si="55"/>
        <v>200</v>
      </c>
      <c r="O416" s="483">
        <v>1</v>
      </c>
      <c r="P416" s="483">
        <v>1</v>
      </c>
      <c r="Q416" s="291">
        <f t="shared" si="56"/>
        <v>0</v>
      </c>
      <c r="R416" s="291">
        <f t="shared" si="57"/>
        <v>0</v>
      </c>
      <c r="S416" s="300">
        <f t="shared" si="60"/>
        <v>0</v>
      </c>
      <c r="T416" s="300">
        <f t="shared" si="61"/>
        <v>0</v>
      </c>
      <c r="U416" s="769" t="str">
        <f t="shared" si="54"/>
        <v>V</v>
      </c>
      <c r="V416" s="302"/>
      <c r="W416" s="303">
        <f>(Q416+R416)*'1.0-Contractblad'!$L$37</f>
        <v>0</v>
      </c>
      <c r="X416" s="303">
        <f ca="1">VLOOKUP(E416,'1.1a-Jaarprijzen'!$B$32:$Q$51,16,FALSE)*K416</f>
        <v>0</v>
      </c>
      <c r="Z416" s="771">
        <f t="shared" si="58"/>
        <v>4300.2</v>
      </c>
      <c r="AA416" s="491" t="str">
        <f t="shared" si="59"/>
        <v>9200-200</v>
      </c>
    </row>
    <row r="417" spans="2:27" s="489" customFormat="1" ht="15" hidden="1">
      <c r="B417" s="329"/>
      <c r="C417" s="330"/>
      <c r="D417" s="294">
        <f>VLOOKUP(E417,'1.1a-Jaarprijzen'!$B$13:$G$29,6,FALSE)</f>
        <v>3</v>
      </c>
      <c r="E417" s="768" t="s">
        <v>856</v>
      </c>
      <c r="F417" s="294" t="s">
        <v>387</v>
      </c>
      <c r="G417" s="295">
        <v>3</v>
      </c>
      <c r="H417" s="293" t="s">
        <v>864</v>
      </c>
      <c r="I417" s="296" t="str">
        <f t="shared" si="51"/>
        <v>sanitaire ruimte (toilet-/doucheruimte)</v>
      </c>
      <c r="J417" s="294" t="s">
        <v>461</v>
      </c>
      <c r="K417" s="297">
        <v>2.7989999999999999</v>
      </c>
      <c r="L417" s="297"/>
      <c r="M417" s="298">
        <v>4200</v>
      </c>
      <c r="N417" s="299">
        <f t="shared" si="55"/>
        <v>200</v>
      </c>
      <c r="O417" s="483">
        <v>1</v>
      </c>
      <c r="P417" s="483">
        <v>1</v>
      </c>
      <c r="Q417" s="291">
        <f t="shared" si="56"/>
        <v>0</v>
      </c>
      <c r="R417" s="291">
        <f t="shared" si="57"/>
        <v>0</v>
      </c>
      <c r="S417" s="300">
        <f t="shared" si="60"/>
        <v>0</v>
      </c>
      <c r="T417" s="300">
        <f t="shared" si="61"/>
        <v>0</v>
      </c>
      <c r="U417" s="769" t="str">
        <f t="shared" si="54"/>
        <v>S</v>
      </c>
      <c r="V417" s="302"/>
      <c r="W417" s="303">
        <f>(Q417+R417)*'1.0-Contractblad'!$L$37</f>
        <v>0</v>
      </c>
      <c r="X417" s="303">
        <f ca="1">VLOOKUP(E417,'1.1a-Jaarprijzen'!$B$32:$Q$51,16,FALSE)*K417</f>
        <v>0</v>
      </c>
      <c r="Z417" s="771">
        <f t="shared" si="58"/>
        <v>559.79999999999995</v>
      </c>
      <c r="AA417" s="491" t="str">
        <f t="shared" si="59"/>
        <v>4200-200</v>
      </c>
    </row>
    <row r="418" spans="2:27" s="489" customFormat="1" ht="15" hidden="1">
      <c r="B418" s="329"/>
      <c r="C418" s="330"/>
      <c r="D418" s="294">
        <f>VLOOKUP(E418,'1.1a-Jaarprijzen'!$B$13:$G$29,6,FALSE)</f>
        <v>3</v>
      </c>
      <c r="E418" s="768" t="s">
        <v>856</v>
      </c>
      <c r="F418" s="294" t="s">
        <v>387</v>
      </c>
      <c r="G418" s="295">
        <v>4</v>
      </c>
      <c r="H418" s="293" t="s">
        <v>864</v>
      </c>
      <c r="I418" s="296" t="str">
        <f t="shared" si="51"/>
        <v>sanitaire ruimte (toilet-/doucheruimte)</v>
      </c>
      <c r="J418" s="294" t="s">
        <v>461</v>
      </c>
      <c r="K418" s="297">
        <v>2.3040000000000003</v>
      </c>
      <c r="L418" s="297"/>
      <c r="M418" s="298">
        <v>4200</v>
      </c>
      <c r="N418" s="299">
        <f t="shared" si="55"/>
        <v>200</v>
      </c>
      <c r="O418" s="483">
        <v>1</v>
      </c>
      <c r="P418" s="483">
        <v>1</v>
      </c>
      <c r="Q418" s="291">
        <f t="shared" si="56"/>
        <v>0</v>
      </c>
      <c r="R418" s="291">
        <f t="shared" si="57"/>
        <v>0</v>
      </c>
      <c r="S418" s="300">
        <f t="shared" si="60"/>
        <v>0</v>
      </c>
      <c r="T418" s="300">
        <f t="shared" si="61"/>
        <v>0</v>
      </c>
      <c r="U418" s="769" t="str">
        <f t="shared" si="54"/>
        <v>S</v>
      </c>
      <c r="V418" s="302"/>
      <c r="W418" s="303">
        <f>(Q418+R418)*'1.0-Contractblad'!$L$37</f>
        <v>0</v>
      </c>
      <c r="X418" s="303">
        <f ca="1">VLOOKUP(E418,'1.1a-Jaarprijzen'!$B$32:$Q$51,16,FALSE)*K418</f>
        <v>0</v>
      </c>
      <c r="Z418" s="771">
        <f t="shared" si="58"/>
        <v>460.80000000000007</v>
      </c>
      <c r="AA418" s="491" t="str">
        <f t="shared" si="59"/>
        <v>4200-200</v>
      </c>
    </row>
    <row r="419" spans="2:27" s="489" customFormat="1" ht="15" hidden="1">
      <c r="B419" s="329"/>
      <c r="C419" s="330"/>
      <c r="D419" s="294">
        <f>VLOOKUP(E419,'1.1a-Jaarprijzen'!$B$13:$G$29,6,FALSE)</f>
        <v>3</v>
      </c>
      <c r="E419" s="768" t="s">
        <v>856</v>
      </c>
      <c r="F419" s="294" t="s">
        <v>387</v>
      </c>
      <c r="G419" s="295">
        <v>5</v>
      </c>
      <c r="H419" s="293" t="s">
        <v>864</v>
      </c>
      <c r="I419" s="296" t="str">
        <f t="shared" si="51"/>
        <v>sanitaire ruimte (toilet-/doucheruimte)</v>
      </c>
      <c r="J419" s="294" t="s">
        <v>461</v>
      </c>
      <c r="K419" s="297">
        <v>4.4550000000000001</v>
      </c>
      <c r="L419" s="297"/>
      <c r="M419" s="298">
        <v>4200</v>
      </c>
      <c r="N419" s="299">
        <f t="shared" si="55"/>
        <v>200</v>
      </c>
      <c r="O419" s="483">
        <v>1</v>
      </c>
      <c r="P419" s="483">
        <v>1</v>
      </c>
      <c r="Q419" s="291">
        <f t="shared" si="56"/>
        <v>0</v>
      </c>
      <c r="R419" s="291">
        <f t="shared" si="57"/>
        <v>0</v>
      </c>
      <c r="S419" s="300">
        <f t="shared" si="60"/>
        <v>0</v>
      </c>
      <c r="T419" s="300">
        <f t="shared" si="61"/>
        <v>0</v>
      </c>
      <c r="U419" s="769" t="str">
        <f t="shared" si="54"/>
        <v>S</v>
      </c>
      <c r="V419" s="302"/>
      <c r="W419" s="303">
        <f>(Q419+R419)*'1.0-Contractblad'!$L$37</f>
        <v>0</v>
      </c>
      <c r="X419" s="303">
        <f ca="1">VLOOKUP(E419,'1.1a-Jaarprijzen'!$B$32:$Q$51,16,FALSE)*K419</f>
        <v>0</v>
      </c>
      <c r="Z419" s="771">
        <f t="shared" si="58"/>
        <v>891</v>
      </c>
      <c r="AA419" s="491" t="str">
        <f t="shared" si="59"/>
        <v>4200-200</v>
      </c>
    </row>
    <row r="420" spans="2:27" s="489" customFormat="1" ht="15" hidden="1">
      <c r="B420" s="329"/>
      <c r="C420" s="330"/>
      <c r="D420" s="294">
        <f>VLOOKUP(E420,'1.1a-Jaarprijzen'!$B$13:$G$29,6,FALSE)</f>
        <v>3</v>
      </c>
      <c r="E420" s="768" t="s">
        <v>856</v>
      </c>
      <c r="F420" s="294" t="s">
        <v>387</v>
      </c>
      <c r="G420" s="295">
        <v>6</v>
      </c>
      <c r="H420" s="293" t="s">
        <v>864</v>
      </c>
      <c r="I420" s="296" t="str">
        <f t="shared" si="51"/>
        <v>sanitaire ruimte (toilet-/doucheruimte)</v>
      </c>
      <c r="J420" s="294" t="s">
        <v>461</v>
      </c>
      <c r="K420" s="297">
        <v>4.4550000000000001</v>
      </c>
      <c r="L420" s="297"/>
      <c r="M420" s="298">
        <v>4200</v>
      </c>
      <c r="N420" s="299">
        <f t="shared" si="55"/>
        <v>200</v>
      </c>
      <c r="O420" s="483">
        <v>1</v>
      </c>
      <c r="P420" s="483">
        <v>1</v>
      </c>
      <c r="Q420" s="291">
        <f t="shared" si="56"/>
        <v>0</v>
      </c>
      <c r="R420" s="291">
        <f t="shared" si="57"/>
        <v>0</v>
      </c>
      <c r="S420" s="300">
        <f t="shared" si="60"/>
        <v>0</v>
      </c>
      <c r="T420" s="300">
        <f t="shared" si="61"/>
        <v>0</v>
      </c>
      <c r="U420" s="769" t="str">
        <f t="shared" si="54"/>
        <v>S</v>
      </c>
      <c r="V420" s="302"/>
      <c r="W420" s="303">
        <f>(Q420+R420)*'1.0-Contractblad'!$L$37</f>
        <v>0</v>
      </c>
      <c r="X420" s="303">
        <f ca="1">VLOOKUP(E420,'1.1a-Jaarprijzen'!$B$32:$Q$51,16,FALSE)*K420</f>
        <v>0</v>
      </c>
      <c r="Z420" s="771">
        <f t="shared" si="58"/>
        <v>891</v>
      </c>
      <c r="AA420" s="491" t="str">
        <f t="shared" si="59"/>
        <v>4200-200</v>
      </c>
    </row>
    <row r="421" spans="2:27" s="489" customFormat="1" ht="15" hidden="1">
      <c r="B421" s="329"/>
      <c r="C421" s="330"/>
      <c r="D421" s="294">
        <f>VLOOKUP(E421,'1.1a-Jaarprijzen'!$B$13:$G$29,6,FALSE)</f>
        <v>3</v>
      </c>
      <c r="E421" s="768" t="s">
        <v>856</v>
      </c>
      <c r="F421" s="294" t="s">
        <v>387</v>
      </c>
      <c r="G421" s="295">
        <v>34</v>
      </c>
      <c r="H421" s="293" t="s">
        <v>864</v>
      </c>
      <c r="I421" s="296" t="str">
        <f t="shared" si="51"/>
        <v>sanitaire ruimte (toilet-/doucheruimte)</v>
      </c>
      <c r="J421" s="294" t="s">
        <v>461</v>
      </c>
      <c r="K421" s="297">
        <v>1.341</v>
      </c>
      <c r="L421" s="297"/>
      <c r="M421" s="298">
        <v>4200</v>
      </c>
      <c r="N421" s="299">
        <f t="shared" si="55"/>
        <v>200</v>
      </c>
      <c r="O421" s="483">
        <v>1</v>
      </c>
      <c r="P421" s="483">
        <v>1</v>
      </c>
      <c r="Q421" s="291">
        <f t="shared" si="56"/>
        <v>0</v>
      </c>
      <c r="R421" s="291">
        <f t="shared" si="57"/>
        <v>0</v>
      </c>
      <c r="S421" s="300">
        <f t="shared" si="60"/>
        <v>0</v>
      </c>
      <c r="T421" s="300">
        <f t="shared" si="61"/>
        <v>0</v>
      </c>
      <c r="U421" s="769" t="str">
        <f t="shared" ref="U421:U484" si="62">IF(M421="","",VLOOKUP(M421,Kengetal,14,FALSE))</f>
        <v>S</v>
      </c>
      <c r="V421" s="302"/>
      <c r="W421" s="303">
        <f>(Q421+R421)*'1.0-Contractblad'!$L$37</f>
        <v>0</v>
      </c>
      <c r="X421" s="303">
        <f ca="1">VLOOKUP(E421,'1.1a-Jaarprijzen'!$B$32:$Q$51,16,FALSE)*K421</f>
        <v>0</v>
      </c>
      <c r="Z421" s="771">
        <f t="shared" si="58"/>
        <v>268.2</v>
      </c>
      <c r="AA421" s="491" t="str">
        <f t="shared" si="59"/>
        <v>4200-200</v>
      </c>
    </row>
    <row r="422" spans="2:27" s="489" customFormat="1" ht="15" hidden="1">
      <c r="B422" s="329"/>
      <c r="C422" s="330"/>
      <c r="D422" s="294">
        <f>VLOOKUP(E422,'1.1a-Jaarprijzen'!$B$13:$G$29,6,FALSE)</f>
        <v>3</v>
      </c>
      <c r="E422" s="768" t="s">
        <v>856</v>
      </c>
      <c r="F422" s="294" t="s">
        <v>387</v>
      </c>
      <c r="G422" s="295">
        <v>37</v>
      </c>
      <c r="H422" s="293" t="s">
        <v>864</v>
      </c>
      <c r="I422" s="296" t="str">
        <f t="shared" si="51"/>
        <v>sanitaire ruimte (toilet-/doucheruimte)</v>
      </c>
      <c r="J422" s="294" t="s">
        <v>461</v>
      </c>
      <c r="K422" s="297">
        <v>1.2689999999999999</v>
      </c>
      <c r="L422" s="297"/>
      <c r="M422" s="298">
        <v>4200</v>
      </c>
      <c r="N422" s="299">
        <f t="shared" ref="N422:N485" si="63">VLOOKUP(M422,Kengetal,3,FALSE)</f>
        <v>200</v>
      </c>
      <c r="O422" s="483">
        <v>1</v>
      </c>
      <c r="P422" s="483">
        <v>1</v>
      </c>
      <c r="Q422" s="291">
        <f t="shared" ref="Q422:Q485" si="64">S422*K422*O422</f>
        <v>0</v>
      </c>
      <c r="R422" s="291">
        <f t="shared" ref="R422:R485" si="65">T422*K422*P422</f>
        <v>0</v>
      </c>
      <c r="S422" s="300">
        <f t="shared" si="60"/>
        <v>0</v>
      </c>
      <c r="T422" s="300">
        <f t="shared" si="61"/>
        <v>0</v>
      </c>
      <c r="U422" s="769" t="str">
        <f t="shared" si="62"/>
        <v>S</v>
      </c>
      <c r="V422" s="302"/>
      <c r="W422" s="303">
        <f>(Q422+R422)*'1.0-Contractblad'!$L$37</f>
        <v>0</v>
      </c>
      <c r="X422" s="303">
        <f ca="1">VLOOKUP(E422,'1.1a-Jaarprijzen'!$B$32:$Q$51,16,FALSE)*K422</f>
        <v>0</v>
      </c>
      <c r="Z422" s="771">
        <f t="shared" ref="Z422:Z485" si="66">K422*N422</f>
        <v>253.79999999999998</v>
      </c>
      <c r="AA422" s="491" t="str">
        <f t="shared" ref="AA422:AA485" si="67">CONCATENATE(M422,"-",N422)</f>
        <v>4200-200</v>
      </c>
    </row>
    <row r="423" spans="2:27" s="489" customFormat="1" ht="15" hidden="1">
      <c r="B423" s="329"/>
      <c r="C423" s="330"/>
      <c r="D423" s="294">
        <f>VLOOKUP(E423,'1.1a-Jaarprijzen'!$B$13:$G$29,6,FALSE)</f>
        <v>3</v>
      </c>
      <c r="E423" s="768" t="s">
        <v>856</v>
      </c>
      <c r="F423" s="294" t="s">
        <v>387</v>
      </c>
      <c r="G423" s="295" t="s">
        <v>865</v>
      </c>
      <c r="H423" s="293" t="s">
        <v>864</v>
      </c>
      <c r="I423" s="296" t="str">
        <f t="shared" si="51"/>
        <v>sanitaire ruimte (toilet-/doucheruimte)</v>
      </c>
      <c r="J423" s="294" t="s">
        <v>461</v>
      </c>
      <c r="K423" s="297">
        <v>4.4550000000000001</v>
      </c>
      <c r="L423" s="297"/>
      <c r="M423" s="298">
        <v>4200</v>
      </c>
      <c r="N423" s="299">
        <f t="shared" si="63"/>
        <v>200</v>
      </c>
      <c r="O423" s="483">
        <v>1</v>
      </c>
      <c r="P423" s="483">
        <v>1</v>
      </c>
      <c r="Q423" s="291">
        <f t="shared" si="64"/>
        <v>0</v>
      </c>
      <c r="R423" s="291">
        <f t="shared" si="65"/>
        <v>0</v>
      </c>
      <c r="S423" s="300">
        <f t="shared" si="60"/>
        <v>0</v>
      </c>
      <c r="T423" s="300">
        <f t="shared" si="61"/>
        <v>0</v>
      </c>
      <c r="U423" s="769" t="str">
        <f t="shared" si="62"/>
        <v>S</v>
      </c>
      <c r="V423" s="302"/>
      <c r="W423" s="303">
        <f>(Q423+R423)*'1.0-Contractblad'!$L$37</f>
        <v>0</v>
      </c>
      <c r="X423" s="303">
        <f ca="1">VLOOKUP(E423,'1.1a-Jaarprijzen'!$B$32:$Q$51,16,FALSE)*K423</f>
        <v>0</v>
      </c>
      <c r="Z423" s="771">
        <f t="shared" si="66"/>
        <v>891</v>
      </c>
      <c r="AA423" s="491" t="str">
        <f t="shared" si="67"/>
        <v>4200-200</v>
      </c>
    </row>
    <row r="424" spans="2:27" s="489" customFormat="1" ht="15" hidden="1">
      <c r="B424" s="329"/>
      <c r="C424" s="330"/>
      <c r="D424" s="294">
        <f>VLOOKUP(E424,'1.1a-Jaarprijzen'!$B$13:$G$29,6,FALSE)</f>
        <v>3</v>
      </c>
      <c r="E424" s="768" t="s">
        <v>856</v>
      </c>
      <c r="F424" s="294" t="s">
        <v>387</v>
      </c>
      <c r="G424" s="295" t="s">
        <v>866</v>
      </c>
      <c r="H424" s="293" t="s">
        <v>864</v>
      </c>
      <c r="I424" s="296" t="str">
        <f t="shared" si="51"/>
        <v>sanitaire ruimte (toilet-/doucheruimte)</v>
      </c>
      <c r="J424" s="294" t="s">
        <v>461</v>
      </c>
      <c r="K424" s="297">
        <v>4.4550000000000001</v>
      </c>
      <c r="L424" s="297"/>
      <c r="M424" s="298">
        <v>4200</v>
      </c>
      <c r="N424" s="299">
        <f t="shared" si="63"/>
        <v>200</v>
      </c>
      <c r="O424" s="483">
        <v>1</v>
      </c>
      <c r="P424" s="483">
        <v>1</v>
      </c>
      <c r="Q424" s="291">
        <f t="shared" si="64"/>
        <v>0</v>
      </c>
      <c r="R424" s="291">
        <f t="shared" si="65"/>
        <v>0</v>
      </c>
      <c r="S424" s="300">
        <f t="shared" si="60"/>
        <v>0</v>
      </c>
      <c r="T424" s="300">
        <f t="shared" si="61"/>
        <v>0</v>
      </c>
      <c r="U424" s="769" t="str">
        <f t="shared" si="62"/>
        <v>S</v>
      </c>
      <c r="V424" s="302"/>
      <c r="W424" s="303">
        <f>(Q424+R424)*'1.0-Contractblad'!$L$37</f>
        <v>0</v>
      </c>
      <c r="X424" s="303">
        <f ca="1">VLOOKUP(E424,'1.1a-Jaarprijzen'!$B$32:$Q$51,16,FALSE)*K424</f>
        <v>0</v>
      </c>
      <c r="Z424" s="771">
        <f t="shared" si="66"/>
        <v>891</v>
      </c>
      <c r="AA424" s="491" t="str">
        <f t="shared" si="67"/>
        <v>4200-200</v>
      </c>
    </row>
    <row r="425" spans="2:27" s="489" customFormat="1" ht="15" hidden="1">
      <c r="B425" s="329"/>
      <c r="C425" s="330"/>
      <c r="D425" s="294">
        <f>VLOOKUP(E425,'1.1a-Jaarprijzen'!$B$13:$G$29,6,FALSE)</f>
        <v>3</v>
      </c>
      <c r="E425" s="768" t="s">
        <v>856</v>
      </c>
      <c r="F425" s="294" t="s">
        <v>387</v>
      </c>
      <c r="G425" s="295">
        <v>19</v>
      </c>
      <c r="H425" s="293" t="s">
        <v>864</v>
      </c>
      <c r="I425" s="296" t="str">
        <f t="shared" si="51"/>
        <v>sanitaire ruimte (toilet-/doucheruimte)</v>
      </c>
      <c r="J425" s="294" t="s">
        <v>461</v>
      </c>
      <c r="K425" s="297">
        <v>4.4550000000000001</v>
      </c>
      <c r="L425" s="297"/>
      <c r="M425" s="298">
        <v>4200</v>
      </c>
      <c r="N425" s="299">
        <f t="shared" si="63"/>
        <v>200</v>
      </c>
      <c r="O425" s="483">
        <v>1</v>
      </c>
      <c r="P425" s="483">
        <v>1</v>
      </c>
      <c r="Q425" s="291">
        <f t="shared" si="64"/>
        <v>0</v>
      </c>
      <c r="R425" s="291">
        <f t="shared" si="65"/>
        <v>0</v>
      </c>
      <c r="S425" s="300">
        <f t="shared" si="60"/>
        <v>0</v>
      </c>
      <c r="T425" s="300">
        <f t="shared" si="61"/>
        <v>0</v>
      </c>
      <c r="U425" s="769" t="str">
        <f t="shared" si="62"/>
        <v>S</v>
      </c>
      <c r="V425" s="302"/>
      <c r="W425" s="303">
        <f>(Q425+R425)*'1.0-Contractblad'!$L$37</f>
        <v>0</v>
      </c>
      <c r="X425" s="303">
        <f ca="1">VLOOKUP(E425,'1.1a-Jaarprijzen'!$B$32:$Q$51,16,FALSE)*K425</f>
        <v>0</v>
      </c>
      <c r="Z425" s="771">
        <f t="shared" si="66"/>
        <v>891</v>
      </c>
      <c r="AA425" s="491" t="str">
        <f t="shared" si="67"/>
        <v>4200-200</v>
      </c>
    </row>
    <row r="426" spans="2:27" s="489" customFormat="1" ht="15" hidden="1">
      <c r="B426" s="329"/>
      <c r="C426" s="330"/>
      <c r="D426" s="294">
        <f>VLOOKUP(E426,'1.1a-Jaarprijzen'!$B$13:$G$29,6,FALSE)</f>
        <v>3</v>
      </c>
      <c r="E426" s="768" t="s">
        <v>856</v>
      </c>
      <c r="F426" s="294" t="s">
        <v>387</v>
      </c>
      <c r="G426" s="295" t="s">
        <v>867</v>
      </c>
      <c r="H426" s="293" t="s">
        <v>864</v>
      </c>
      <c r="I426" s="296" t="str">
        <f t="shared" si="51"/>
        <v>sanitaire ruimte (toilet-/doucheruimte)</v>
      </c>
      <c r="J426" s="294" t="s">
        <v>461</v>
      </c>
      <c r="K426" s="297">
        <v>4.4550000000000001</v>
      </c>
      <c r="L426" s="297"/>
      <c r="M426" s="298">
        <v>4200</v>
      </c>
      <c r="N426" s="299">
        <f t="shared" si="63"/>
        <v>200</v>
      </c>
      <c r="O426" s="483">
        <v>1</v>
      </c>
      <c r="P426" s="483">
        <v>1</v>
      </c>
      <c r="Q426" s="291">
        <f t="shared" si="64"/>
        <v>0</v>
      </c>
      <c r="R426" s="291">
        <f t="shared" si="65"/>
        <v>0</v>
      </c>
      <c r="S426" s="300">
        <f t="shared" si="60"/>
        <v>0</v>
      </c>
      <c r="T426" s="300">
        <f t="shared" si="61"/>
        <v>0</v>
      </c>
      <c r="U426" s="769" t="str">
        <f t="shared" si="62"/>
        <v>S</v>
      </c>
      <c r="V426" s="302"/>
      <c r="W426" s="303">
        <f>(Q426+R426)*'1.0-Contractblad'!$L$37</f>
        <v>0</v>
      </c>
      <c r="X426" s="303">
        <f ca="1">VLOOKUP(E426,'1.1a-Jaarprijzen'!$B$32:$Q$51,16,FALSE)*K426</f>
        <v>0</v>
      </c>
      <c r="Z426" s="771">
        <f t="shared" si="66"/>
        <v>891</v>
      </c>
      <c r="AA426" s="491" t="str">
        <f t="shared" si="67"/>
        <v>4200-200</v>
      </c>
    </row>
    <row r="427" spans="2:27" s="489" customFormat="1" ht="15" hidden="1">
      <c r="B427" s="329"/>
      <c r="C427" s="330"/>
      <c r="D427" s="294">
        <f>VLOOKUP(E427,'1.1a-Jaarprijzen'!$B$13:$G$29,6,FALSE)</f>
        <v>3</v>
      </c>
      <c r="E427" s="768" t="s">
        <v>856</v>
      </c>
      <c r="F427" s="294" t="s">
        <v>387</v>
      </c>
      <c r="G427" s="295" t="s">
        <v>868</v>
      </c>
      <c r="H427" s="293" t="s">
        <v>864</v>
      </c>
      <c r="I427" s="296" t="str">
        <f t="shared" si="51"/>
        <v>sanitaire ruimte (toilet-/doucheruimte)</v>
      </c>
      <c r="J427" s="294" t="s">
        <v>461</v>
      </c>
      <c r="K427" s="297">
        <v>4.4550000000000001</v>
      </c>
      <c r="L427" s="297"/>
      <c r="M427" s="298">
        <v>4200</v>
      </c>
      <c r="N427" s="299">
        <f t="shared" si="63"/>
        <v>200</v>
      </c>
      <c r="O427" s="483">
        <v>1</v>
      </c>
      <c r="P427" s="483">
        <v>1</v>
      </c>
      <c r="Q427" s="291">
        <f t="shared" si="64"/>
        <v>0</v>
      </c>
      <c r="R427" s="291">
        <f t="shared" si="65"/>
        <v>0</v>
      </c>
      <c r="S427" s="300">
        <f t="shared" si="60"/>
        <v>0</v>
      </c>
      <c r="T427" s="300">
        <f t="shared" si="61"/>
        <v>0</v>
      </c>
      <c r="U427" s="769" t="str">
        <f t="shared" si="62"/>
        <v>S</v>
      </c>
      <c r="V427" s="302"/>
      <c r="W427" s="303">
        <f>(Q427+R427)*'1.0-Contractblad'!$L$37</f>
        <v>0</v>
      </c>
      <c r="X427" s="303">
        <f ca="1">VLOOKUP(E427,'1.1a-Jaarprijzen'!$B$32:$Q$51,16,FALSE)*K427</f>
        <v>0</v>
      </c>
      <c r="Z427" s="771">
        <f t="shared" si="66"/>
        <v>891</v>
      </c>
      <c r="AA427" s="491" t="str">
        <f t="shared" si="67"/>
        <v>4200-200</v>
      </c>
    </row>
    <row r="428" spans="2:27" s="489" customFormat="1" ht="15" hidden="1">
      <c r="B428" s="329"/>
      <c r="C428" s="330"/>
      <c r="D428" s="294">
        <f>VLOOKUP(E428,'1.1a-Jaarprijzen'!$B$13:$G$29,6,FALSE)</f>
        <v>3</v>
      </c>
      <c r="E428" s="768" t="s">
        <v>856</v>
      </c>
      <c r="F428" s="294" t="s">
        <v>387</v>
      </c>
      <c r="G428" s="295" t="s">
        <v>568</v>
      </c>
      <c r="H428" s="293" t="s">
        <v>864</v>
      </c>
      <c r="I428" s="296" t="str">
        <f t="shared" si="51"/>
        <v>sanitaire ruimte (toilet-/doucheruimte)</v>
      </c>
      <c r="J428" s="294" t="s">
        <v>461</v>
      </c>
      <c r="K428" s="297">
        <v>9.2700000000000014</v>
      </c>
      <c r="L428" s="297"/>
      <c r="M428" s="298">
        <v>4200</v>
      </c>
      <c r="N428" s="299">
        <f t="shared" si="63"/>
        <v>200</v>
      </c>
      <c r="O428" s="483">
        <v>1</v>
      </c>
      <c r="P428" s="483">
        <v>1</v>
      </c>
      <c r="Q428" s="291">
        <f t="shared" si="64"/>
        <v>0</v>
      </c>
      <c r="R428" s="291">
        <f t="shared" si="65"/>
        <v>0</v>
      </c>
      <c r="S428" s="300">
        <f t="shared" si="60"/>
        <v>0</v>
      </c>
      <c r="T428" s="300">
        <f t="shared" si="61"/>
        <v>0</v>
      </c>
      <c r="U428" s="769" t="str">
        <f t="shared" si="62"/>
        <v>S</v>
      </c>
      <c r="V428" s="302"/>
      <c r="W428" s="303">
        <f>(Q428+R428)*'1.0-Contractblad'!$L$37</f>
        <v>0</v>
      </c>
      <c r="X428" s="303">
        <f ca="1">VLOOKUP(E428,'1.1a-Jaarprijzen'!$B$32:$Q$51,16,FALSE)*K428</f>
        <v>0</v>
      </c>
      <c r="Z428" s="771">
        <f t="shared" si="66"/>
        <v>1854.0000000000002</v>
      </c>
      <c r="AA428" s="491" t="str">
        <f t="shared" si="67"/>
        <v>4200-200</v>
      </c>
    </row>
    <row r="429" spans="2:27" s="489" customFormat="1" ht="15" hidden="1">
      <c r="B429" s="329"/>
      <c r="C429" s="330"/>
      <c r="D429" s="294">
        <f>VLOOKUP(E429,'1.1a-Jaarprijzen'!$B$13:$G$29,6,FALSE)</f>
        <v>3</v>
      </c>
      <c r="E429" s="768" t="s">
        <v>856</v>
      </c>
      <c r="F429" s="294" t="s">
        <v>387</v>
      </c>
      <c r="G429" s="295" t="s">
        <v>571</v>
      </c>
      <c r="H429" s="293" t="s">
        <v>864</v>
      </c>
      <c r="I429" s="296" t="str">
        <f t="shared" si="51"/>
        <v>sanitaire ruimte (toilet-/doucheruimte)</v>
      </c>
      <c r="J429" s="297" t="s">
        <v>461</v>
      </c>
      <c r="K429" s="297">
        <v>6.1920000000000002</v>
      </c>
      <c r="L429" s="297"/>
      <c r="M429" s="298">
        <v>4200</v>
      </c>
      <c r="N429" s="299">
        <f t="shared" si="63"/>
        <v>200</v>
      </c>
      <c r="O429" s="483">
        <v>1</v>
      </c>
      <c r="P429" s="483">
        <v>1</v>
      </c>
      <c r="Q429" s="291">
        <f t="shared" si="64"/>
        <v>0</v>
      </c>
      <c r="R429" s="291">
        <f t="shared" si="65"/>
        <v>0</v>
      </c>
      <c r="S429" s="300">
        <f t="shared" si="60"/>
        <v>0</v>
      </c>
      <c r="T429" s="300">
        <f t="shared" si="61"/>
        <v>0</v>
      </c>
      <c r="U429" s="769" t="str">
        <f t="shared" si="62"/>
        <v>S</v>
      </c>
      <c r="V429" s="302"/>
      <c r="W429" s="303">
        <f>(Q429+R429)*'1.0-Contractblad'!$L$37</f>
        <v>0</v>
      </c>
      <c r="X429" s="303">
        <f ca="1">VLOOKUP(E429,'1.1a-Jaarprijzen'!$B$32:$Q$51,16,FALSE)*K429</f>
        <v>0</v>
      </c>
      <c r="Z429" s="771">
        <f t="shared" si="66"/>
        <v>1238.4000000000001</v>
      </c>
      <c r="AA429" s="491" t="str">
        <f t="shared" si="67"/>
        <v>4200-200</v>
      </c>
    </row>
    <row r="430" spans="2:27" s="489" customFormat="1" ht="15" hidden="1">
      <c r="B430" s="329"/>
      <c r="C430" s="330"/>
      <c r="D430" s="294">
        <f>VLOOKUP(E430,'1.1a-Jaarprijzen'!$B$13:$G$29,6,FALSE)</f>
        <v>3</v>
      </c>
      <c r="E430" s="768" t="s">
        <v>856</v>
      </c>
      <c r="F430" s="294" t="s">
        <v>387</v>
      </c>
      <c r="G430" s="295" t="s">
        <v>869</v>
      </c>
      <c r="H430" s="293" t="s">
        <v>864</v>
      </c>
      <c r="I430" s="296" t="str">
        <f t="shared" si="51"/>
        <v>sanitaire ruimte (toilet-/doucheruimte)</v>
      </c>
      <c r="J430" s="297" t="s">
        <v>461</v>
      </c>
      <c r="K430" s="297">
        <v>4.4550000000000001</v>
      </c>
      <c r="L430" s="297"/>
      <c r="M430" s="298">
        <v>4200</v>
      </c>
      <c r="N430" s="299">
        <f t="shared" si="63"/>
        <v>200</v>
      </c>
      <c r="O430" s="483">
        <v>1</v>
      </c>
      <c r="P430" s="483">
        <v>1</v>
      </c>
      <c r="Q430" s="291">
        <f t="shared" si="64"/>
        <v>0</v>
      </c>
      <c r="R430" s="291">
        <f t="shared" si="65"/>
        <v>0</v>
      </c>
      <c r="S430" s="300">
        <f t="shared" si="60"/>
        <v>0</v>
      </c>
      <c r="T430" s="300">
        <f t="shared" si="61"/>
        <v>0</v>
      </c>
      <c r="U430" s="769" t="str">
        <f t="shared" si="62"/>
        <v>S</v>
      </c>
      <c r="V430" s="302"/>
      <c r="W430" s="303">
        <f>(Q430+R430)*'1.0-Contractblad'!$L$37</f>
        <v>0</v>
      </c>
      <c r="X430" s="303">
        <f ca="1">VLOOKUP(E430,'1.1a-Jaarprijzen'!$B$32:$Q$51,16,FALSE)*K430</f>
        <v>0</v>
      </c>
      <c r="Z430" s="771">
        <f t="shared" si="66"/>
        <v>891</v>
      </c>
      <c r="AA430" s="491" t="str">
        <f t="shared" si="67"/>
        <v>4200-200</v>
      </c>
    </row>
    <row r="431" spans="2:27" s="489" customFormat="1" ht="15" hidden="1">
      <c r="B431" s="329"/>
      <c r="C431" s="330"/>
      <c r="D431" s="294">
        <f>VLOOKUP(E431,'1.1a-Jaarprijzen'!$B$13:$G$29,6,FALSE)</f>
        <v>3</v>
      </c>
      <c r="E431" s="768" t="s">
        <v>856</v>
      </c>
      <c r="F431" s="294" t="s">
        <v>387</v>
      </c>
      <c r="G431" s="295" t="s">
        <v>870</v>
      </c>
      <c r="H431" s="293" t="s">
        <v>864</v>
      </c>
      <c r="I431" s="296" t="str">
        <f t="shared" si="51"/>
        <v>sanitaire ruimte (toilet-/doucheruimte)</v>
      </c>
      <c r="J431" s="294" t="s">
        <v>461</v>
      </c>
      <c r="K431" s="297">
        <v>4.4550000000000001</v>
      </c>
      <c r="L431" s="297"/>
      <c r="M431" s="298">
        <v>4200</v>
      </c>
      <c r="N431" s="299">
        <f t="shared" si="63"/>
        <v>200</v>
      </c>
      <c r="O431" s="483">
        <v>1</v>
      </c>
      <c r="P431" s="483">
        <v>1</v>
      </c>
      <c r="Q431" s="291">
        <f t="shared" si="64"/>
        <v>0</v>
      </c>
      <c r="R431" s="291">
        <f t="shared" si="65"/>
        <v>0</v>
      </c>
      <c r="S431" s="300">
        <f t="shared" si="60"/>
        <v>0</v>
      </c>
      <c r="T431" s="300">
        <f t="shared" si="61"/>
        <v>0</v>
      </c>
      <c r="U431" s="769" t="str">
        <f t="shared" si="62"/>
        <v>S</v>
      </c>
      <c r="V431" s="302"/>
      <c r="W431" s="303">
        <f>(Q431+R431)*'1.0-Contractblad'!$L$37</f>
        <v>0</v>
      </c>
      <c r="X431" s="303">
        <f ca="1">VLOOKUP(E431,'1.1a-Jaarprijzen'!$B$32:$Q$51,16,FALSE)*K431</f>
        <v>0</v>
      </c>
      <c r="Z431" s="771">
        <f t="shared" si="66"/>
        <v>891</v>
      </c>
      <c r="AA431" s="491" t="str">
        <f t="shared" si="67"/>
        <v>4200-200</v>
      </c>
    </row>
    <row r="432" spans="2:27" s="489" customFormat="1" ht="15" hidden="1">
      <c r="B432" s="329"/>
      <c r="C432" s="330"/>
      <c r="D432" s="294">
        <f>VLOOKUP(E432,'1.1a-Jaarprijzen'!$B$13:$G$29,6,FALSE)</f>
        <v>3</v>
      </c>
      <c r="E432" s="768" t="s">
        <v>856</v>
      </c>
      <c r="F432" s="294" t="s">
        <v>387</v>
      </c>
      <c r="G432" s="295" t="s">
        <v>871</v>
      </c>
      <c r="H432" s="293" t="s">
        <v>864</v>
      </c>
      <c r="I432" s="296" t="str">
        <f t="shared" si="51"/>
        <v>sanitaire ruimte (toilet-/doucheruimte)</v>
      </c>
      <c r="J432" s="294" t="s">
        <v>461</v>
      </c>
      <c r="K432" s="297">
        <v>4.4550000000000001</v>
      </c>
      <c r="L432" s="297"/>
      <c r="M432" s="298">
        <v>4200</v>
      </c>
      <c r="N432" s="299">
        <f t="shared" si="63"/>
        <v>200</v>
      </c>
      <c r="O432" s="483">
        <v>1</v>
      </c>
      <c r="P432" s="483">
        <v>1</v>
      </c>
      <c r="Q432" s="291">
        <f t="shared" si="64"/>
        <v>0</v>
      </c>
      <c r="R432" s="291">
        <f t="shared" si="65"/>
        <v>0</v>
      </c>
      <c r="S432" s="300">
        <f t="shared" si="60"/>
        <v>0</v>
      </c>
      <c r="T432" s="300">
        <f t="shared" si="61"/>
        <v>0</v>
      </c>
      <c r="U432" s="769" t="str">
        <f t="shared" si="62"/>
        <v>S</v>
      </c>
      <c r="V432" s="302"/>
      <c r="W432" s="303">
        <f>(Q432+R432)*'1.0-Contractblad'!$L$37</f>
        <v>0</v>
      </c>
      <c r="X432" s="303">
        <f ca="1">VLOOKUP(E432,'1.1a-Jaarprijzen'!$B$32:$Q$51,16,FALSE)*K432</f>
        <v>0</v>
      </c>
      <c r="Z432" s="771">
        <f t="shared" si="66"/>
        <v>891</v>
      </c>
      <c r="AA432" s="491" t="str">
        <f t="shared" si="67"/>
        <v>4200-200</v>
      </c>
    </row>
    <row r="433" spans="2:27" s="489" customFormat="1" ht="15" hidden="1">
      <c r="B433" s="329"/>
      <c r="C433" s="330"/>
      <c r="D433" s="294">
        <f>VLOOKUP(E433,'1.1a-Jaarprijzen'!$B$13:$G$29,6,FALSE)</f>
        <v>3</v>
      </c>
      <c r="E433" s="768" t="s">
        <v>856</v>
      </c>
      <c r="F433" s="294" t="s">
        <v>387</v>
      </c>
      <c r="G433" s="295" t="s">
        <v>872</v>
      </c>
      <c r="H433" s="293" t="s">
        <v>864</v>
      </c>
      <c r="I433" s="296" t="str">
        <f t="shared" si="51"/>
        <v>sanitaire ruimte (toilet-/doucheruimte)</v>
      </c>
      <c r="J433" s="294" t="s">
        <v>461</v>
      </c>
      <c r="K433" s="297">
        <v>4.4550000000000001</v>
      </c>
      <c r="L433" s="297"/>
      <c r="M433" s="298">
        <v>4200</v>
      </c>
      <c r="N433" s="299">
        <f t="shared" si="63"/>
        <v>200</v>
      </c>
      <c r="O433" s="483">
        <v>1</v>
      </c>
      <c r="P433" s="483">
        <v>1</v>
      </c>
      <c r="Q433" s="291">
        <f t="shared" si="64"/>
        <v>0</v>
      </c>
      <c r="R433" s="291">
        <f t="shared" si="65"/>
        <v>0</v>
      </c>
      <c r="S433" s="300">
        <f t="shared" si="60"/>
        <v>0</v>
      </c>
      <c r="T433" s="300">
        <f t="shared" si="61"/>
        <v>0</v>
      </c>
      <c r="U433" s="769" t="str">
        <f t="shared" si="62"/>
        <v>S</v>
      </c>
      <c r="V433" s="302"/>
      <c r="W433" s="303">
        <f>(Q433+R433)*'1.0-Contractblad'!$L$37</f>
        <v>0</v>
      </c>
      <c r="X433" s="303">
        <f ca="1">VLOOKUP(E433,'1.1a-Jaarprijzen'!$B$32:$Q$51,16,FALSE)*K433</f>
        <v>0</v>
      </c>
      <c r="Z433" s="771">
        <f t="shared" si="66"/>
        <v>891</v>
      </c>
      <c r="AA433" s="491" t="str">
        <f t="shared" si="67"/>
        <v>4200-200</v>
      </c>
    </row>
    <row r="434" spans="2:27" s="489" customFormat="1" ht="15" hidden="1">
      <c r="B434" s="329"/>
      <c r="C434" s="330"/>
      <c r="D434" s="294">
        <f>VLOOKUP(E434,'1.1a-Jaarprijzen'!$B$13:$G$29,6,FALSE)</f>
        <v>3</v>
      </c>
      <c r="E434" s="768" t="s">
        <v>856</v>
      </c>
      <c r="F434" s="294" t="s">
        <v>387</v>
      </c>
      <c r="G434" s="295">
        <v>6</v>
      </c>
      <c r="H434" s="293" t="s">
        <v>873</v>
      </c>
      <c r="I434" s="296" t="str">
        <f t="shared" si="51"/>
        <v>administratieve -,  vergaderruimte</v>
      </c>
      <c r="J434" s="294" t="s">
        <v>655</v>
      </c>
      <c r="K434" s="297">
        <v>31.760999999999999</v>
      </c>
      <c r="L434" s="297"/>
      <c r="M434" s="298">
        <v>1200</v>
      </c>
      <c r="N434" s="299">
        <f t="shared" si="63"/>
        <v>200</v>
      </c>
      <c r="O434" s="483">
        <v>1</v>
      </c>
      <c r="P434" s="483">
        <v>1</v>
      </c>
      <c r="Q434" s="291">
        <f t="shared" si="64"/>
        <v>0</v>
      </c>
      <c r="R434" s="291">
        <f t="shared" si="65"/>
        <v>0</v>
      </c>
      <c r="S434" s="300">
        <f t="shared" si="60"/>
        <v>0</v>
      </c>
      <c r="T434" s="300">
        <f t="shared" si="61"/>
        <v>0</v>
      </c>
      <c r="U434" s="769" t="str">
        <f t="shared" si="62"/>
        <v>V</v>
      </c>
      <c r="V434" s="302"/>
      <c r="W434" s="303">
        <f>(Q434+R434)*'1.0-Contractblad'!$L$37</f>
        <v>0</v>
      </c>
      <c r="X434" s="303">
        <f ca="1">VLOOKUP(E434,'1.1a-Jaarprijzen'!$B$32:$Q$51,16,FALSE)*K434</f>
        <v>0</v>
      </c>
      <c r="Z434" s="771">
        <f t="shared" si="66"/>
        <v>6352.2</v>
      </c>
      <c r="AA434" s="491" t="str">
        <f t="shared" si="67"/>
        <v>1200-200</v>
      </c>
    </row>
    <row r="435" spans="2:27" s="489" customFormat="1" ht="15" hidden="1">
      <c r="B435" s="329"/>
      <c r="C435" s="330"/>
      <c r="D435" s="294">
        <f>VLOOKUP(E435,'1.1a-Jaarprijzen'!$B$13:$G$29,6,FALSE)</f>
        <v>3</v>
      </c>
      <c r="E435" s="768" t="s">
        <v>856</v>
      </c>
      <c r="F435" s="294" t="s">
        <v>387</v>
      </c>
      <c r="G435" s="295">
        <v>7</v>
      </c>
      <c r="H435" s="293" t="s">
        <v>874</v>
      </c>
      <c r="I435" s="296" t="str">
        <f t="shared" si="51"/>
        <v>administratieve -,  vergaderruimte</v>
      </c>
      <c r="J435" s="294" t="s">
        <v>655</v>
      </c>
      <c r="K435" s="297">
        <v>22.275000000000002</v>
      </c>
      <c r="L435" s="297"/>
      <c r="M435" s="298">
        <v>1200</v>
      </c>
      <c r="N435" s="299">
        <f t="shared" si="63"/>
        <v>200</v>
      </c>
      <c r="O435" s="483">
        <v>1</v>
      </c>
      <c r="P435" s="483">
        <v>1</v>
      </c>
      <c r="Q435" s="291">
        <f t="shared" si="64"/>
        <v>0</v>
      </c>
      <c r="R435" s="291">
        <f t="shared" si="65"/>
        <v>0</v>
      </c>
      <c r="S435" s="300">
        <f t="shared" si="60"/>
        <v>0</v>
      </c>
      <c r="T435" s="300">
        <f t="shared" si="61"/>
        <v>0</v>
      </c>
      <c r="U435" s="769" t="str">
        <f t="shared" si="62"/>
        <v>V</v>
      </c>
      <c r="V435" s="302"/>
      <c r="W435" s="303">
        <f>(Q435+R435)*'1.0-Contractblad'!$L$37</f>
        <v>0</v>
      </c>
      <c r="X435" s="303">
        <f ca="1">VLOOKUP(E435,'1.1a-Jaarprijzen'!$B$32:$Q$51,16,FALSE)*K435</f>
        <v>0</v>
      </c>
      <c r="Z435" s="771">
        <f t="shared" si="66"/>
        <v>4455</v>
      </c>
      <c r="AA435" s="491" t="str">
        <f t="shared" si="67"/>
        <v>1200-200</v>
      </c>
    </row>
    <row r="436" spans="2:27" s="489" customFormat="1" ht="15" hidden="1">
      <c r="B436" s="329"/>
      <c r="C436" s="330"/>
      <c r="D436" s="294">
        <f>VLOOKUP(E436,'1.1a-Jaarprijzen'!$B$13:$G$29,6,FALSE)</f>
        <v>3</v>
      </c>
      <c r="E436" s="768" t="s">
        <v>856</v>
      </c>
      <c r="F436" s="294" t="s">
        <v>387</v>
      </c>
      <c r="G436" s="295">
        <v>32</v>
      </c>
      <c r="H436" s="293" t="s">
        <v>395</v>
      </c>
      <c r="I436" s="296" t="str">
        <f t="shared" si="51"/>
        <v>administratieve -,  vergaderruimte</v>
      </c>
      <c r="J436" s="294" t="s">
        <v>655</v>
      </c>
      <c r="K436" s="297">
        <v>8.0280000000000005</v>
      </c>
      <c r="L436" s="297"/>
      <c r="M436" s="298">
        <v>1200</v>
      </c>
      <c r="N436" s="299">
        <f t="shared" si="63"/>
        <v>200</v>
      </c>
      <c r="O436" s="483">
        <v>1</v>
      </c>
      <c r="P436" s="483">
        <v>1</v>
      </c>
      <c r="Q436" s="291">
        <f t="shared" si="64"/>
        <v>0</v>
      </c>
      <c r="R436" s="291">
        <f t="shared" si="65"/>
        <v>0</v>
      </c>
      <c r="S436" s="300">
        <f t="shared" si="60"/>
        <v>0</v>
      </c>
      <c r="T436" s="300">
        <f t="shared" si="61"/>
        <v>0</v>
      </c>
      <c r="U436" s="769" t="str">
        <f t="shared" si="62"/>
        <v>V</v>
      </c>
      <c r="V436" s="302"/>
      <c r="W436" s="303">
        <f>(Q436+R436)*'1.0-Contractblad'!$L$37</f>
        <v>0</v>
      </c>
      <c r="X436" s="303">
        <f ca="1">VLOOKUP(E436,'1.1a-Jaarprijzen'!$B$32:$Q$51,16,FALSE)*K436</f>
        <v>0</v>
      </c>
      <c r="Z436" s="771">
        <f t="shared" si="66"/>
        <v>1605.6000000000001</v>
      </c>
      <c r="AA436" s="491" t="str">
        <f t="shared" si="67"/>
        <v>1200-200</v>
      </c>
    </row>
    <row r="437" spans="2:27" s="489" customFormat="1" ht="15" hidden="1">
      <c r="B437" s="329"/>
      <c r="C437" s="330"/>
      <c r="D437" s="294">
        <f>VLOOKUP(E437,'1.1a-Jaarprijzen'!$B$13:$G$29,6,FALSE)</f>
        <v>3</v>
      </c>
      <c r="E437" s="768" t="s">
        <v>856</v>
      </c>
      <c r="F437" s="294" t="s">
        <v>387</v>
      </c>
      <c r="G437" s="295">
        <v>33</v>
      </c>
      <c r="H437" s="293" t="s">
        <v>395</v>
      </c>
      <c r="I437" s="296" t="str">
        <f t="shared" si="51"/>
        <v>administratieve -,  vergaderruimte</v>
      </c>
      <c r="J437" s="294" t="s">
        <v>655</v>
      </c>
      <c r="K437" s="297">
        <v>7.9829999999999997</v>
      </c>
      <c r="L437" s="297"/>
      <c r="M437" s="298">
        <v>1200</v>
      </c>
      <c r="N437" s="299">
        <f t="shared" si="63"/>
        <v>200</v>
      </c>
      <c r="O437" s="483">
        <v>1</v>
      </c>
      <c r="P437" s="483">
        <v>1</v>
      </c>
      <c r="Q437" s="291">
        <f t="shared" si="64"/>
        <v>0</v>
      </c>
      <c r="R437" s="291">
        <f t="shared" si="65"/>
        <v>0</v>
      </c>
      <c r="S437" s="300">
        <f t="shared" si="60"/>
        <v>0</v>
      </c>
      <c r="T437" s="300">
        <f t="shared" si="61"/>
        <v>0</v>
      </c>
      <c r="U437" s="769" t="str">
        <f t="shared" si="62"/>
        <v>V</v>
      </c>
      <c r="V437" s="302"/>
      <c r="W437" s="303">
        <f>(Q437+R437)*'1.0-Contractblad'!$L$37</f>
        <v>0</v>
      </c>
      <c r="X437" s="303">
        <f ca="1">VLOOKUP(E437,'1.1a-Jaarprijzen'!$B$32:$Q$51,16,FALSE)*K437</f>
        <v>0</v>
      </c>
      <c r="Z437" s="771">
        <f t="shared" si="66"/>
        <v>1596.6</v>
      </c>
      <c r="AA437" s="491" t="str">
        <f t="shared" si="67"/>
        <v>1200-200</v>
      </c>
    </row>
    <row r="438" spans="2:27" s="489" customFormat="1" ht="15" hidden="1">
      <c r="B438" s="329"/>
      <c r="C438" s="330"/>
      <c r="D438" s="294">
        <f>VLOOKUP(E438,'1.1a-Jaarprijzen'!$B$13:$G$29,6,FALSE)</f>
        <v>3</v>
      </c>
      <c r="E438" s="768" t="s">
        <v>856</v>
      </c>
      <c r="F438" s="294" t="s">
        <v>387</v>
      </c>
      <c r="G438" s="295" t="s">
        <v>703</v>
      </c>
      <c r="H438" s="293" t="s">
        <v>649</v>
      </c>
      <c r="I438" s="296" t="str">
        <f t="shared" si="51"/>
        <v>entree, gang, hal, repro</v>
      </c>
      <c r="J438" s="294" t="s">
        <v>655</v>
      </c>
      <c r="K438" s="297">
        <v>5.6970000000000001</v>
      </c>
      <c r="L438" s="297"/>
      <c r="M438" s="298">
        <v>3200</v>
      </c>
      <c r="N438" s="299">
        <f t="shared" si="63"/>
        <v>200</v>
      </c>
      <c r="O438" s="483">
        <v>1</v>
      </c>
      <c r="P438" s="483">
        <v>1</v>
      </c>
      <c r="Q438" s="291">
        <f t="shared" si="64"/>
        <v>0</v>
      </c>
      <c r="R438" s="291">
        <f t="shared" si="65"/>
        <v>0</v>
      </c>
      <c r="S438" s="300">
        <f t="shared" si="60"/>
        <v>0</v>
      </c>
      <c r="T438" s="300">
        <f t="shared" si="61"/>
        <v>0</v>
      </c>
      <c r="U438" s="769" t="str">
        <f t="shared" si="62"/>
        <v>V</v>
      </c>
      <c r="V438" s="302"/>
      <c r="W438" s="303">
        <f>(Q438+R438)*'1.0-Contractblad'!$L$37</f>
        <v>0</v>
      </c>
      <c r="X438" s="303">
        <f ca="1">VLOOKUP(E438,'1.1a-Jaarprijzen'!$B$32:$Q$51,16,FALSE)*K438</f>
        <v>0</v>
      </c>
      <c r="Z438" s="771">
        <f t="shared" si="66"/>
        <v>1139.4000000000001</v>
      </c>
      <c r="AA438" s="491" t="str">
        <f t="shared" si="67"/>
        <v>3200-200</v>
      </c>
    </row>
    <row r="439" spans="2:27" s="489" customFormat="1" ht="15" hidden="1">
      <c r="B439" s="329"/>
      <c r="C439" s="330"/>
      <c r="D439" s="294">
        <f>VLOOKUP(E439,'1.1a-Jaarprijzen'!$B$13:$G$29,6,FALSE)</f>
        <v>3</v>
      </c>
      <c r="E439" s="768" t="s">
        <v>856</v>
      </c>
      <c r="F439" s="294" t="s">
        <v>387</v>
      </c>
      <c r="G439" s="295" t="s">
        <v>707</v>
      </c>
      <c r="H439" s="293" t="s">
        <v>649</v>
      </c>
      <c r="I439" s="296" t="str">
        <f t="shared" si="51"/>
        <v>entree, gang, hal, repro</v>
      </c>
      <c r="J439" s="294" t="s">
        <v>655</v>
      </c>
      <c r="K439" s="297">
        <v>4.7520000000000007</v>
      </c>
      <c r="L439" s="297"/>
      <c r="M439" s="298">
        <v>3200</v>
      </c>
      <c r="N439" s="299">
        <f t="shared" si="63"/>
        <v>200</v>
      </c>
      <c r="O439" s="483">
        <v>1</v>
      </c>
      <c r="P439" s="483">
        <v>1</v>
      </c>
      <c r="Q439" s="291">
        <f t="shared" si="64"/>
        <v>0</v>
      </c>
      <c r="R439" s="291">
        <f t="shared" si="65"/>
        <v>0</v>
      </c>
      <c r="S439" s="300">
        <f t="shared" si="60"/>
        <v>0</v>
      </c>
      <c r="T439" s="300">
        <f t="shared" si="61"/>
        <v>0</v>
      </c>
      <c r="U439" s="769" t="str">
        <f t="shared" si="62"/>
        <v>V</v>
      </c>
      <c r="V439" s="302"/>
      <c r="W439" s="303">
        <f>(Q439+R439)*'1.0-Contractblad'!$L$37</f>
        <v>0</v>
      </c>
      <c r="X439" s="303">
        <f ca="1">VLOOKUP(E439,'1.1a-Jaarprijzen'!$B$32:$Q$51,16,FALSE)*K439</f>
        <v>0</v>
      </c>
      <c r="Z439" s="771">
        <f t="shared" si="66"/>
        <v>950.40000000000009</v>
      </c>
      <c r="AA439" s="491" t="str">
        <f t="shared" si="67"/>
        <v>3200-200</v>
      </c>
    </row>
    <row r="440" spans="2:27" s="489" customFormat="1" ht="15" hidden="1">
      <c r="B440" s="329"/>
      <c r="C440" s="330"/>
      <c r="D440" s="294">
        <f>VLOOKUP(E440,'1.1a-Jaarprijzen'!$B$13:$G$29,6,FALSE)</f>
        <v>3</v>
      </c>
      <c r="E440" s="768" t="s">
        <v>856</v>
      </c>
      <c r="F440" s="294" t="s">
        <v>387</v>
      </c>
      <c r="G440" s="295" t="s">
        <v>493</v>
      </c>
      <c r="H440" s="293" t="s">
        <v>404</v>
      </c>
      <c r="I440" s="296" t="str">
        <f t="shared" si="51"/>
        <v>leslokaal/leerplein groep 4 t/m 8</v>
      </c>
      <c r="J440" s="294" t="s">
        <v>655</v>
      </c>
      <c r="K440" s="297">
        <v>60.6</v>
      </c>
      <c r="L440" s="297"/>
      <c r="M440" s="298">
        <v>18200</v>
      </c>
      <c r="N440" s="299">
        <f t="shared" si="63"/>
        <v>200</v>
      </c>
      <c r="O440" s="483">
        <v>1</v>
      </c>
      <c r="P440" s="483">
        <v>1</v>
      </c>
      <c r="Q440" s="291">
        <f t="shared" si="64"/>
        <v>0</v>
      </c>
      <c r="R440" s="291">
        <f t="shared" si="65"/>
        <v>0</v>
      </c>
      <c r="S440" s="300">
        <f t="shared" si="60"/>
        <v>0</v>
      </c>
      <c r="T440" s="300">
        <f t="shared" si="61"/>
        <v>0</v>
      </c>
      <c r="U440" s="769" t="str">
        <f t="shared" si="62"/>
        <v>L</v>
      </c>
      <c r="V440" s="302"/>
      <c r="W440" s="303">
        <f>(Q440+R440)*'1.0-Contractblad'!$L$37</f>
        <v>0</v>
      </c>
      <c r="X440" s="303">
        <f ca="1">VLOOKUP(E440,'1.1a-Jaarprijzen'!$B$32:$Q$51,16,FALSE)*K440</f>
        <v>0</v>
      </c>
      <c r="Z440" s="771">
        <f t="shared" si="66"/>
        <v>12120</v>
      </c>
      <c r="AA440" s="491" t="str">
        <f t="shared" si="67"/>
        <v>18200-200</v>
      </c>
    </row>
    <row r="441" spans="2:27" s="489" customFormat="1" ht="15" hidden="1">
      <c r="B441" s="329"/>
      <c r="C441" s="330"/>
      <c r="D441" s="294">
        <f>VLOOKUP(E441,'1.1a-Jaarprijzen'!$B$13:$G$29,6,FALSE)</f>
        <v>3</v>
      </c>
      <c r="E441" s="768" t="s">
        <v>856</v>
      </c>
      <c r="F441" s="294" t="s">
        <v>387</v>
      </c>
      <c r="G441" s="295" t="s">
        <v>512</v>
      </c>
      <c r="H441" s="293" t="s">
        <v>394</v>
      </c>
      <c r="I441" s="296" t="str">
        <f t="shared" si="51"/>
        <v>entree, gang, hal, repro</v>
      </c>
      <c r="J441" s="294" t="s">
        <v>655</v>
      </c>
      <c r="K441" s="297">
        <v>19.18</v>
      </c>
      <c r="L441" s="297"/>
      <c r="M441" s="298">
        <v>3200</v>
      </c>
      <c r="N441" s="299">
        <f t="shared" si="63"/>
        <v>200</v>
      </c>
      <c r="O441" s="483">
        <v>1</v>
      </c>
      <c r="P441" s="483">
        <v>1</v>
      </c>
      <c r="Q441" s="291">
        <f t="shared" si="64"/>
        <v>0</v>
      </c>
      <c r="R441" s="291">
        <f t="shared" si="65"/>
        <v>0</v>
      </c>
      <c r="S441" s="300">
        <f t="shared" si="60"/>
        <v>0</v>
      </c>
      <c r="T441" s="300">
        <f t="shared" si="61"/>
        <v>0</v>
      </c>
      <c r="U441" s="769" t="str">
        <f t="shared" si="62"/>
        <v>V</v>
      </c>
      <c r="V441" s="302"/>
      <c r="W441" s="303">
        <f>(Q441+R441)*'1.0-Contractblad'!$L$37</f>
        <v>0</v>
      </c>
      <c r="X441" s="303">
        <f ca="1">VLOOKUP(E441,'1.1a-Jaarprijzen'!$B$32:$Q$51,16,FALSE)*K441</f>
        <v>0</v>
      </c>
      <c r="Z441" s="771">
        <f t="shared" si="66"/>
        <v>3836</v>
      </c>
      <c r="AA441" s="491" t="str">
        <f t="shared" si="67"/>
        <v>3200-200</v>
      </c>
    </row>
    <row r="442" spans="2:27" s="489" customFormat="1" ht="15" hidden="1">
      <c r="B442" s="329"/>
      <c r="C442" s="330"/>
      <c r="D442" s="294">
        <f>VLOOKUP(E442,'1.1a-Jaarprijzen'!$B$13:$G$29,6,FALSE)</f>
        <v>3</v>
      </c>
      <c r="E442" s="768" t="s">
        <v>856</v>
      </c>
      <c r="F442" s="294" t="s">
        <v>387</v>
      </c>
      <c r="G442" s="295" t="s">
        <v>526</v>
      </c>
      <c r="H442" s="293" t="s">
        <v>477</v>
      </c>
      <c r="I442" s="296" t="str">
        <f t="shared" si="51"/>
        <v>sanitaire ruimte (toilet-/doucheruimte)</v>
      </c>
      <c r="J442" s="294" t="s">
        <v>476</v>
      </c>
      <c r="K442" s="297">
        <v>5.71</v>
      </c>
      <c r="L442" s="297"/>
      <c r="M442" s="298">
        <v>4200</v>
      </c>
      <c r="N442" s="299">
        <f t="shared" si="63"/>
        <v>200</v>
      </c>
      <c r="O442" s="483">
        <v>1</v>
      </c>
      <c r="P442" s="483">
        <v>1</v>
      </c>
      <c r="Q442" s="291">
        <f t="shared" si="64"/>
        <v>0</v>
      </c>
      <c r="R442" s="291">
        <f t="shared" si="65"/>
        <v>0</v>
      </c>
      <c r="S442" s="300">
        <f t="shared" si="60"/>
        <v>0</v>
      </c>
      <c r="T442" s="300">
        <f t="shared" si="61"/>
        <v>0</v>
      </c>
      <c r="U442" s="769" t="str">
        <f t="shared" si="62"/>
        <v>S</v>
      </c>
      <c r="V442" s="302"/>
      <c r="W442" s="303">
        <f>(Q442+R442)*'1.0-Contractblad'!$L$37</f>
        <v>0</v>
      </c>
      <c r="X442" s="303">
        <f ca="1">VLOOKUP(E442,'1.1a-Jaarprijzen'!$B$32:$Q$51,16,FALSE)*K442</f>
        <v>0</v>
      </c>
      <c r="Z442" s="771">
        <f t="shared" si="66"/>
        <v>1142</v>
      </c>
      <c r="AA442" s="491" t="str">
        <f t="shared" si="67"/>
        <v>4200-200</v>
      </c>
    </row>
    <row r="443" spans="2:27" s="489" customFormat="1" ht="15" hidden="1">
      <c r="B443" s="329"/>
      <c r="C443" s="330"/>
      <c r="D443" s="294">
        <f>VLOOKUP(E443,'1.1a-Jaarprijzen'!$B$13:$G$29,6,FALSE)</f>
        <v>3</v>
      </c>
      <c r="E443" s="768" t="s">
        <v>875</v>
      </c>
      <c r="F443" s="294" t="s">
        <v>387</v>
      </c>
      <c r="G443" s="295" t="s">
        <v>669</v>
      </c>
      <c r="H443" s="293" t="s">
        <v>876</v>
      </c>
      <c r="I443" s="296" t="str">
        <f t="shared" si="51"/>
        <v>entree, gang, hal, repro</v>
      </c>
      <c r="J443" s="294" t="s">
        <v>656</v>
      </c>
      <c r="K443" s="297">
        <v>8.6999999999999993</v>
      </c>
      <c r="L443" s="297"/>
      <c r="M443" s="298">
        <v>3200</v>
      </c>
      <c r="N443" s="299">
        <f t="shared" si="63"/>
        <v>200</v>
      </c>
      <c r="O443" s="483">
        <v>1</v>
      </c>
      <c r="P443" s="483">
        <v>1</v>
      </c>
      <c r="Q443" s="291">
        <f t="shared" si="64"/>
        <v>0</v>
      </c>
      <c r="R443" s="291">
        <f t="shared" si="65"/>
        <v>0</v>
      </c>
      <c r="S443" s="300">
        <f t="shared" si="60"/>
        <v>0</v>
      </c>
      <c r="T443" s="300">
        <f t="shared" si="61"/>
        <v>0</v>
      </c>
      <c r="U443" s="769" t="str">
        <f t="shared" si="62"/>
        <v>V</v>
      </c>
      <c r="V443" s="302"/>
      <c r="W443" s="303">
        <f>(Q443+R443)*'1.0-Contractblad'!$L$37</f>
        <v>0</v>
      </c>
      <c r="X443" s="303">
        <f ca="1">VLOOKUP(E443,'1.1a-Jaarprijzen'!$B$32:$Q$51,16,FALSE)*K443</f>
        <v>0</v>
      </c>
      <c r="Z443" s="771">
        <f t="shared" si="66"/>
        <v>1739.9999999999998</v>
      </c>
      <c r="AA443" s="491" t="str">
        <f t="shared" si="67"/>
        <v>3200-200</v>
      </c>
    </row>
    <row r="444" spans="2:27" s="489" customFormat="1" ht="15" hidden="1">
      <c r="B444" s="329"/>
      <c r="C444" s="330"/>
      <c r="D444" s="294">
        <f>VLOOKUP(E444,'1.1a-Jaarprijzen'!$B$13:$G$29,6,FALSE)</f>
        <v>3</v>
      </c>
      <c r="E444" s="768" t="s">
        <v>875</v>
      </c>
      <c r="F444" s="294" t="s">
        <v>387</v>
      </c>
      <c r="G444" s="295" t="s">
        <v>670</v>
      </c>
      <c r="H444" s="293" t="s">
        <v>877</v>
      </c>
      <c r="I444" s="296" t="str">
        <f t="shared" si="51"/>
        <v>entree, gang, hal, repro</v>
      </c>
      <c r="J444" s="294" t="s">
        <v>656</v>
      </c>
      <c r="K444" s="297">
        <v>8.6999999999999993</v>
      </c>
      <c r="L444" s="297"/>
      <c r="M444" s="298">
        <v>3200</v>
      </c>
      <c r="N444" s="299">
        <f t="shared" si="63"/>
        <v>200</v>
      </c>
      <c r="O444" s="483">
        <v>1</v>
      </c>
      <c r="P444" s="483">
        <v>1</v>
      </c>
      <c r="Q444" s="291">
        <f t="shared" si="64"/>
        <v>0</v>
      </c>
      <c r="R444" s="291">
        <f t="shared" si="65"/>
        <v>0</v>
      </c>
      <c r="S444" s="300">
        <f t="shared" si="60"/>
        <v>0</v>
      </c>
      <c r="T444" s="300">
        <f t="shared" si="61"/>
        <v>0</v>
      </c>
      <c r="U444" s="769" t="str">
        <f t="shared" si="62"/>
        <v>V</v>
      </c>
      <c r="V444" s="302"/>
      <c r="W444" s="303">
        <f>(Q444+R444)*'1.0-Contractblad'!$L$37</f>
        <v>0</v>
      </c>
      <c r="X444" s="303">
        <f ca="1">VLOOKUP(E444,'1.1a-Jaarprijzen'!$B$32:$Q$51,16,FALSE)*K444</f>
        <v>0</v>
      </c>
      <c r="Z444" s="771">
        <f t="shared" si="66"/>
        <v>1739.9999999999998</v>
      </c>
      <c r="AA444" s="491" t="str">
        <f t="shared" si="67"/>
        <v>3200-200</v>
      </c>
    </row>
    <row r="445" spans="2:27" s="489" customFormat="1" ht="15" hidden="1">
      <c r="B445" s="329"/>
      <c r="C445" s="330"/>
      <c r="D445" s="294">
        <f>VLOOKUP(E445,'1.1a-Jaarprijzen'!$B$13:$G$29,6,FALSE)</f>
        <v>3</v>
      </c>
      <c r="E445" s="768" t="s">
        <v>875</v>
      </c>
      <c r="F445" s="294" t="s">
        <v>387</v>
      </c>
      <c r="G445" s="295" t="s">
        <v>671</v>
      </c>
      <c r="H445" s="293" t="s">
        <v>388</v>
      </c>
      <c r="I445" s="296" t="str">
        <f t="shared" si="51"/>
        <v>entree, gang, hal, repro</v>
      </c>
      <c r="J445" s="294" t="s">
        <v>655</v>
      </c>
      <c r="K445" s="297">
        <v>81</v>
      </c>
      <c r="L445" s="297"/>
      <c r="M445" s="298">
        <v>3200</v>
      </c>
      <c r="N445" s="299">
        <f t="shared" si="63"/>
        <v>200</v>
      </c>
      <c r="O445" s="483">
        <v>1</v>
      </c>
      <c r="P445" s="483">
        <v>1</v>
      </c>
      <c r="Q445" s="291">
        <f t="shared" si="64"/>
        <v>0</v>
      </c>
      <c r="R445" s="291">
        <f t="shared" si="65"/>
        <v>0</v>
      </c>
      <c r="S445" s="300">
        <f t="shared" si="60"/>
        <v>0</v>
      </c>
      <c r="T445" s="300">
        <f t="shared" si="61"/>
        <v>0</v>
      </c>
      <c r="U445" s="769" t="str">
        <f t="shared" si="62"/>
        <v>V</v>
      </c>
      <c r="V445" s="302"/>
      <c r="W445" s="303">
        <f>(Q445+R445)*'1.0-Contractblad'!$L$37</f>
        <v>0</v>
      </c>
      <c r="X445" s="303">
        <f ca="1">VLOOKUP(E445,'1.1a-Jaarprijzen'!$B$32:$Q$51,16,FALSE)*K445</f>
        <v>0</v>
      </c>
      <c r="Z445" s="771">
        <f t="shared" si="66"/>
        <v>16200</v>
      </c>
      <c r="AA445" s="491" t="str">
        <f t="shared" si="67"/>
        <v>3200-200</v>
      </c>
    </row>
    <row r="446" spans="2:27" s="489" customFormat="1" ht="15" hidden="1">
      <c r="B446" s="329"/>
      <c r="C446" s="330"/>
      <c r="D446" s="294">
        <f>VLOOKUP(E446,'1.1a-Jaarprijzen'!$B$13:$G$29,6,FALSE)</f>
        <v>3</v>
      </c>
      <c r="E446" s="768" t="s">
        <v>875</v>
      </c>
      <c r="F446" s="294" t="s">
        <v>387</v>
      </c>
      <c r="G446" s="295" t="s">
        <v>672</v>
      </c>
      <c r="H446" s="293" t="s">
        <v>538</v>
      </c>
      <c r="I446" s="296" t="str">
        <f t="shared" si="51"/>
        <v>administratieve -,  vergaderruimte</v>
      </c>
      <c r="J446" s="294" t="s">
        <v>655</v>
      </c>
      <c r="K446" s="297">
        <v>11.5</v>
      </c>
      <c r="L446" s="297"/>
      <c r="M446" s="298">
        <v>1200</v>
      </c>
      <c r="N446" s="299">
        <f t="shared" si="63"/>
        <v>200</v>
      </c>
      <c r="O446" s="483">
        <v>1</v>
      </c>
      <c r="P446" s="483">
        <v>1</v>
      </c>
      <c r="Q446" s="291">
        <f t="shared" si="64"/>
        <v>0</v>
      </c>
      <c r="R446" s="291">
        <f t="shared" si="65"/>
        <v>0</v>
      </c>
      <c r="S446" s="300">
        <f t="shared" si="60"/>
        <v>0</v>
      </c>
      <c r="T446" s="300">
        <f t="shared" si="61"/>
        <v>0</v>
      </c>
      <c r="U446" s="769" t="str">
        <f t="shared" si="62"/>
        <v>V</v>
      </c>
      <c r="V446" s="302"/>
      <c r="W446" s="303">
        <f>(Q446+R446)*'1.0-Contractblad'!$L$37</f>
        <v>0</v>
      </c>
      <c r="X446" s="303">
        <f ca="1">VLOOKUP(E446,'1.1a-Jaarprijzen'!$B$32:$Q$51,16,FALSE)*K446</f>
        <v>0</v>
      </c>
      <c r="Z446" s="771">
        <f t="shared" si="66"/>
        <v>2300</v>
      </c>
      <c r="AA446" s="491" t="str">
        <f t="shared" si="67"/>
        <v>1200-200</v>
      </c>
    </row>
    <row r="447" spans="2:27" s="489" customFormat="1" ht="15" hidden="1">
      <c r="B447" s="329"/>
      <c r="C447" s="330"/>
      <c r="D447" s="294">
        <f>VLOOKUP(E447,'1.1a-Jaarprijzen'!$B$13:$G$29,6,FALSE)</f>
        <v>3</v>
      </c>
      <c r="E447" s="768" t="s">
        <v>875</v>
      </c>
      <c r="F447" s="294" t="s">
        <v>387</v>
      </c>
      <c r="G447" s="295" t="s">
        <v>673</v>
      </c>
      <c r="H447" s="293" t="s">
        <v>388</v>
      </c>
      <c r="I447" s="296" t="str">
        <f t="shared" si="51"/>
        <v>entree, gang, hal, repro</v>
      </c>
      <c r="J447" s="294" t="s">
        <v>655</v>
      </c>
      <c r="K447" s="297">
        <v>183.3</v>
      </c>
      <c r="L447" s="297"/>
      <c r="M447" s="298">
        <v>3200</v>
      </c>
      <c r="N447" s="299">
        <f t="shared" si="63"/>
        <v>200</v>
      </c>
      <c r="O447" s="483">
        <v>1</v>
      </c>
      <c r="P447" s="483">
        <v>1</v>
      </c>
      <c r="Q447" s="291">
        <f t="shared" si="64"/>
        <v>0</v>
      </c>
      <c r="R447" s="291">
        <f t="shared" si="65"/>
        <v>0</v>
      </c>
      <c r="S447" s="300">
        <f t="shared" si="60"/>
        <v>0</v>
      </c>
      <c r="T447" s="300">
        <f t="shared" si="61"/>
        <v>0</v>
      </c>
      <c r="U447" s="769" t="str">
        <f t="shared" si="62"/>
        <v>V</v>
      </c>
      <c r="V447" s="302"/>
      <c r="W447" s="303">
        <f>(Q447+R447)*'1.0-Contractblad'!$L$37</f>
        <v>0</v>
      </c>
      <c r="X447" s="303">
        <f ca="1">VLOOKUP(E447,'1.1a-Jaarprijzen'!$B$32:$Q$51,16,FALSE)*K447</f>
        <v>0</v>
      </c>
      <c r="Z447" s="771">
        <f t="shared" si="66"/>
        <v>36660</v>
      </c>
      <c r="AA447" s="491" t="str">
        <f t="shared" si="67"/>
        <v>3200-200</v>
      </c>
    </row>
    <row r="448" spans="2:27" s="489" customFormat="1" ht="15" hidden="1">
      <c r="B448" s="329"/>
      <c r="C448" s="330"/>
      <c r="D448" s="294">
        <f>VLOOKUP(E448,'1.1a-Jaarprijzen'!$B$13:$G$29,6,FALSE)</f>
        <v>3</v>
      </c>
      <c r="E448" s="768" t="s">
        <v>875</v>
      </c>
      <c r="F448" s="294" t="s">
        <v>387</v>
      </c>
      <c r="G448" s="295" t="s">
        <v>674</v>
      </c>
      <c r="H448" s="293" t="s">
        <v>392</v>
      </c>
      <c r="I448" s="296" t="str">
        <f t="shared" si="51"/>
        <v>niet van toepassing</v>
      </c>
      <c r="J448" s="294" t="s">
        <v>655</v>
      </c>
      <c r="K448" s="297"/>
      <c r="L448" s="297">
        <v>3.8</v>
      </c>
      <c r="M448" s="298" t="s">
        <v>17</v>
      </c>
      <c r="N448" s="299">
        <f t="shared" si="63"/>
        <v>0</v>
      </c>
      <c r="O448" s="483">
        <v>1</v>
      </c>
      <c r="P448" s="483">
        <v>1</v>
      </c>
      <c r="Q448" s="291">
        <f t="shared" si="64"/>
        <v>0</v>
      </c>
      <c r="R448" s="291">
        <f t="shared" si="65"/>
        <v>0</v>
      </c>
      <c r="S448" s="300">
        <f t="shared" si="60"/>
        <v>0</v>
      </c>
      <c r="T448" s="300">
        <f t="shared" si="61"/>
        <v>0</v>
      </c>
      <c r="U448" s="769">
        <f t="shared" si="62"/>
        <v>0</v>
      </c>
      <c r="V448" s="302"/>
      <c r="W448" s="303">
        <f>(Q448+R448)*'1.0-Contractblad'!$L$37</f>
        <v>0</v>
      </c>
      <c r="X448" s="303">
        <f ca="1">VLOOKUP(E448,'1.1a-Jaarprijzen'!$B$32:$Q$51,16,FALSE)*K448</f>
        <v>0</v>
      </c>
      <c r="Z448" s="771">
        <f t="shared" si="66"/>
        <v>0</v>
      </c>
      <c r="AA448" s="491" t="str">
        <f t="shared" si="67"/>
        <v>nvt-0</v>
      </c>
    </row>
    <row r="449" spans="2:27" s="489" customFormat="1" ht="15" hidden="1">
      <c r="B449" s="329"/>
      <c r="C449" s="330"/>
      <c r="D449" s="294">
        <f>VLOOKUP(E449,'1.1a-Jaarprijzen'!$B$13:$G$29,6,FALSE)</f>
        <v>3</v>
      </c>
      <c r="E449" s="768" t="s">
        <v>875</v>
      </c>
      <c r="F449" s="294" t="s">
        <v>387</v>
      </c>
      <c r="G449" s="295" t="s">
        <v>675</v>
      </c>
      <c r="H449" s="293" t="s">
        <v>391</v>
      </c>
      <c r="I449" s="296" t="str">
        <f t="shared" si="51"/>
        <v>speellokaal (berging)</v>
      </c>
      <c r="J449" s="294" t="s">
        <v>463</v>
      </c>
      <c r="K449" s="297">
        <v>81.099999999999994</v>
      </c>
      <c r="L449" s="297"/>
      <c r="M449" s="298">
        <v>8040</v>
      </c>
      <c r="N449" s="299">
        <f t="shared" si="63"/>
        <v>40</v>
      </c>
      <c r="O449" s="483">
        <v>1</v>
      </c>
      <c r="P449" s="483">
        <v>1</v>
      </c>
      <c r="Q449" s="291">
        <f t="shared" si="64"/>
        <v>0</v>
      </c>
      <c r="R449" s="291">
        <f t="shared" si="65"/>
        <v>0</v>
      </c>
      <c r="S449" s="300">
        <f t="shared" si="60"/>
        <v>0</v>
      </c>
      <c r="T449" s="300">
        <f t="shared" si="61"/>
        <v>0</v>
      </c>
      <c r="U449" s="769" t="str">
        <f t="shared" si="62"/>
        <v>L</v>
      </c>
      <c r="V449" s="302"/>
      <c r="W449" s="303">
        <f>(Q449+R449)*'1.0-Contractblad'!$L$37</f>
        <v>0</v>
      </c>
      <c r="X449" s="303">
        <f ca="1">VLOOKUP(E449,'1.1a-Jaarprijzen'!$B$32:$Q$51,16,FALSE)*K449</f>
        <v>0</v>
      </c>
      <c r="Z449" s="771">
        <f t="shared" si="66"/>
        <v>3244</v>
      </c>
      <c r="AA449" s="491" t="str">
        <f t="shared" si="67"/>
        <v>8040-40</v>
      </c>
    </row>
    <row r="450" spans="2:27" s="489" customFormat="1" ht="15" hidden="1">
      <c r="B450" s="329"/>
      <c r="C450" s="330"/>
      <c r="D450" s="294">
        <f>VLOOKUP(E450,'1.1a-Jaarprijzen'!$B$13:$G$29,6,FALSE)</f>
        <v>3</v>
      </c>
      <c r="E450" s="768" t="s">
        <v>875</v>
      </c>
      <c r="F450" s="294" t="s">
        <v>387</v>
      </c>
      <c r="G450" s="295" t="s">
        <v>878</v>
      </c>
      <c r="H450" s="293" t="s">
        <v>879</v>
      </c>
      <c r="I450" s="296" t="str">
        <f t="shared" si="51"/>
        <v>speellokaal (berging)</v>
      </c>
      <c r="J450" s="294" t="s">
        <v>463</v>
      </c>
      <c r="K450" s="297">
        <v>5.5</v>
      </c>
      <c r="L450" s="297"/>
      <c r="M450" s="298">
        <v>8040</v>
      </c>
      <c r="N450" s="299">
        <f t="shared" si="63"/>
        <v>40</v>
      </c>
      <c r="O450" s="483">
        <v>1</v>
      </c>
      <c r="P450" s="483">
        <v>1</v>
      </c>
      <c r="Q450" s="291">
        <f t="shared" si="64"/>
        <v>0</v>
      </c>
      <c r="R450" s="291">
        <f t="shared" si="65"/>
        <v>0</v>
      </c>
      <c r="S450" s="300">
        <f t="shared" si="60"/>
        <v>0</v>
      </c>
      <c r="T450" s="300">
        <f t="shared" si="61"/>
        <v>0</v>
      </c>
      <c r="U450" s="769" t="str">
        <f t="shared" si="62"/>
        <v>L</v>
      </c>
      <c r="V450" s="302"/>
      <c r="W450" s="303">
        <f>(Q450+R450)*'1.0-Contractblad'!$L$37</f>
        <v>0</v>
      </c>
      <c r="X450" s="303">
        <f ca="1">VLOOKUP(E450,'1.1a-Jaarprijzen'!$B$32:$Q$51,16,FALSE)*K450</f>
        <v>0</v>
      </c>
      <c r="Z450" s="771">
        <f t="shared" si="66"/>
        <v>220</v>
      </c>
      <c r="AA450" s="491" t="str">
        <f t="shared" si="67"/>
        <v>8040-40</v>
      </c>
    </row>
    <row r="451" spans="2:27" s="489" customFormat="1" ht="15" hidden="1">
      <c r="B451" s="329"/>
      <c r="C451" s="330"/>
      <c r="D451" s="294">
        <f>VLOOKUP(E451,'1.1a-Jaarprijzen'!$B$13:$G$29,6,FALSE)</f>
        <v>3</v>
      </c>
      <c r="E451" s="768" t="s">
        <v>875</v>
      </c>
      <c r="F451" s="294" t="s">
        <v>387</v>
      </c>
      <c r="G451" s="295" t="s">
        <v>676</v>
      </c>
      <c r="H451" s="293" t="s">
        <v>397</v>
      </c>
      <c r="I451" s="296" t="str">
        <f t="shared" si="51"/>
        <v>aula, gemeenschappelijke ruimte, bibliotheek</v>
      </c>
      <c r="J451" s="294" t="s">
        <v>655</v>
      </c>
      <c r="K451" s="297">
        <v>170</v>
      </c>
      <c r="L451" s="297"/>
      <c r="M451" s="298">
        <v>2200</v>
      </c>
      <c r="N451" s="299">
        <f t="shared" si="63"/>
        <v>200</v>
      </c>
      <c r="O451" s="483">
        <v>1</v>
      </c>
      <c r="P451" s="483">
        <v>1</v>
      </c>
      <c r="Q451" s="291">
        <f t="shared" si="64"/>
        <v>0</v>
      </c>
      <c r="R451" s="291">
        <f t="shared" si="65"/>
        <v>0</v>
      </c>
      <c r="S451" s="300">
        <f t="shared" si="60"/>
        <v>0</v>
      </c>
      <c r="T451" s="300">
        <f t="shared" si="61"/>
        <v>0</v>
      </c>
      <c r="U451" s="769" t="str">
        <f t="shared" si="62"/>
        <v>V</v>
      </c>
      <c r="V451" s="302"/>
      <c r="W451" s="303">
        <f>(Q451+R451)*'1.0-Contractblad'!$L$37</f>
        <v>0</v>
      </c>
      <c r="X451" s="303">
        <f ca="1">VLOOKUP(E451,'1.1a-Jaarprijzen'!$B$32:$Q$51,16,FALSE)*K451</f>
        <v>0</v>
      </c>
      <c r="Z451" s="771">
        <f t="shared" si="66"/>
        <v>34000</v>
      </c>
      <c r="AA451" s="491" t="str">
        <f t="shared" si="67"/>
        <v>2200-200</v>
      </c>
    </row>
    <row r="452" spans="2:27" s="489" customFormat="1" ht="15" hidden="1">
      <c r="B452" s="329"/>
      <c r="C452" s="330"/>
      <c r="D452" s="294">
        <f>VLOOKUP(E452,'1.1a-Jaarprijzen'!$B$13:$G$29,6,FALSE)</f>
        <v>3</v>
      </c>
      <c r="E452" s="768" t="s">
        <v>875</v>
      </c>
      <c r="F452" s="294" t="s">
        <v>387</v>
      </c>
      <c r="G452" s="295" t="s">
        <v>880</v>
      </c>
      <c r="H452" s="293" t="s">
        <v>881</v>
      </c>
      <c r="I452" s="296" t="str">
        <f t="shared" si="51"/>
        <v>niet van toepassing</v>
      </c>
      <c r="J452" s="294" t="s">
        <v>655</v>
      </c>
      <c r="K452" s="297"/>
      <c r="L452" s="297">
        <v>8</v>
      </c>
      <c r="M452" s="298" t="s">
        <v>17</v>
      </c>
      <c r="N452" s="299">
        <f t="shared" si="63"/>
        <v>0</v>
      </c>
      <c r="O452" s="483">
        <v>1</v>
      </c>
      <c r="P452" s="483">
        <v>1</v>
      </c>
      <c r="Q452" s="291">
        <f t="shared" si="64"/>
        <v>0</v>
      </c>
      <c r="R452" s="291">
        <f t="shared" si="65"/>
        <v>0</v>
      </c>
      <c r="S452" s="300">
        <f t="shared" si="60"/>
        <v>0</v>
      </c>
      <c r="T452" s="300">
        <f t="shared" si="61"/>
        <v>0</v>
      </c>
      <c r="U452" s="769">
        <f t="shared" si="62"/>
        <v>0</v>
      </c>
      <c r="V452" s="302"/>
      <c r="W452" s="303">
        <f>(Q452+R452)*'1.0-Contractblad'!$L$37</f>
        <v>0</v>
      </c>
      <c r="X452" s="303">
        <f ca="1">VLOOKUP(E452,'1.1a-Jaarprijzen'!$B$32:$Q$51,16,FALSE)*K452</f>
        <v>0</v>
      </c>
      <c r="Z452" s="771">
        <f t="shared" si="66"/>
        <v>0</v>
      </c>
      <c r="AA452" s="491" t="str">
        <f t="shared" si="67"/>
        <v>nvt-0</v>
      </c>
    </row>
    <row r="453" spans="2:27" s="489" customFormat="1" ht="15" hidden="1">
      <c r="B453" s="329"/>
      <c r="C453" s="330"/>
      <c r="D453" s="294">
        <f>VLOOKUP(E453,'1.1a-Jaarprijzen'!$B$13:$G$29,6,FALSE)</f>
        <v>3</v>
      </c>
      <c r="E453" s="768" t="s">
        <v>875</v>
      </c>
      <c r="F453" s="294" t="s">
        <v>387</v>
      </c>
      <c r="G453" s="295" t="s">
        <v>677</v>
      </c>
      <c r="H453" s="293" t="s">
        <v>388</v>
      </c>
      <c r="I453" s="296" t="str">
        <f t="shared" si="51"/>
        <v>entree, gang, hal, repro</v>
      </c>
      <c r="J453" s="294" t="s">
        <v>655</v>
      </c>
      <c r="K453" s="297">
        <v>71.7</v>
      </c>
      <c r="L453" s="297"/>
      <c r="M453" s="298">
        <v>3200</v>
      </c>
      <c r="N453" s="299">
        <f t="shared" si="63"/>
        <v>200</v>
      </c>
      <c r="O453" s="483">
        <v>1</v>
      </c>
      <c r="P453" s="483">
        <v>1</v>
      </c>
      <c r="Q453" s="291">
        <f t="shared" si="64"/>
        <v>0</v>
      </c>
      <c r="R453" s="291">
        <f t="shared" si="65"/>
        <v>0</v>
      </c>
      <c r="S453" s="300">
        <f t="shared" si="60"/>
        <v>0</v>
      </c>
      <c r="T453" s="300">
        <f t="shared" si="61"/>
        <v>0</v>
      </c>
      <c r="U453" s="769" t="str">
        <f t="shared" si="62"/>
        <v>V</v>
      </c>
      <c r="V453" s="302"/>
      <c r="W453" s="303">
        <f>(Q453+R453)*'1.0-Contractblad'!$L$37</f>
        <v>0</v>
      </c>
      <c r="X453" s="303">
        <f ca="1">VLOOKUP(E453,'1.1a-Jaarprijzen'!$B$32:$Q$51,16,FALSE)*K453</f>
        <v>0</v>
      </c>
      <c r="Z453" s="771">
        <f t="shared" si="66"/>
        <v>14340</v>
      </c>
      <c r="AA453" s="491" t="str">
        <f t="shared" si="67"/>
        <v>3200-200</v>
      </c>
    </row>
    <row r="454" spans="2:27" s="489" customFormat="1" ht="15" hidden="1">
      <c r="B454" s="329"/>
      <c r="C454" s="330"/>
      <c r="D454" s="294">
        <f>VLOOKUP(E454,'1.1a-Jaarprijzen'!$B$13:$G$29,6,FALSE)</f>
        <v>3</v>
      </c>
      <c r="E454" s="768" t="s">
        <v>875</v>
      </c>
      <c r="F454" s="294" t="s">
        <v>387</v>
      </c>
      <c r="G454" s="295" t="s">
        <v>678</v>
      </c>
      <c r="H454" s="293" t="s">
        <v>639</v>
      </c>
      <c r="I454" s="296" t="str">
        <f t="shared" si="51"/>
        <v>administratieve -,  vergaderruimte</v>
      </c>
      <c r="J454" s="297" t="s">
        <v>462</v>
      </c>
      <c r="K454" s="297">
        <v>16.100000000000001</v>
      </c>
      <c r="L454" s="297"/>
      <c r="M454" s="298">
        <v>1200</v>
      </c>
      <c r="N454" s="299">
        <f t="shared" si="63"/>
        <v>200</v>
      </c>
      <c r="O454" s="483">
        <v>1</v>
      </c>
      <c r="P454" s="483">
        <v>1</v>
      </c>
      <c r="Q454" s="291">
        <f t="shared" si="64"/>
        <v>0</v>
      </c>
      <c r="R454" s="291">
        <f t="shared" si="65"/>
        <v>0</v>
      </c>
      <c r="S454" s="300">
        <f t="shared" si="60"/>
        <v>0</v>
      </c>
      <c r="T454" s="300">
        <f t="shared" si="61"/>
        <v>0</v>
      </c>
      <c r="U454" s="769" t="str">
        <f t="shared" si="62"/>
        <v>V</v>
      </c>
      <c r="V454" s="302"/>
      <c r="W454" s="303">
        <f>(Q454+R454)*'1.0-Contractblad'!$L$37</f>
        <v>0</v>
      </c>
      <c r="X454" s="303">
        <f ca="1">VLOOKUP(E454,'1.1a-Jaarprijzen'!$B$32:$Q$51,16,FALSE)*K454</f>
        <v>0</v>
      </c>
      <c r="Z454" s="771">
        <f t="shared" si="66"/>
        <v>3220.0000000000005</v>
      </c>
      <c r="AA454" s="491" t="str">
        <f t="shared" si="67"/>
        <v>1200-200</v>
      </c>
    </row>
    <row r="455" spans="2:27" s="489" customFormat="1" ht="15" hidden="1">
      <c r="B455" s="329"/>
      <c r="C455" s="330"/>
      <c r="D455" s="294">
        <f>VLOOKUP(E455,'1.1a-Jaarprijzen'!$B$13:$G$29,6,FALSE)</f>
        <v>3</v>
      </c>
      <c r="E455" s="768" t="s">
        <v>875</v>
      </c>
      <c r="F455" s="294" t="s">
        <v>387</v>
      </c>
      <c r="G455" s="295" t="s">
        <v>679</v>
      </c>
      <c r="H455" s="293" t="s">
        <v>536</v>
      </c>
      <c r="I455" s="296" t="str">
        <f t="shared" si="51"/>
        <v>administratieve -,  vergaderruimte</v>
      </c>
      <c r="J455" s="297" t="s">
        <v>462</v>
      </c>
      <c r="K455" s="297">
        <v>27.7</v>
      </c>
      <c r="L455" s="297"/>
      <c r="M455" s="298">
        <v>1200</v>
      </c>
      <c r="N455" s="299">
        <f t="shared" si="63"/>
        <v>200</v>
      </c>
      <c r="O455" s="483">
        <v>1</v>
      </c>
      <c r="P455" s="483">
        <v>1</v>
      </c>
      <c r="Q455" s="291">
        <f t="shared" si="64"/>
        <v>0</v>
      </c>
      <c r="R455" s="291">
        <f t="shared" si="65"/>
        <v>0</v>
      </c>
      <c r="S455" s="300">
        <f t="shared" si="60"/>
        <v>0</v>
      </c>
      <c r="T455" s="300">
        <f t="shared" si="61"/>
        <v>0</v>
      </c>
      <c r="U455" s="769" t="str">
        <f t="shared" si="62"/>
        <v>V</v>
      </c>
      <c r="V455" s="302"/>
      <c r="W455" s="303">
        <f>(Q455+R455)*'1.0-Contractblad'!$L$37</f>
        <v>0</v>
      </c>
      <c r="X455" s="303">
        <f ca="1">VLOOKUP(E455,'1.1a-Jaarprijzen'!$B$32:$Q$51,16,FALSE)*K455</f>
        <v>0</v>
      </c>
      <c r="Z455" s="771">
        <f t="shared" si="66"/>
        <v>5540</v>
      </c>
      <c r="AA455" s="491" t="str">
        <f t="shared" si="67"/>
        <v>1200-200</v>
      </c>
    </row>
    <row r="456" spans="2:27" s="489" customFormat="1" ht="15" hidden="1">
      <c r="B456" s="329"/>
      <c r="C456" s="330"/>
      <c r="D456" s="294">
        <f>VLOOKUP(E456,'1.1a-Jaarprijzen'!$B$13:$G$29,6,FALSE)</f>
        <v>3</v>
      </c>
      <c r="E456" s="768" t="s">
        <v>875</v>
      </c>
      <c r="F456" s="294" t="s">
        <v>387</v>
      </c>
      <c r="G456" s="295" t="s">
        <v>680</v>
      </c>
      <c r="H456" s="293" t="s">
        <v>1010</v>
      </c>
      <c r="I456" s="296" t="str">
        <f t="shared" si="51"/>
        <v>administratieve -,  vergaderruimte</v>
      </c>
      <c r="J456" s="294" t="s">
        <v>462</v>
      </c>
      <c r="K456" s="297">
        <v>17.149999999999999</v>
      </c>
      <c r="L456" s="297"/>
      <c r="M456" s="298">
        <v>1200</v>
      </c>
      <c r="N456" s="299">
        <f t="shared" si="63"/>
        <v>200</v>
      </c>
      <c r="O456" s="483">
        <v>1</v>
      </c>
      <c r="P456" s="483">
        <v>1</v>
      </c>
      <c r="Q456" s="291">
        <f t="shared" si="64"/>
        <v>0</v>
      </c>
      <c r="R456" s="291">
        <f t="shared" si="65"/>
        <v>0</v>
      </c>
      <c r="S456" s="300">
        <f t="shared" si="60"/>
        <v>0</v>
      </c>
      <c r="T456" s="300">
        <f t="shared" si="61"/>
        <v>0</v>
      </c>
      <c r="U456" s="769" t="str">
        <f t="shared" si="62"/>
        <v>V</v>
      </c>
      <c r="V456" s="302"/>
      <c r="W456" s="303">
        <f>(Q456+R456)*'1.0-Contractblad'!$L$37</f>
        <v>0</v>
      </c>
      <c r="X456" s="303">
        <f ca="1">VLOOKUP(E456,'1.1a-Jaarprijzen'!$B$32:$Q$51,16,FALSE)*K456</f>
        <v>0</v>
      </c>
      <c r="Z456" s="771">
        <f t="shared" si="66"/>
        <v>3429.9999999999995</v>
      </c>
      <c r="AA456" s="491" t="str">
        <f t="shared" si="67"/>
        <v>1200-200</v>
      </c>
    </row>
    <row r="457" spans="2:27" s="489" customFormat="1" ht="15" hidden="1">
      <c r="B457" s="329"/>
      <c r="C457" s="330"/>
      <c r="D457" s="294">
        <f>VLOOKUP(E457,'1.1a-Jaarprijzen'!$B$13:$G$29,6,FALSE)</f>
        <v>3</v>
      </c>
      <c r="E457" s="768" t="s">
        <v>875</v>
      </c>
      <c r="F457" s="294" t="s">
        <v>387</v>
      </c>
      <c r="G457" s="295" t="s">
        <v>681</v>
      </c>
      <c r="H457" s="293" t="s">
        <v>1010</v>
      </c>
      <c r="I457" s="296" t="str">
        <f t="shared" si="51"/>
        <v>administratieve -,  vergaderruimte</v>
      </c>
      <c r="J457" s="294" t="s">
        <v>462</v>
      </c>
      <c r="K457" s="297">
        <v>17.149999999999999</v>
      </c>
      <c r="L457" s="297"/>
      <c r="M457" s="298">
        <v>1200</v>
      </c>
      <c r="N457" s="299">
        <f t="shared" si="63"/>
        <v>200</v>
      </c>
      <c r="O457" s="483">
        <v>1</v>
      </c>
      <c r="P457" s="483">
        <v>1</v>
      </c>
      <c r="Q457" s="291">
        <f t="shared" si="64"/>
        <v>0</v>
      </c>
      <c r="R457" s="291">
        <f t="shared" si="65"/>
        <v>0</v>
      </c>
      <c r="S457" s="300">
        <f t="shared" si="60"/>
        <v>0</v>
      </c>
      <c r="T457" s="300">
        <f t="shared" si="61"/>
        <v>0</v>
      </c>
      <c r="U457" s="769" t="str">
        <f t="shared" si="62"/>
        <v>V</v>
      </c>
      <c r="V457" s="302"/>
      <c r="W457" s="303">
        <f>(Q457+R457)*'1.0-Contractblad'!$L$37</f>
        <v>0</v>
      </c>
      <c r="X457" s="303">
        <f ca="1">VLOOKUP(E457,'1.1a-Jaarprijzen'!$B$32:$Q$51,16,FALSE)*K457</f>
        <v>0</v>
      </c>
      <c r="Z457" s="771">
        <f t="shared" si="66"/>
        <v>3429.9999999999995</v>
      </c>
      <c r="AA457" s="491" t="str">
        <f t="shared" si="67"/>
        <v>1200-200</v>
      </c>
    </row>
    <row r="458" spans="2:27" s="489" customFormat="1" ht="15" hidden="1">
      <c r="B458" s="329"/>
      <c r="C458" s="330"/>
      <c r="D458" s="294">
        <f>VLOOKUP(E458,'1.1a-Jaarprijzen'!$B$13:$G$29,6,FALSE)</f>
        <v>3</v>
      </c>
      <c r="E458" s="768" t="s">
        <v>875</v>
      </c>
      <c r="F458" s="294" t="s">
        <v>387</v>
      </c>
      <c r="G458" s="295" t="s">
        <v>882</v>
      </c>
      <c r="H458" s="293" t="s">
        <v>1011</v>
      </c>
      <c r="I458" s="296" t="str">
        <f t="shared" si="51"/>
        <v>aula, gemeenschappelijke ruimte, bibliotheek</v>
      </c>
      <c r="J458" s="294" t="s">
        <v>462</v>
      </c>
      <c r="K458" s="297">
        <v>24</v>
      </c>
      <c r="L458" s="297"/>
      <c r="M458" s="298">
        <v>2200</v>
      </c>
      <c r="N458" s="299">
        <f t="shared" si="63"/>
        <v>200</v>
      </c>
      <c r="O458" s="483">
        <v>1</v>
      </c>
      <c r="P458" s="483">
        <v>1</v>
      </c>
      <c r="Q458" s="291">
        <f t="shared" si="64"/>
        <v>0</v>
      </c>
      <c r="R458" s="291">
        <f t="shared" si="65"/>
        <v>0</v>
      </c>
      <c r="S458" s="300">
        <f t="shared" si="60"/>
        <v>0</v>
      </c>
      <c r="T458" s="300">
        <f t="shared" si="61"/>
        <v>0</v>
      </c>
      <c r="U458" s="769" t="str">
        <f t="shared" si="62"/>
        <v>V</v>
      </c>
      <c r="V458" s="302"/>
      <c r="W458" s="303">
        <f>(Q458+R458)*'1.0-Contractblad'!$L$37</f>
        <v>0</v>
      </c>
      <c r="X458" s="303">
        <f ca="1">VLOOKUP(E458,'1.1a-Jaarprijzen'!$B$32:$Q$51,16,FALSE)*K458</f>
        <v>0</v>
      </c>
      <c r="Z458" s="771">
        <f t="shared" si="66"/>
        <v>4800</v>
      </c>
      <c r="AA458" s="491" t="str">
        <f t="shared" si="67"/>
        <v>2200-200</v>
      </c>
    </row>
    <row r="459" spans="2:27" s="489" customFormat="1" ht="15" hidden="1">
      <c r="B459" s="329"/>
      <c r="C459" s="330"/>
      <c r="D459" s="294">
        <f>VLOOKUP(E459,'1.1a-Jaarprijzen'!$B$13:$G$29,6,FALSE)</f>
        <v>3</v>
      </c>
      <c r="E459" s="768" t="s">
        <v>875</v>
      </c>
      <c r="F459" s="294" t="s">
        <v>387</v>
      </c>
      <c r="G459" s="295" t="s">
        <v>883</v>
      </c>
      <c r="H459" s="293" t="s">
        <v>884</v>
      </c>
      <c r="I459" s="296" t="str">
        <f t="shared" si="51"/>
        <v>niet van toepassing</v>
      </c>
      <c r="J459" s="294" t="s">
        <v>655</v>
      </c>
      <c r="K459" s="297"/>
      <c r="L459" s="297">
        <v>8.3000000000000007</v>
      </c>
      <c r="M459" s="298" t="s">
        <v>17</v>
      </c>
      <c r="N459" s="299">
        <f t="shared" si="63"/>
        <v>0</v>
      </c>
      <c r="O459" s="483">
        <v>1</v>
      </c>
      <c r="P459" s="483">
        <v>1</v>
      </c>
      <c r="Q459" s="291">
        <f t="shared" si="64"/>
        <v>0</v>
      </c>
      <c r="R459" s="291">
        <f t="shared" si="65"/>
        <v>0</v>
      </c>
      <c r="S459" s="300">
        <f t="shared" si="60"/>
        <v>0</v>
      </c>
      <c r="T459" s="300">
        <f t="shared" si="61"/>
        <v>0</v>
      </c>
      <c r="U459" s="769">
        <f t="shared" si="62"/>
        <v>0</v>
      </c>
      <c r="V459" s="302"/>
      <c r="W459" s="303">
        <f>(Q459+R459)*'1.0-Contractblad'!$L$37</f>
        <v>0</v>
      </c>
      <c r="X459" s="303">
        <f ca="1">VLOOKUP(E459,'1.1a-Jaarprijzen'!$B$32:$Q$51,16,FALSE)*K459</f>
        <v>0</v>
      </c>
      <c r="Z459" s="771">
        <f t="shared" si="66"/>
        <v>0</v>
      </c>
      <c r="AA459" s="491" t="str">
        <f t="shared" si="67"/>
        <v>nvt-0</v>
      </c>
    </row>
    <row r="460" spans="2:27" s="489" customFormat="1" ht="15" hidden="1">
      <c r="B460" s="329"/>
      <c r="C460" s="330"/>
      <c r="D460" s="294">
        <f>VLOOKUP(E460,'1.1a-Jaarprijzen'!$B$13:$G$29,6,FALSE)</f>
        <v>3</v>
      </c>
      <c r="E460" s="768" t="s">
        <v>875</v>
      </c>
      <c r="F460" s="294" t="s">
        <v>387</v>
      </c>
      <c r="G460" s="295" t="s">
        <v>885</v>
      </c>
      <c r="H460" s="293" t="s">
        <v>886</v>
      </c>
      <c r="I460" s="296" t="str">
        <f t="shared" si="51"/>
        <v>niet van toepassing</v>
      </c>
      <c r="J460" s="294" t="s">
        <v>655</v>
      </c>
      <c r="K460" s="297"/>
      <c r="L460" s="297">
        <v>10.3</v>
      </c>
      <c r="M460" s="298" t="s">
        <v>17</v>
      </c>
      <c r="N460" s="299">
        <f t="shared" si="63"/>
        <v>0</v>
      </c>
      <c r="O460" s="483">
        <v>1</v>
      </c>
      <c r="P460" s="483">
        <v>1</v>
      </c>
      <c r="Q460" s="291">
        <f t="shared" si="64"/>
        <v>0</v>
      </c>
      <c r="R460" s="291">
        <f t="shared" si="65"/>
        <v>0</v>
      </c>
      <c r="S460" s="300">
        <f t="shared" si="60"/>
        <v>0</v>
      </c>
      <c r="T460" s="300">
        <f t="shared" si="61"/>
        <v>0</v>
      </c>
      <c r="U460" s="769">
        <f t="shared" si="62"/>
        <v>0</v>
      </c>
      <c r="V460" s="302"/>
      <c r="W460" s="303">
        <f>(Q460+R460)*'1.0-Contractblad'!$L$37</f>
        <v>0</v>
      </c>
      <c r="X460" s="303">
        <f ca="1">VLOOKUP(E460,'1.1a-Jaarprijzen'!$B$32:$Q$51,16,FALSE)*K460</f>
        <v>0</v>
      </c>
      <c r="Z460" s="771">
        <f t="shared" si="66"/>
        <v>0</v>
      </c>
      <c r="AA460" s="491" t="str">
        <f t="shared" si="67"/>
        <v>nvt-0</v>
      </c>
    </row>
    <row r="461" spans="2:27" s="489" customFormat="1" ht="15" hidden="1">
      <c r="B461" s="329"/>
      <c r="C461" s="330"/>
      <c r="D461" s="294">
        <f>VLOOKUP(E461,'1.1a-Jaarprijzen'!$B$13:$G$29,6,FALSE)</f>
        <v>3</v>
      </c>
      <c r="E461" s="768" t="s">
        <v>875</v>
      </c>
      <c r="F461" s="294" t="s">
        <v>387</v>
      </c>
      <c r="G461" s="295" t="s">
        <v>887</v>
      </c>
      <c r="H461" s="293" t="s">
        <v>392</v>
      </c>
      <c r="I461" s="296" t="str">
        <f t="shared" si="51"/>
        <v>niet van toepassing</v>
      </c>
      <c r="J461" s="294" t="s">
        <v>655</v>
      </c>
      <c r="K461" s="297"/>
      <c r="L461" s="297">
        <v>3.7</v>
      </c>
      <c r="M461" s="298" t="s">
        <v>17</v>
      </c>
      <c r="N461" s="299">
        <f t="shared" si="63"/>
        <v>0</v>
      </c>
      <c r="O461" s="483">
        <v>1</v>
      </c>
      <c r="P461" s="483">
        <v>1</v>
      </c>
      <c r="Q461" s="291">
        <f t="shared" si="64"/>
        <v>0</v>
      </c>
      <c r="R461" s="291">
        <f t="shared" si="65"/>
        <v>0</v>
      </c>
      <c r="S461" s="300">
        <f t="shared" si="60"/>
        <v>0</v>
      </c>
      <c r="T461" s="300">
        <f t="shared" si="61"/>
        <v>0</v>
      </c>
      <c r="U461" s="769">
        <f t="shared" si="62"/>
        <v>0</v>
      </c>
      <c r="V461" s="302"/>
      <c r="W461" s="303">
        <f>(Q461+R461)*'1.0-Contractblad'!$L$37</f>
        <v>0</v>
      </c>
      <c r="X461" s="303">
        <f ca="1">VLOOKUP(E461,'1.1a-Jaarprijzen'!$B$32:$Q$51,16,FALSE)*K461</f>
        <v>0</v>
      </c>
      <c r="Z461" s="771">
        <f t="shared" si="66"/>
        <v>0</v>
      </c>
      <c r="AA461" s="491" t="str">
        <f t="shared" si="67"/>
        <v>nvt-0</v>
      </c>
    </row>
    <row r="462" spans="2:27" s="489" customFormat="1" ht="15" hidden="1">
      <c r="B462" s="329"/>
      <c r="C462" s="330"/>
      <c r="D462" s="294">
        <f>VLOOKUP(E462,'1.1a-Jaarprijzen'!$B$13:$G$29,6,FALSE)</f>
        <v>3</v>
      </c>
      <c r="E462" s="768" t="s">
        <v>875</v>
      </c>
      <c r="F462" s="294" t="s">
        <v>387</v>
      </c>
      <c r="G462" s="295" t="s">
        <v>888</v>
      </c>
      <c r="H462" s="293" t="s">
        <v>889</v>
      </c>
      <c r="I462" s="296" t="str">
        <f t="shared" si="51"/>
        <v>leslokaal/leerplein groep 4 t/m 8</v>
      </c>
      <c r="J462" s="294" t="s">
        <v>655</v>
      </c>
      <c r="K462" s="297">
        <v>54</v>
      </c>
      <c r="L462" s="297"/>
      <c r="M462" s="298">
        <v>18200</v>
      </c>
      <c r="N462" s="299">
        <f t="shared" si="63"/>
        <v>200</v>
      </c>
      <c r="O462" s="483">
        <v>1</v>
      </c>
      <c r="P462" s="483">
        <v>1</v>
      </c>
      <c r="Q462" s="291">
        <f t="shared" si="64"/>
        <v>0</v>
      </c>
      <c r="R462" s="291">
        <f t="shared" si="65"/>
        <v>0</v>
      </c>
      <c r="S462" s="300">
        <f t="shared" si="60"/>
        <v>0</v>
      </c>
      <c r="T462" s="300">
        <f t="shared" si="61"/>
        <v>0</v>
      </c>
      <c r="U462" s="769" t="str">
        <f t="shared" si="62"/>
        <v>L</v>
      </c>
      <c r="V462" s="302"/>
      <c r="W462" s="303">
        <f>(Q462+R462)*'1.0-Contractblad'!$L$37</f>
        <v>0</v>
      </c>
      <c r="X462" s="303">
        <f ca="1">VLOOKUP(E462,'1.1a-Jaarprijzen'!$B$32:$Q$51,16,FALSE)*K462</f>
        <v>0</v>
      </c>
      <c r="Z462" s="771">
        <f t="shared" si="66"/>
        <v>10800</v>
      </c>
      <c r="AA462" s="491" t="str">
        <f t="shared" si="67"/>
        <v>18200-200</v>
      </c>
    </row>
    <row r="463" spans="2:27" s="489" customFormat="1" ht="15" hidden="1">
      <c r="B463" s="329"/>
      <c r="C463" s="330"/>
      <c r="D463" s="294">
        <f>VLOOKUP(E463,'1.1a-Jaarprijzen'!$B$13:$G$29,6,FALSE)</f>
        <v>3</v>
      </c>
      <c r="E463" s="768" t="s">
        <v>875</v>
      </c>
      <c r="F463" s="294" t="s">
        <v>387</v>
      </c>
      <c r="G463" s="295" t="s">
        <v>890</v>
      </c>
      <c r="H463" s="293" t="s">
        <v>889</v>
      </c>
      <c r="I463" s="296" t="str">
        <f t="shared" si="51"/>
        <v>leslokaal/bevo/handvaardigheid</v>
      </c>
      <c r="J463" s="294" t="s">
        <v>655</v>
      </c>
      <c r="K463" s="297">
        <v>54</v>
      </c>
      <c r="L463" s="297"/>
      <c r="M463" s="298">
        <v>7120</v>
      </c>
      <c r="N463" s="299">
        <f t="shared" si="63"/>
        <v>120</v>
      </c>
      <c r="O463" s="483">
        <v>1</v>
      </c>
      <c r="P463" s="483">
        <v>1</v>
      </c>
      <c r="Q463" s="291">
        <f t="shared" si="64"/>
        <v>0</v>
      </c>
      <c r="R463" s="291">
        <f t="shared" si="65"/>
        <v>0</v>
      </c>
      <c r="S463" s="300">
        <f t="shared" si="60"/>
        <v>0</v>
      </c>
      <c r="T463" s="300">
        <f t="shared" si="61"/>
        <v>0</v>
      </c>
      <c r="U463" s="769" t="str">
        <f t="shared" si="62"/>
        <v>L</v>
      </c>
      <c r="V463" s="302"/>
      <c r="W463" s="303">
        <f>(Q463+R463)*'1.0-Contractblad'!$L$37</f>
        <v>0</v>
      </c>
      <c r="X463" s="303">
        <f ca="1">VLOOKUP(E463,'1.1a-Jaarprijzen'!$B$32:$Q$51,16,FALSE)*K463</f>
        <v>0</v>
      </c>
      <c r="Z463" s="771">
        <f t="shared" si="66"/>
        <v>6480</v>
      </c>
      <c r="AA463" s="491" t="str">
        <f t="shared" si="67"/>
        <v>7120-120</v>
      </c>
    </row>
    <row r="464" spans="2:27" s="489" customFormat="1" ht="15" hidden="1">
      <c r="B464" s="329"/>
      <c r="C464" s="330"/>
      <c r="D464" s="294">
        <f>VLOOKUP(E464,'1.1a-Jaarprijzen'!$B$13:$G$29,6,FALSE)</f>
        <v>3</v>
      </c>
      <c r="E464" s="768" t="s">
        <v>875</v>
      </c>
      <c r="F464" s="294" t="s">
        <v>387</v>
      </c>
      <c r="G464" s="295" t="s">
        <v>891</v>
      </c>
      <c r="H464" s="293" t="s">
        <v>892</v>
      </c>
      <c r="I464" s="296" t="str">
        <f t="shared" si="51"/>
        <v>niet van toepassing</v>
      </c>
      <c r="J464" s="294" t="s">
        <v>655</v>
      </c>
      <c r="K464" s="297"/>
      <c r="L464" s="297">
        <v>3.7</v>
      </c>
      <c r="M464" s="298" t="s">
        <v>17</v>
      </c>
      <c r="N464" s="299">
        <f t="shared" si="63"/>
        <v>0</v>
      </c>
      <c r="O464" s="483">
        <v>1</v>
      </c>
      <c r="P464" s="483">
        <v>1</v>
      </c>
      <c r="Q464" s="291">
        <f t="shared" si="64"/>
        <v>0</v>
      </c>
      <c r="R464" s="291">
        <f t="shared" si="65"/>
        <v>0</v>
      </c>
      <c r="S464" s="300">
        <f t="shared" si="60"/>
        <v>0</v>
      </c>
      <c r="T464" s="300">
        <f t="shared" si="61"/>
        <v>0</v>
      </c>
      <c r="U464" s="769">
        <f t="shared" si="62"/>
        <v>0</v>
      </c>
      <c r="V464" s="302"/>
      <c r="W464" s="303">
        <f>(Q464+R464)*'1.0-Contractblad'!$L$37</f>
        <v>0</v>
      </c>
      <c r="X464" s="303">
        <f ca="1">VLOOKUP(E464,'1.1a-Jaarprijzen'!$B$32:$Q$51,16,FALSE)*K464</f>
        <v>0</v>
      </c>
      <c r="Z464" s="771">
        <f t="shared" si="66"/>
        <v>0</v>
      </c>
      <c r="AA464" s="491" t="str">
        <f t="shared" si="67"/>
        <v>nvt-0</v>
      </c>
    </row>
    <row r="465" spans="2:27" s="489" customFormat="1" ht="15" hidden="1">
      <c r="B465" s="329"/>
      <c r="C465" s="330"/>
      <c r="D465" s="294">
        <f>VLOOKUP(E465,'1.1a-Jaarprijzen'!$B$13:$G$29,6,FALSE)</f>
        <v>3</v>
      </c>
      <c r="E465" s="768" t="s">
        <v>875</v>
      </c>
      <c r="F465" s="294" t="s">
        <v>387</v>
      </c>
      <c r="G465" s="295" t="s">
        <v>893</v>
      </c>
      <c r="H465" s="293" t="s">
        <v>477</v>
      </c>
      <c r="I465" s="296" t="str">
        <f t="shared" si="51"/>
        <v>sanitaire ruimte (toilet-/doucheruimte)</v>
      </c>
      <c r="J465" s="294" t="s">
        <v>461</v>
      </c>
      <c r="K465" s="297">
        <v>9.3000000000000007</v>
      </c>
      <c r="L465" s="297"/>
      <c r="M465" s="298">
        <v>4200</v>
      </c>
      <c r="N465" s="299">
        <f t="shared" si="63"/>
        <v>200</v>
      </c>
      <c r="O465" s="483">
        <v>1</v>
      </c>
      <c r="P465" s="483">
        <v>1</v>
      </c>
      <c r="Q465" s="291">
        <f t="shared" si="64"/>
        <v>0</v>
      </c>
      <c r="R465" s="291">
        <f t="shared" si="65"/>
        <v>0</v>
      </c>
      <c r="S465" s="300">
        <f t="shared" si="60"/>
        <v>0</v>
      </c>
      <c r="T465" s="300">
        <f t="shared" si="61"/>
        <v>0</v>
      </c>
      <c r="U465" s="769" t="str">
        <f t="shared" si="62"/>
        <v>S</v>
      </c>
      <c r="V465" s="302"/>
      <c r="W465" s="303">
        <f>(Q465+R465)*'1.0-Contractblad'!$L$37</f>
        <v>0</v>
      </c>
      <c r="X465" s="303">
        <f ca="1">VLOOKUP(E465,'1.1a-Jaarprijzen'!$B$32:$Q$51,16,FALSE)*K465</f>
        <v>0</v>
      </c>
      <c r="Z465" s="771">
        <f t="shared" si="66"/>
        <v>1860.0000000000002</v>
      </c>
      <c r="AA465" s="491" t="str">
        <f t="shared" si="67"/>
        <v>4200-200</v>
      </c>
    </row>
    <row r="466" spans="2:27" s="489" customFormat="1" ht="15" hidden="1">
      <c r="B466" s="329"/>
      <c r="C466" s="330"/>
      <c r="D466" s="294">
        <f>VLOOKUP(E466,'1.1a-Jaarprijzen'!$B$13:$G$29,6,FALSE)</f>
        <v>3</v>
      </c>
      <c r="E466" s="768" t="s">
        <v>875</v>
      </c>
      <c r="F466" s="294" t="s">
        <v>387</v>
      </c>
      <c r="G466" s="295" t="s">
        <v>894</v>
      </c>
      <c r="H466" s="293" t="s">
        <v>895</v>
      </c>
      <c r="I466" s="296" t="str">
        <f t="shared" si="51"/>
        <v>leslokaal/bevo/handvaardigheid</v>
      </c>
      <c r="J466" s="294" t="s">
        <v>655</v>
      </c>
      <c r="K466" s="297">
        <v>55.3</v>
      </c>
      <c r="L466" s="297"/>
      <c r="M466" s="298">
        <v>7040</v>
      </c>
      <c r="N466" s="299">
        <f t="shared" si="63"/>
        <v>40</v>
      </c>
      <c r="O466" s="483">
        <v>1</v>
      </c>
      <c r="P466" s="483">
        <v>1</v>
      </c>
      <c r="Q466" s="291">
        <f t="shared" si="64"/>
        <v>0</v>
      </c>
      <c r="R466" s="291">
        <f t="shared" si="65"/>
        <v>0</v>
      </c>
      <c r="S466" s="300">
        <f t="shared" si="60"/>
        <v>0</v>
      </c>
      <c r="T466" s="300">
        <f t="shared" si="61"/>
        <v>0</v>
      </c>
      <c r="U466" s="769" t="str">
        <f t="shared" si="62"/>
        <v>L</v>
      </c>
      <c r="V466" s="302"/>
      <c r="W466" s="303">
        <f>(Q466+R466)*'1.0-Contractblad'!$L$37</f>
        <v>0</v>
      </c>
      <c r="X466" s="303">
        <f ca="1">VLOOKUP(E466,'1.1a-Jaarprijzen'!$B$32:$Q$51,16,FALSE)*K466</f>
        <v>0</v>
      </c>
      <c r="Z466" s="771">
        <f t="shared" si="66"/>
        <v>2212</v>
      </c>
      <c r="AA466" s="491" t="str">
        <f t="shared" si="67"/>
        <v>7040-40</v>
      </c>
    </row>
    <row r="467" spans="2:27" s="489" customFormat="1" ht="15" hidden="1">
      <c r="B467" s="329"/>
      <c r="C467" s="330"/>
      <c r="D467" s="294">
        <f>VLOOKUP(E467,'1.1a-Jaarprijzen'!$B$13:$G$29,6,FALSE)</f>
        <v>3</v>
      </c>
      <c r="E467" s="768" t="s">
        <v>875</v>
      </c>
      <c r="F467" s="294" t="s">
        <v>387</v>
      </c>
      <c r="G467" s="295" t="s">
        <v>896</v>
      </c>
      <c r="H467" s="293" t="s">
        <v>1012</v>
      </c>
      <c r="I467" s="296" t="str">
        <f t="shared" si="51"/>
        <v>niet van toepassing</v>
      </c>
      <c r="J467" s="294" t="s">
        <v>655</v>
      </c>
      <c r="K467" s="297"/>
      <c r="L467" s="297">
        <v>11.5</v>
      </c>
      <c r="M467" s="298" t="s">
        <v>17</v>
      </c>
      <c r="N467" s="299">
        <f t="shared" si="63"/>
        <v>0</v>
      </c>
      <c r="O467" s="483">
        <v>1</v>
      </c>
      <c r="P467" s="483">
        <v>1</v>
      </c>
      <c r="Q467" s="291">
        <f t="shared" si="64"/>
        <v>0</v>
      </c>
      <c r="R467" s="291">
        <f t="shared" si="65"/>
        <v>0</v>
      </c>
      <c r="S467" s="300">
        <f t="shared" si="60"/>
        <v>0</v>
      </c>
      <c r="T467" s="300">
        <f t="shared" si="61"/>
        <v>0</v>
      </c>
      <c r="U467" s="769">
        <f t="shared" si="62"/>
        <v>0</v>
      </c>
      <c r="V467" s="302"/>
      <c r="W467" s="303">
        <f>(Q467+R467)*'1.0-Contractblad'!$L$37</f>
        <v>0</v>
      </c>
      <c r="X467" s="303">
        <f ca="1">VLOOKUP(E467,'1.1a-Jaarprijzen'!$B$32:$Q$51,16,FALSE)*K467</f>
        <v>0</v>
      </c>
      <c r="Z467" s="771">
        <f t="shared" si="66"/>
        <v>0</v>
      </c>
      <c r="AA467" s="491" t="str">
        <f t="shared" si="67"/>
        <v>nvt-0</v>
      </c>
    </row>
    <row r="468" spans="2:27" s="489" customFormat="1" ht="15" hidden="1">
      <c r="B468" s="329"/>
      <c r="C468" s="330"/>
      <c r="D468" s="294">
        <f>VLOOKUP(E468,'1.1a-Jaarprijzen'!$B$13:$G$29,6,FALSE)</f>
        <v>3</v>
      </c>
      <c r="E468" s="768" t="s">
        <v>875</v>
      </c>
      <c r="F468" s="294" t="s">
        <v>387</v>
      </c>
      <c r="G468" s="295" t="s">
        <v>897</v>
      </c>
      <c r="H468" s="293" t="s">
        <v>388</v>
      </c>
      <c r="I468" s="296" t="str">
        <f t="shared" si="51"/>
        <v>entree, gang, hal, repro</v>
      </c>
      <c r="J468" s="294" t="s">
        <v>655</v>
      </c>
      <c r="K468" s="297">
        <v>104.3</v>
      </c>
      <c r="L468" s="297"/>
      <c r="M468" s="298">
        <v>3200</v>
      </c>
      <c r="N468" s="299">
        <f t="shared" si="63"/>
        <v>200</v>
      </c>
      <c r="O468" s="483">
        <v>1</v>
      </c>
      <c r="P468" s="483">
        <v>1</v>
      </c>
      <c r="Q468" s="291">
        <f t="shared" si="64"/>
        <v>0</v>
      </c>
      <c r="R468" s="291">
        <f t="shared" si="65"/>
        <v>0</v>
      </c>
      <c r="S468" s="300">
        <f t="shared" si="60"/>
        <v>0</v>
      </c>
      <c r="T468" s="300">
        <f t="shared" si="61"/>
        <v>0</v>
      </c>
      <c r="U468" s="769" t="str">
        <f t="shared" si="62"/>
        <v>V</v>
      </c>
      <c r="V468" s="302"/>
      <c r="W468" s="303">
        <f>(Q468+R468)*'1.0-Contractblad'!$L$37</f>
        <v>0</v>
      </c>
      <c r="X468" s="303">
        <f ca="1">VLOOKUP(E468,'1.1a-Jaarprijzen'!$B$32:$Q$51,16,FALSE)*K468</f>
        <v>0</v>
      </c>
      <c r="Z468" s="771">
        <f t="shared" si="66"/>
        <v>20860</v>
      </c>
      <c r="AA468" s="491" t="str">
        <f t="shared" si="67"/>
        <v>3200-200</v>
      </c>
    </row>
    <row r="469" spans="2:27" s="489" customFormat="1" ht="15" hidden="1">
      <c r="B469" s="329"/>
      <c r="C469" s="330"/>
      <c r="D469" s="294">
        <f>VLOOKUP(E469,'1.1a-Jaarprijzen'!$B$13:$G$29,6,FALSE)</f>
        <v>3</v>
      </c>
      <c r="E469" s="768" t="s">
        <v>875</v>
      </c>
      <c r="F469" s="294" t="s">
        <v>387</v>
      </c>
      <c r="G469" s="295" t="s">
        <v>898</v>
      </c>
      <c r="H469" s="293" t="s">
        <v>889</v>
      </c>
      <c r="I469" s="296" t="str">
        <f t="shared" si="51"/>
        <v>leslokaal/leerplein groep 4 t/m 8</v>
      </c>
      <c r="J469" s="294" t="s">
        <v>655</v>
      </c>
      <c r="K469" s="297">
        <v>56.5</v>
      </c>
      <c r="L469" s="297"/>
      <c r="M469" s="298">
        <v>18200</v>
      </c>
      <c r="N469" s="299">
        <f t="shared" si="63"/>
        <v>200</v>
      </c>
      <c r="O469" s="483">
        <v>1</v>
      </c>
      <c r="P469" s="483">
        <v>1</v>
      </c>
      <c r="Q469" s="291">
        <f t="shared" si="64"/>
        <v>0</v>
      </c>
      <c r="R469" s="291">
        <f t="shared" si="65"/>
        <v>0</v>
      </c>
      <c r="S469" s="300">
        <f t="shared" si="60"/>
        <v>0</v>
      </c>
      <c r="T469" s="300">
        <f t="shared" si="61"/>
        <v>0</v>
      </c>
      <c r="U469" s="769" t="str">
        <f t="shared" si="62"/>
        <v>L</v>
      </c>
      <c r="V469" s="302"/>
      <c r="W469" s="303">
        <f>(Q469+R469)*'1.0-Contractblad'!$L$37</f>
        <v>0</v>
      </c>
      <c r="X469" s="303">
        <f ca="1">VLOOKUP(E469,'1.1a-Jaarprijzen'!$B$32:$Q$51,16,FALSE)*K469</f>
        <v>0</v>
      </c>
      <c r="Z469" s="771">
        <f t="shared" si="66"/>
        <v>11300</v>
      </c>
      <c r="AA469" s="491" t="str">
        <f t="shared" si="67"/>
        <v>18200-200</v>
      </c>
    </row>
    <row r="470" spans="2:27" s="489" customFormat="1" ht="15" hidden="1">
      <c r="B470" s="329"/>
      <c r="C470" s="330"/>
      <c r="D470" s="294">
        <f>VLOOKUP(E470,'1.1a-Jaarprijzen'!$B$13:$G$29,6,FALSE)</f>
        <v>3</v>
      </c>
      <c r="E470" s="768" t="s">
        <v>875</v>
      </c>
      <c r="F470" s="294" t="s">
        <v>387</v>
      </c>
      <c r="G470" s="295" t="s">
        <v>899</v>
      </c>
      <c r="H470" s="293" t="s">
        <v>392</v>
      </c>
      <c r="I470" s="296" t="str">
        <f t="shared" si="51"/>
        <v>niet van toepassing</v>
      </c>
      <c r="J470" s="294" t="s">
        <v>655</v>
      </c>
      <c r="K470" s="297"/>
      <c r="L470" s="297">
        <v>4.3</v>
      </c>
      <c r="M470" s="298" t="s">
        <v>17</v>
      </c>
      <c r="N470" s="299">
        <f t="shared" si="63"/>
        <v>0</v>
      </c>
      <c r="O470" s="483">
        <v>1</v>
      </c>
      <c r="P470" s="483">
        <v>1</v>
      </c>
      <c r="Q470" s="291">
        <f t="shared" si="64"/>
        <v>0</v>
      </c>
      <c r="R470" s="291">
        <f t="shared" si="65"/>
        <v>0</v>
      </c>
      <c r="S470" s="300">
        <f t="shared" si="60"/>
        <v>0</v>
      </c>
      <c r="T470" s="300">
        <f t="shared" si="61"/>
        <v>0</v>
      </c>
      <c r="U470" s="769">
        <f t="shared" si="62"/>
        <v>0</v>
      </c>
      <c r="V470" s="302"/>
      <c r="W470" s="303">
        <f>(Q470+R470)*'1.0-Contractblad'!$L$37</f>
        <v>0</v>
      </c>
      <c r="X470" s="303">
        <f ca="1">VLOOKUP(E470,'1.1a-Jaarprijzen'!$B$32:$Q$51,16,FALSE)*K470</f>
        <v>0</v>
      </c>
      <c r="Z470" s="771">
        <f t="shared" si="66"/>
        <v>0</v>
      </c>
      <c r="AA470" s="491" t="str">
        <f t="shared" si="67"/>
        <v>nvt-0</v>
      </c>
    </row>
    <row r="471" spans="2:27" s="489" customFormat="1" ht="15" hidden="1">
      <c r="B471" s="329"/>
      <c r="C471" s="330"/>
      <c r="D471" s="294">
        <f>VLOOKUP(E471,'1.1a-Jaarprijzen'!$B$13:$G$29,6,FALSE)</f>
        <v>3</v>
      </c>
      <c r="E471" s="768" t="s">
        <v>875</v>
      </c>
      <c r="F471" s="294" t="s">
        <v>387</v>
      </c>
      <c r="G471" s="295" t="s">
        <v>900</v>
      </c>
      <c r="H471" s="293" t="s">
        <v>392</v>
      </c>
      <c r="I471" s="296" t="str">
        <f t="shared" si="51"/>
        <v>niet van toepassing</v>
      </c>
      <c r="J471" s="294" t="s">
        <v>655</v>
      </c>
      <c r="K471" s="297"/>
      <c r="L471" s="297">
        <v>5.5</v>
      </c>
      <c r="M471" s="298" t="s">
        <v>17</v>
      </c>
      <c r="N471" s="299">
        <f t="shared" si="63"/>
        <v>0</v>
      </c>
      <c r="O471" s="483">
        <v>1</v>
      </c>
      <c r="P471" s="483">
        <v>1</v>
      </c>
      <c r="Q471" s="291">
        <f t="shared" si="64"/>
        <v>0</v>
      </c>
      <c r="R471" s="291">
        <f t="shared" si="65"/>
        <v>0</v>
      </c>
      <c r="S471" s="300">
        <f t="shared" si="60"/>
        <v>0</v>
      </c>
      <c r="T471" s="300">
        <f t="shared" si="61"/>
        <v>0</v>
      </c>
      <c r="U471" s="769">
        <f t="shared" si="62"/>
        <v>0</v>
      </c>
      <c r="V471" s="302"/>
      <c r="W471" s="303">
        <f>(Q471+R471)*'1.0-Contractblad'!$L$37</f>
        <v>0</v>
      </c>
      <c r="X471" s="303">
        <f ca="1">VLOOKUP(E471,'1.1a-Jaarprijzen'!$B$32:$Q$51,16,FALSE)*K471</f>
        <v>0</v>
      </c>
      <c r="Z471" s="771">
        <f t="shared" si="66"/>
        <v>0</v>
      </c>
      <c r="AA471" s="491" t="str">
        <f t="shared" si="67"/>
        <v>nvt-0</v>
      </c>
    </row>
    <row r="472" spans="2:27" s="489" customFormat="1" ht="15" hidden="1">
      <c r="B472" s="329"/>
      <c r="C472" s="330"/>
      <c r="D472" s="294">
        <f>VLOOKUP(E472,'1.1a-Jaarprijzen'!$B$13:$G$29,6,FALSE)</f>
        <v>3</v>
      </c>
      <c r="E472" s="768" t="s">
        <v>875</v>
      </c>
      <c r="F472" s="294" t="s">
        <v>387</v>
      </c>
      <c r="G472" s="295" t="s">
        <v>901</v>
      </c>
      <c r="H472" s="293" t="s">
        <v>892</v>
      </c>
      <c r="I472" s="296" t="str">
        <f t="shared" si="51"/>
        <v>niet van toepassing</v>
      </c>
      <c r="J472" s="294" t="s">
        <v>655</v>
      </c>
      <c r="K472" s="297"/>
      <c r="L472" s="297">
        <v>3.7</v>
      </c>
      <c r="M472" s="298" t="s">
        <v>17</v>
      </c>
      <c r="N472" s="299">
        <f t="shared" si="63"/>
        <v>0</v>
      </c>
      <c r="O472" s="483">
        <v>1</v>
      </c>
      <c r="P472" s="483">
        <v>1</v>
      </c>
      <c r="Q472" s="291">
        <f t="shared" si="64"/>
        <v>0</v>
      </c>
      <c r="R472" s="291">
        <f t="shared" si="65"/>
        <v>0</v>
      </c>
      <c r="S472" s="300">
        <f t="shared" si="60"/>
        <v>0</v>
      </c>
      <c r="T472" s="300">
        <f t="shared" si="61"/>
        <v>0</v>
      </c>
      <c r="U472" s="769">
        <f t="shared" si="62"/>
        <v>0</v>
      </c>
      <c r="V472" s="302"/>
      <c r="W472" s="303">
        <f>(Q472+R472)*'1.0-Contractblad'!$L$37</f>
        <v>0</v>
      </c>
      <c r="X472" s="303">
        <f ca="1">VLOOKUP(E472,'1.1a-Jaarprijzen'!$B$32:$Q$51,16,FALSE)*K472</f>
        <v>0</v>
      </c>
      <c r="Z472" s="771">
        <f t="shared" si="66"/>
        <v>0</v>
      </c>
      <c r="AA472" s="491" t="str">
        <f t="shared" si="67"/>
        <v>nvt-0</v>
      </c>
    </row>
    <row r="473" spans="2:27" s="489" customFormat="1" ht="15" hidden="1">
      <c r="B473" s="329"/>
      <c r="C473" s="330"/>
      <c r="D473" s="294">
        <f>VLOOKUP(E473,'1.1a-Jaarprijzen'!$B$13:$G$29,6,FALSE)</f>
        <v>3</v>
      </c>
      <c r="E473" s="768" t="s">
        <v>875</v>
      </c>
      <c r="F473" s="294" t="s">
        <v>387</v>
      </c>
      <c r="G473" s="295" t="s">
        <v>902</v>
      </c>
      <c r="H473" s="293" t="s">
        <v>889</v>
      </c>
      <c r="I473" s="296" t="str">
        <f t="shared" si="51"/>
        <v>leslokaal/leerplein groep 4 t/m 8</v>
      </c>
      <c r="J473" s="294" t="s">
        <v>655</v>
      </c>
      <c r="K473" s="297">
        <v>54</v>
      </c>
      <c r="L473" s="297"/>
      <c r="M473" s="298">
        <v>18200</v>
      </c>
      <c r="N473" s="299">
        <f t="shared" si="63"/>
        <v>200</v>
      </c>
      <c r="O473" s="483">
        <v>1</v>
      </c>
      <c r="P473" s="483">
        <v>1</v>
      </c>
      <c r="Q473" s="291">
        <f t="shared" si="64"/>
        <v>0</v>
      </c>
      <c r="R473" s="291">
        <f t="shared" si="65"/>
        <v>0</v>
      </c>
      <c r="S473" s="300">
        <f t="shared" si="60"/>
        <v>0</v>
      </c>
      <c r="T473" s="300">
        <f t="shared" si="61"/>
        <v>0</v>
      </c>
      <c r="U473" s="769" t="str">
        <f t="shared" si="62"/>
        <v>L</v>
      </c>
      <c r="V473" s="302"/>
      <c r="W473" s="303">
        <f>(Q473+R473)*'1.0-Contractblad'!$L$37</f>
        <v>0</v>
      </c>
      <c r="X473" s="303">
        <f ca="1">VLOOKUP(E473,'1.1a-Jaarprijzen'!$B$32:$Q$51,16,FALSE)*K473</f>
        <v>0</v>
      </c>
      <c r="Z473" s="771">
        <f t="shared" si="66"/>
        <v>10800</v>
      </c>
      <c r="AA473" s="491" t="str">
        <f t="shared" si="67"/>
        <v>18200-200</v>
      </c>
    </row>
    <row r="474" spans="2:27" s="489" customFormat="1" ht="15" hidden="1">
      <c r="B474" s="329"/>
      <c r="C474" s="330"/>
      <c r="D474" s="294">
        <f>VLOOKUP(E474,'1.1a-Jaarprijzen'!$B$13:$G$29,6,FALSE)</f>
        <v>3</v>
      </c>
      <c r="E474" s="768" t="s">
        <v>875</v>
      </c>
      <c r="F474" s="294" t="s">
        <v>387</v>
      </c>
      <c r="G474" s="295" t="s">
        <v>903</v>
      </c>
      <c r="H474" s="293" t="s">
        <v>889</v>
      </c>
      <c r="I474" s="296" t="str">
        <f t="shared" si="51"/>
        <v>leslokaal/leerplein groep 4 t/m 8</v>
      </c>
      <c r="J474" s="294" t="s">
        <v>655</v>
      </c>
      <c r="K474" s="297">
        <v>68.5</v>
      </c>
      <c r="L474" s="297"/>
      <c r="M474" s="298">
        <v>18200</v>
      </c>
      <c r="N474" s="299">
        <f t="shared" si="63"/>
        <v>200</v>
      </c>
      <c r="O474" s="483">
        <v>1</v>
      </c>
      <c r="P474" s="483">
        <v>1</v>
      </c>
      <c r="Q474" s="291">
        <f t="shared" si="64"/>
        <v>0</v>
      </c>
      <c r="R474" s="291">
        <f t="shared" si="65"/>
        <v>0</v>
      </c>
      <c r="S474" s="300">
        <f t="shared" si="60"/>
        <v>0</v>
      </c>
      <c r="T474" s="300">
        <f t="shared" si="61"/>
        <v>0</v>
      </c>
      <c r="U474" s="769" t="str">
        <f t="shared" si="62"/>
        <v>L</v>
      </c>
      <c r="V474" s="302"/>
      <c r="W474" s="303">
        <f>(Q474+R474)*'1.0-Contractblad'!$L$37</f>
        <v>0</v>
      </c>
      <c r="X474" s="303">
        <f ca="1">VLOOKUP(E474,'1.1a-Jaarprijzen'!$B$32:$Q$51,16,FALSE)*K474</f>
        <v>0</v>
      </c>
      <c r="Z474" s="771">
        <f t="shared" si="66"/>
        <v>13700</v>
      </c>
      <c r="AA474" s="491" t="str">
        <f t="shared" si="67"/>
        <v>18200-200</v>
      </c>
    </row>
    <row r="475" spans="2:27" s="489" customFormat="1" ht="15" hidden="1">
      <c r="B475" s="329"/>
      <c r="C475" s="330"/>
      <c r="D475" s="294">
        <f>VLOOKUP(E475,'1.1a-Jaarprijzen'!$B$13:$G$29,6,FALSE)</f>
        <v>3</v>
      </c>
      <c r="E475" s="768" t="s">
        <v>875</v>
      </c>
      <c r="F475" s="294" t="s">
        <v>387</v>
      </c>
      <c r="G475" s="295" t="s">
        <v>904</v>
      </c>
      <c r="H475" s="293" t="s">
        <v>892</v>
      </c>
      <c r="I475" s="296" t="str">
        <f t="shared" si="51"/>
        <v>niet van toepassing</v>
      </c>
      <c r="J475" s="294" t="s">
        <v>655</v>
      </c>
      <c r="K475" s="297"/>
      <c r="L475" s="297">
        <v>4.5999999999999996</v>
      </c>
      <c r="M475" s="298" t="s">
        <v>17</v>
      </c>
      <c r="N475" s="299">
        <f t="shared" si="63"/>
        <v>0</v>
      </c>
      <c r="O475" s="483">
        <v>1</v>
      </c>
      <c r="P475" s="483">
        <v>1</v>
      </c>
      <c r="Q475" s="291">
        <f t="shared" si="64"/>
        <v>0</v>
      </c>
      <c r="R475" s="291">
        <f t="shared" si="65"/>
        <v>0</v>
      </c>
      <c r="S475" s="300">
        <f t="shared" si="60"/>
        <v>0</v>
      </c>
      <c r="T475" s="300">
        <f t="shared" si="61"/>
        <v>0</v>
      </c>
      <c r="U475" s="769">
        <f t="shared" si="62"/>
        <v>0</v>
      </c>
      <c r="V475" s="302"/>
      <c r="W475" s="303">
        <f>(Q475+R475)*'1.0-Contractblad'!$L$37</f>
        <v>0</v>
      </c>
      <c r="X475" s="303">
        <f ca="1">VLOOKUP(E475,'1.1a-Jaarprijzen'!$B$32:$Q$51,16,FALSE)*K475</f>
        <v>0</v>
      </c>
      <c r="Z475" s="771">
        <f t="shared" si="66"/>
        <v>0</v>
      </c>
      <c r="AA475" s="491" t="str">
        <f t="shared" si="67"/>
        <v>nvt-0</v>
      </c>
    </row>
    <row r="476" spans="2:27" s="489" customFormat="1" ht="15" hidden="1">
      <c r="B476" s="329"/>
      <c r="C476" s="330"/>
      <c r="D476" s="294">
        <f>VLOOKUP(E476,'1.1a-Jaarprijzen'!$B$13:$G$29,6,FALSE)</f>
        <v>3</v>
      </c>
      <c r="E476" s="768" t="s">
        <v>875</v>
      </c>
      <c r="F476" s="294" t="s">
        <v>387</v>
      </c>
      <c r="G476" s="295" t="s">
        <v>905</v>
      </c>
      <c r="H476" s="293" t="s">
        <v>477</v>
      </c>
      <c r="I476" s="296" t="str">
        <f t="shared" si="51"/>
        <v>sanitaire ruimte (toilet-/doucheruimte)</v>
      </c>
      <c r="J476" s="294" t="s">
        <v>461</v>
      </c>
      <c r="K476" s="297">
        <v>9.1999999999999993</v>
      </c>
      <c r="L476" s="297"/>
      <c r="M476" s="298">
        <v>4200</v>
      </c>
      <c r="N476" s="299">
        <f t="shared" si="63"/>
        <v>200</v>
      </c>
      <c r="O476" s="483">
        <v>1</v>
      </c>
      <c r="P476" s="483">
        <v>1</v>
      </c>
      <c r="Q476" s="291">
        <f t="shared" si="64"/>
        <v>0</v>
      </c>
      <c r="R476" s="291">
        <f t="shared" si="65"/>
        <v>0</v>
      </c>
      <c r="S476" s="300">
        <f t="shared" si="60"/>
        <v>0</v>
      </c>
      <c r="T476" s="300">
        <f t="shared" si="61"/>
        <v>0</v>
      </c>
      <c r="U476" s="769" t="str">
        <f t="shared" si="62"/>
        <v>S</v>
      </c>
      <c r="V476" s="302"/>
      <c r="W476" s="303">
        <f>(Q476+R476)*'1.0-Contractblad'!$L$37</f>
        <v>0</v>
      </c>
      <c r="X476" s="303">
        <f ca="1">VLOOKUP(E476,'1.1a-Jaarprijzen'!$B$32:$Q$51,16,FALSE)*K476</f>
        <v>0</v>
      </c>
      <c r="Z476" s="771">
        <f t="shared" si="66"/>
        <v>1839.9999999999998</v>
      </c>
      <c r="AA476" s="491" t="str">
        <f t="shared" si="67"/>
        <v>4200-200</v>
      </c>
    </row>
    <row r="477" spans="2:27" s="489" customFormat="1" ht="15" hidden="1">
      <c r="B477" s="329"/>
      <c r="C477" s="330"/>
      <c r="D477" s="294">
        <f>VLOOKUP(E477,'1.1a-Jaarprijzen'!$B$13:$G$29,6,FALSE)</f>
        <v>3</v>
      </c>
      <c r="E477" s="768" t="s">
        <v>875</v>
      </c>
      <c r="F477" s="294" t="s">
        <v>387</v>
      </c>
      <c r="G477" s="295" t="s">
        <v>906</v>
      </c>
      <c r="H477" s="293" t="s">
        <v>398</v>
      </c>
      <c r="I477" s="296" t="str">
        <f t="shared" si="51"/>
        <v>administratieve -,  vergaderruimte</v>
      </c>
      <c r="J477" s="294" t="s">
        <v>462</v>
      </c>
      <c r="K477" s="297">
        <v>8.6999999999999993</v>
      </c>
      <c r="L477" s="297"/>
      <c r="M477" s="298">
        <v>1200</v>
      </c>
      <c r="N477" s="299">
        <f t="shared" si="63"/>
        <v>200</v>
      </c>
      <c r="O477" s="483">
        <v>1</v>
      </c>
      <c r="P477" s="483">
        <v>1</v>
      </c>
      <c r="Q477" s="291">
        <f t="shared" si="64"/>
        <v>0</v>
      </c>
      <c r="R477" s="291">
        <f t="shared" si="65"/>
        <v>0</v>
      </c>
      <c r="S477" s="300">
        <f t="shared" si="60"/>
        <v>0</v>
      </c>
      <c r="T477" s="300">
        <f t="shared" si="61"/>
        <v>0</v>
      </c>
      <c r="U477" s="769" t="str">
        <f t="shared" si="62"/>
        <v>V</v>
      </c>
      <c r="V477" s="302"/>
      <c r="W477" s="303">
        <f>(Q477+R477)*'1.0-Contractblad'!$L$37</f>
        <v>0</v>
      </c>
      <c r="X477" s="303">
        <f ca="1">VLOOKUP(E477,'1.1a-Jaarprijzen'!$B$32:$Q$51,16,FALSE)*K477</f>
        <v>0</v>
      </c>
      <c r="Z477" s="771">
        <f t="shared" si="66"/>
        <v>1739.9999999999998</v>
      </c>
      <c r="AA477" s="491" t="str">
        <f t="shared" si="67"/>
        <v>1200-200</v>
      </c>
    </row>
    <row r="478" spans="2:27" s="489" customFormat="1" ht="15" hidden="1">
      <c r="B478" s="329"/>
      <c r="C478" s="330"/>
      <c r="D478" s="294">
        <f>VLOOKUP(E478,'1.1a-Jaarprijzen'!$B$13:$G$29,6,FALSE)</f>
        <v>3</v>
      </c>
      <c r="E478" s="768" t="s">
        <v>875</v>
      </c>
      <c r="F478" s="294" t="s">
        <v>387</v>
      </c>
      <c r="G478" s="295" t="s">
        <v>907</v>
      </c>
      <c r="H478" s="293" t="s">
        <v>638</v>
      </c>
      <c r="I478" s="296" t="str">
        <f t="shared" si="51"/>
        <v>sanitaire ruimte (toilet-/doucheruimte)</v>
      </c>
      <c r="J478" s="294" t="s">
        <v>461</v>
      </c>
      <c r="K478" s="297">
        <v>3.5</v>
      </c>
      <c r="L478" s="297"/>
      <c r="M478" s="298">
        <v>4200</v>
      </c>
      <c r="N478" s="299">
        <f t="shared" si="63"/>
        <v>200</v>
      </c>
      <c r="O478" s="483">
        <v>1</v>
      </c>
      <c r="P478" s="483">
        <v>1</v>
      </c>
      <c r="Q478" s="291">
        <f t="shared" si="64"/>
        <v>0</v>
      </c>
      <c r="R478" s="291">
        <f t="shared" si="65"/>
        <v>0</v>
      </c>
      <c r="S478" s="300">
        <f t="shared" ref="S478:S541" si="68">IF($M478=0,0,VLOOKUP($M478,Kengetal,6,FALSE))</f>
        <v>0</v>
      </c>
      <c r="T478" s="300">
        <f t="shared" ref="T478:T541" si="69">IF($M478=0,0,VLOOKUP($M478,Kengetal,7,FALSE))</f>
        <v>0</v>
      </c>
      <c r="U478" s="769" t="str">
        <f t="shared" si="62"/>
        <v>S</v>
      </c>
      <c r="V478" s="302"/>
      <c r="W478" s="303">
        <f>(Q478+R478)*'1.0-Contractblad'!$L$37</f>
        <v>0</v>
      </c>
      <c r="X478" s="303">
        <f ca="1">VLOOKUP(E478,'1.1a-Jaarprijzen'!$B$32:$Q$51,16,FALSE)*K478</f>
        <v>0</v>
      </c>
      <c r="Z478" s="771">
        <f t="shared" si="66"/>
        <v>700</v>
      </c>
      <c r="AA478" s="491" t="str">
        <f t="shared" si="67"/>
        <v>4200-200</v>
      </c>
    </row>
    <row r="479" spans="2:27" s="489" customFormat="1" ht="15" hidden="1">
      <c r="B479" s="329"/>
      <c r="C479" s="330"/>
      <c r="D479" s="294">
        <f>VLOOKUP(E479,'1.1a-Jaarprijzen'!$B$13:$G$29,6,FALSE)</f>
        <v>3</v>
      </c>
      <c r="E479" s="768" t="s">
        <v>875</v>
      </c>
      <c r="F479" s="294" t="s">
        <v>387</v>
      </c>
      <c r="G479" s="295" t="s">
        <v>908</v>
      </c>
      <c r="H479" s="293" t="s">
        <v>389</v>
      </c>
      <c r="I479" s="296" t="str">
        <f t="shared" si="51"/>
        <v>niet van toepassing</v>
      </c>
      <c r="J479" s="294" t="s">
        <v>655</v>
      </c>
      <c r="K479" s="297"/>
      <c r="L479" s="297">
        <v>3.3</v>
      </c>
      <c r="M479" s="298" t="s">
        <v>17</v>
      </c>
      <c r="N479" s="299">
        <f t="shared" si="63"/>
        <v>0</v>
      </c>
      <c r="O479" s="483">
        <v>1</v>
      </c>
      <c r="P479" s="483">
        <v>1</v>
      </c>
      <c r="Q479" s="291">
        <f t="shared" si="64"/>
        <v>0</v>
      </c>
      <c r="R479" s="291">
        <f t="shared" si="65"/>
        <v>0</v>
      </c>
      <c r="S479" s="300">
        <f t="shared" si="68"/>
        <v>0</v>
      </c>
      <c r="T479" s="300">
        <f t="shared" si="69"/>
        <v>0</v>
      </c>
      <c r="U479" s="769">
        <f t="shared" si="62"/>
        <v>0</v>
      </c>
      <c r="V479" s="302"/>
      <c r="W479" s="303">
        <f>(Q479+R479)*'1.0-Contractblad'!$L$37</f>
        <v>0</v>
      </c>
      <c r="X479" s="303">
        <f ca="1">VLOOKUP(E479,'1.1a-Jaarprijzen'!$B$32:$Q$51,16,FALSE)*K479</f>
        <v>0</v>
      </c>
      <c r="Z479" s="771">
        <f t="shared" si="66"/>
        <v>0</v>
      </c>
      <c r="AA479" s="491" t="str">
        <f t="shared" si="67"/>
        <v>nvt-0</v>
      </c>
    </row>
    <row r="480" spans="2:27" s="489" customFormat="1" ht="15" hidden="1">
      <c r="B480" s="329"/>
      <c r="C480" s="330"/>
      <c r="D480" s="294">
        <f>VLOOKUP(E480,'1.1a-Jaarprijzen'!$B$13:$G$29,6,FALSE)</f>
        <v>3</v>
      </c>
      <c r="E480" s="768" t="s">
        <v>875</v>
      </c>
      <c r="F480" s="294" t="s">
        <v>387</v>
      </c>
      <c r="G480" s="295" t="s">
        <v>909</v>
      </c>
      <c r="H480" s="293" t="s">
        <v>889</v>
      </c>
      <c r="I480" s="296" t="str">
        <f t="shared" si="51"/>
        <v>leslokaal/leerplein groep 4 t/m 8</v>
      </c>
      <c r="J480" s="294" t="s">
        <v>655</v>
      </c>
      <c r="K480" s="297">
        <v>54</v>
      </c>
      <c r="L480" s="297"/>
      <c r="M480" s="298">
        <v>18200</v>
      </c>
      <c r="N480" s="299">
        <f t="shared" si="63"/>
        <v>200</v>
      </c>
      <c r="O480" s="483">
        <v>1</v>
      </c>
      <c r="P480" s="483">
        <v>1</v>
      </c>
      <c r="Q480" s="291">
        <f t="shared" si="64"/>
        <v>0</v>
      </c>
      <c r="R480" s="291">
        <f t="shared" si="65"/>
        <v>0</v>
      </c>
      <c r="S480" s="300">
        <f t="shared" si="68"/>
        <v>0</v>
      </c>
      <c r="T480" s="300">
        <f t="shared" si="69"/>
        <v>0</v>
      </c>
      <c r="U480" s="769" t="str">
        <f t="shared" si="62"/>
        <v>L</v>
      </c>
      <c r="V480" s="302"/>
      <c r="W480" s="303">
        <f>(Q480+R480)*'1.0-Contractblad'!$L$37</f>
        <v>0</v>
      </c>
      <c r="X480" s="303">
        <f ca="1">VLOOKUP(E480,'1.1a-Jaarprijzen'!$B$32:$Q$51,16,FALSE)*K480</f>
        <v>0</v>
      </c>
      <c r="Z480" s="771">
        <f t="shared" si="66"/>
        <v>10800</v>
      </c>
      <c r="AA480" s="491" t="str">
        <f t="shared" si="67"/>
        <v>18200-200</v>
      </c>
    </row>
    <row r="481" spans="2:27" s="489" customFormat="1" ht="15" hidden="1">
      <c r="B481" s="329"/>
      <c r="C481" s="330"/>
      <c r="D481" s="294">
        <f>VLOOKUP(E481,'1.1a-Jaarprijzen'!$B$13:$G$29,6,FALSE)</f>
        <v>3</v>
      </c>
      <c r="E481" s="768" t="s">
        <v>875</v>
      </c>
      <c r="F481" s="294" t="s">
        <v>387</v>
      </c>
      <c r="G481" s="295" t="s">
        <v>910</v>
      </c>
      <c r="H481" s="293" t="s">
        <v>392</v>
      </c>
      <c r="I481" s="296" t="str">
        <f t="shared" si="51"/>
        <v>niet van toepassing</v>
      </c>
      <c r="J481" s="294" t="s">
        <v>655</v>
      </c>
      <c r="K481" s="297"/>
      <c r="L481" s="297">
        <v>3.7</v>
      </c>
      <c r="M481" s="298" t="s">
        <v>17</v>
      </c>
      <c r="N481" s="299">
        <f t="shared" si="63"/>
        <v>0</v>
      </c>
      <c r="O481" s="483">
        <v>1</v>
      </c>
      <c r="P481" s="483">
        <v>1</v>
      </c>
      <c r="Q481" s="291">
        <f t="shared" si="64"/>
        <v>0</v>
      </c>
      <c r="R481" s="291">
        <f t="shared" si="65"/>
        <v>0</v>
      </c>
      <c r="S481" s="300">
        <f t="shared" si="68"/>
        <v>0</v>
      </c>
      <c r="T481" s="300">
        <f t="shared" si="69"/>
        <v>0</v>
      </c>
      <c r="U481" s="769">
        <f t="shared" si="62"/>
        <v>0</v>
      </c>
      <c r="V481" s="302"/>
      <c r="W481" s="303">
        <f>(Q481+R481)*'1.0-Contractblad'!$L$37</f>
        <v>0</v>
      </c>
      <c r="X481" s="303">
        <f ca="1">VLOOKUP(E481,'1.1a-Jaarprijzen'!$B$32:$Q$51,16,FALSE)*K481</f>
        <v>0</v>
      </c>
      <c r="Z481" s="771">
        <f t="shared" si="66"/>
        <v>0</v>
      </c>
      <c r="AA481" s="491" t="str">
        <f t="shared" si="67"/>
        <v>nvt-0</v>
      </c>
    </row>
    <row r="482" spans="2:27" s="489" customFormat="1" ht="15" hidden="1">
      <c r="B482" s="329"/>
      <c r="C482" s="330"/>
      <c r="D482" s="294">
        <f>VLOOKUP(E482,'1.1a-Jaarprijzen'!$B$13:$G$29,6,FALSE)</f>
        <v>3</v>
      </c>
      <c r="E482" s="768" t="s">
        <v>875</v>
      </c>
      <c r="F482" s="294" t="s">
        <v>387</v>
      </c>
      <c r="G482" s="295" t="s">
        <v>911</v>
      </c>
      <c r="H482" s="293" t="s">
        <v>477</v>
      </c>
      <c r="I482" s="296" t="str">
        <f t="shared" si="51"/>
        <v>sanitaire ruimte (toilet-/doucheruimte)</v>
      </c>
      <c r="J482" s="294" t="s">
        <v>461</v>
      </c>
      <c r="K482" s="297">
        <v>9.6</v>
      </c>
      <c r="L482" s="297"/>
      <c r="M482" s="298">
        <v>4200</v>
      </c>
      <c r="N482" s="299">
        <f t="shared" si="63"/>
        <v>200</v>
      </c>
      <c r="O482" s="483">
        <v>1</v>
      </c>
      <c r="P482" s="483">
        <v>1</v>
      </c>
      <c r="Q482" s="291">
        <f t="shared" si="64"/>
        <v>0</v>
      </c>
      <c r="R482" s="291">
        <f t="shared" si="65"/>
        <v>0</v>
      </c>
      <c r="S482" s="300">
        <f t="shared" si="68"/>
        <v>0</v>
      </c>
      <c r="T482" s="300">
        <f t="shared" si="69"/>
        <v>0</v>
      </c>
      <c r="U482" s="769" t="str">
        <f t="shared" si="62"/>
        <v>S</v>
      </c>
      <c r="V482" s="302"/>
      <c r="W482" s="303">
        <f>(Q482+R482)*'1.0-Contractblad'!$L$37</f>
        <v>0</v>
      </c>
      <c r="X482" s="303">
        <f ca="1">VLOOKUP(E482,'1.1a-Jaarprijzen'!$B$32:$Q$51,16,FALSE)*K482</f>
        <v>0</v>
      </c>
      <c r="Z482" s="771">
        <f t="shared" si="66"/>
        <v>1920</v>
      </c>
      <c r="AA482" s="491" t="str">
        <f t="shared" si="67"/>
        <v>4200-200</v>
      </c>
    </row>
    <row r="483" spans="2:27" s="489" customFormat="1" ht="15" hidden="1">
      <c r="B483" s="329"/>
      <c r="C483" s="330"/>
      <c r="D483" s="294">
        <f>VLOOKUP(E483,'1.1a-Jaarprijzen'!$B$13:$G$29,6,FALSE)</f>
        <v>3</v>
      </c>
      <c r="E483" s="768" t="s">
        <v>875</v>
      </c>
      <c r="F483" s="294" t="s">
        <v>387</v>
      </c>
      <c r="G483" s="295" t="s">
        <v>912</v>
      </c>
      <c r="H483" s="293" t="s">
        <v>892</v>
      </c>
      <c r="I483" s="296" t="str">
        <f t="shared" si="51"/>
        <v>niet van toepassing</v>
      </c>
      <c r="J483" s="294" t="s">
        <v>655</v>
      </c>
      <c r="K483" s="297"/>
      <c r="L483" s="297">
        <v>3.7</v>
      </c>
      <c r="M483" s="298" t="s">
        <v>17</v>
      </c>
      <c r="N483" s="299">
        <f t="shared" si="63"/>
        <v>0</v>
      </c>
      <c r="O483" s="483">
        <v>1</v>
      </c>
      <c r="P483" s="483">
        <v>1</v>
      </c>
      <c r="Q483" s="291">
        <f t="shared" si="64"/>
        <v>0</v>
      </c>
      <c r="R483" s="291">
        <f t="shared" si="65"/>
        <v>0</v>
      </c>
      <c r="S483" s="300">
        <f t="shared" si="68"/>
        <v>0</v>
      </c>
      <c r="T483" s="300">
        <f t="shared" si="69"/>
        <v>0</v>
      </c>
      <c r="U483" s="769">
        <f t="shared" si="62"/>
        <v>0</v>
      </c>
      <c r="V483" s="302"/>
      <c r="W483" s="303">
        <f>(Q483+R483)*'1.0-Contractblad'!$L$37</f>
        <v>0</v>
      </c>
      <c r="X483" s="303">
        <f ca="1">VLOOKUP(E483,'1.1a-Jaarprijzen'!$B$32:$Q$51,16,FALSE)*K483</f>
        <v>0</v>
      </c>
      <c r="Z483" s="771">
        <f t="shared" si="66"/>
        <v>0</v>
      </c>
      <c r="AA483" s="491" t="str">
        <f t="shared" si="67"/>
        <v>nvt-0</v>
      </c>
    </row>
    <row r="484" spans="2:27" s="489" customFormat="1" ht="15" hidden="1">
      <c r="B484" s="329"/>
      <c r="C484" s="330"/>
      <c r="D484" s="294">
        <f>VLOOKUP(E484,'1.1a-Jaarprijzen'!$B$13:$G$29,6,FALSE)</f>
        <v>3</v>
      </c>
      <c r="E484" s="768" t="s">
        <v>875</v>
      </c>
      <c r="F484" s="294" t="s">
        <v>387</v>
      </c>
      <c r="G484" s="295" t="s">
        <v>913</v>
      </c>
      <c r="H484" s="293" t="s">
        <v>889</v>
      </c>
      <c r="I484" s="296" t="str">
        <f t="shared" si="51"/>
        <v>leslokaal/leerplein groep 4 t/m 8</v>
      </c>
      <c r="J484" s="294" t="s">
        <v>655</v>
      </c>
      <c r="K484" s="297">
        <v>54</v>
      </c>
      <c r="L484" s="297"/>
      <c r="M484" s="298">
        <v>18200</v>
      </c>
      <c r="N484" s="299">
        <f t="shared" si="63"/>
        <v>200</v>
      </c>
      <c r="O484" s="483">
        <v>1</v>
      </c>
      <c r="P484" s="483">
        <v>1</v>
      </c>
      <c r="Q484" s="291">
        <f t="shared" si="64"/>
        <v>0</v>
      </c>
      <c r="R484" s="291">
        <f t="shared" si="65"/>
        <v>0</v>
      </c>
      <c r="S484" s="300">
        <f t="shared" si="68"/>
        <v>0</v>
      </c>
      <c r="T484" s="300">
        <f t="shared" si="69"/>
        <v>0</v>
      </c>
      <c r="U484" s="769" t="str">
        <f t="shared" si="62"/>
        <v>L</v>
      </c>
      <c r="V484" s="302"/>
      <c r="W484" s="303">
        <f>(Q484+R484)*'1.0-Contractblad'!$L$37</f>
        <v>0</v>
      </c>
      <c r="X484" s="303">
        <f ca="1">VLOOKUP(E484,'1.1a-Jaarprijzen'!$B$32:$Q$51,16,FALSE)*K484</f>
        <v>0</v>
      </c>
      <c r="Z484" s="771">
        <f t="shared" si="66"/>
        <v>10800</v>
      </c>
      <c r="AA484" s="491" t="str">
        <f t="shared" si="67"/>
        <v>18200-200</v>
      </c>
    </row>
    <row r="485" spans="2:27" s="489" customFormat="1" ht="15" hidden="1">
      <c r="B485" s="329"/>
      <c r="C485" s="330"/>
      <c r="D485" s="294">
        <f>VLOOKUP(E485,'1.1a-Jaarprijzen'!$B$13:$G$29,6,FALSE)</f>
        <v>3</v>
      </c>
      <c r="E485" s="768" t="s">
        <v>875</v>
      </c>
      <c r="F485" s="294" t="s">
        <v>387</v>
      </c>
      <c r="G485" s="295" t="s">
        <v>914</v>
      </c>
      <c r="H485" s="293" t="s">
        <v>889</v>
      </c>
      <c r="I485" s="296" t="str">
        <f t="shared" si="51"/>
        <v>leslokaal/leerplein groep 4 t/m 8</v>
      </c>
      <c r="J485" s="294" t="s">
        <v>655</v>
      </c>
      <c r="K485" s="297">
        <v>54</v>
      </c>
      <c r="L485" s="297"/>
      <c r="M485" s="298">
        <v>18200</v>
      </c>
      <c r="N485" s="299">
        <f t="shared" si="63"/>
        <v>200</v>
      </c>
      <c r="O485" s="483">
        <v>1</v>
      </c>
      <c r="P485" s="483">
        <v>1</v>
      </c>
      <c r="Q485" s="291">
        <f t="shared" si="64"/>
        <v>0</v>
      </c>
      <c r="R485" s="291">
        <f t="shared" si="65"/>
        <v>0</v>
      </c>
      <c r="S485" s="300">
        <f t="shared" si="68"/>
        <v>0</v>
      </c>
      <c r="T485" s="300">
        <f t="shared" si="69"/>
        <v>0</v>
      </c>
      <c r="U485" s="769" t="str">
        <f t="shared" ref="U485:U548" si="70">IF(M485="","",VLOOKUP(M485,Kengetal,14,FALSE))</f>
        <v>L</v>
      </c>
      <c r="V485" s="302"/>
      <c r="W485" s="303">
        <f>(Q485+R485)*'1.0-Contractblad'!$L$37</f>
        <v>0</v>
      </c>
      <c r="X485" s="303">
        <f ca="1">VLOOKUP(E485,'1.1a-Jaarprijzen'!$B$32:$Q$51,16,FALSE)*K485</f>
        <v>0</v>
      </c>
      <c r="Z485" s="771">
        <f t="shared" si="66"/>
        <v>10800</v>
      </c>
      <c r="AA485" s="491" t="str">
        <f t="shared" si="67"/>
        <v>18200-200</v>
      </c>
    </row>
    <row r="486" spans="2:27" s="489" customFormat="1" ht="15" hidden="1">
      <c r="B486" s="329"/>
      <c r="C486" s="330"/>
      <c r="D486" s="294">
        <f>VLOOKUP(E486,'1.1a-Jaarprijzen'!$B$13:$G$29,6,FALSE)</f>
        <v>3</v>
      </c>
      <c r="E486" s="768" t="s">
        <v>875</v>
      </c>
      <c r="F486" s="294" t="s">
        <v>387</v>
      </c>
      <c r="G486" s="295" t="s">
        <v>915</v>
      </c>
      <c r="H486" s="293" t="s">
        <v>392</v>
      </c>
      <c r="I486" s="296" t="str">
        <f t="shared" si="51"/>
        <v>niet van toepassing</v>
      </c>
      <c r="J486" s="294" t="s">
        <v>655</v>
      </c>
      <c r="K486" s="297"/>
      <c r="L486" s="297">
        <v>3.7</v>
      </c>
      <c r="M486" s="298" t="s">
        <v>17</v>
      </c>
      <c r="N486" s="299">
        <f t="shared" ref="N486:N549" si="71">VLOOKUP(M486,Kengetal,3,FALSE)</f>
        <v>0</v>
      </c>
      <c r="O486" s="483">
        <v>1</v>
      </c>
      <c r="P486" s="483">
        <v>1</v>
      </c>
      <c r="Q486" s="291">
        <f t="shared" ref="Q486:Q549" si="72">S486*K486*O486</f>
        <v>0</v>
      </c>
      <c r="R486" s="291">
        <f t="shared" ref="R486:R549" si="73">T486*K486*P486</f>
        <v>0</v>
      </c>
      <c r="S486" s="300">
        <f t="shared" si="68"/>
        <v>0</v>
      </c>
      <c r="T486" s="300">
        <f t="shared" si="69"/>
        <v>0</v>
      </c>
      <c r="U486" s="769">
        <f t="shared" si="70"/>
        <v>0</v>
      </c>
      <c r="V486" s="302"/>
      <c r="W486" s="303">
        <f>(Q486+R486)*'1.0-Contractblad'!$L$37</f>
        <v>0</v>
      </c>
      <c r="X486" s="303">
        <f ca="1">VLOOKUP(E486,'1.1a-Jaarprijzen'!$B$32:$Q$51,16,FALSE)*K486</f>
        <v>0</v>
      </c>
      <c r="Z486" s="771">
        <f t="shared" ref="Z486:Z549" si="74">K486*N486</f>
        <v>0</v>
      </c>
      <c r="AA486" s="491" t="str">
        <f t="shared" ref="AA486:AA549" si="75">CONCATENATE(M486,"-",N486)</f>
        <v>nvt-0</v>
      </c>
    </row>
    <row r="487" spans="2:27" s="489" customFormat="1" ht="15" hidden="1">
      <c r="B487" s="329"/>
      <c r="C487" s="330"/>
      <c r="D487" s="294">
        <f>VLOOKUP(E487,'1.1a-Jaarprijzen'!$B$13:$G$29,6,FALSE)</f>
        <v>3</v>
      </c>
      <c r="E487" s="768" t="s">
        <v>875</v>
      </c>
      <c r="F487" s="294" t="s">
        <v>387</v>
      </c>
      <c r="G487" s="295" t="s">
        <v>916</v>
      </c>
      <c r="H487" s="293" t="s">
        <v>477</v>
      </c>
      <c r="I487" s="296" t="str">
        <f t="shared" si="51"/>
        <v>sanitaire ruimte (toilet-/doucheruimte)</v>
      </c>
      <c r="J487" s="294" t="s">
        <v>461</v>
      </c>
      <c r="K487" s="297">
        <v>9.4</v>
      </c>
      <c r="L487" s="297"/>
      <c r="M487" s="298">
        <v>4200</v>
      </c>
      <c r="N487" s="299">
        <f t="shared" si="71"/>
        <v>200</v>
      </c>
      <c r="O487" s="483">
        <v>1</v>
      </c>
      <c r="P487" s="483">
        <v>1</v>
      </c>
      <c r="Q487" s="291">
        <f t="shared" si="72"/>
        <v>0</v>
      </c>
      <c r="R487" s="291">
        <f t="shared" si="73"/>
        <v>0</v>
      </c>
      <c r="S487" s="300">
        <f t="shared" si="68"/>
        <v>0</v>
      </c>
      <c r="T487" s="300">
        <f t="shared" si="69"/>
        <v>0</v>
      </c>
      <c r="U487" s="769" t="str">
        <f t="shared" si="70"/>
        <v>S</v>
      </c>
      <c r="V487" s="302"/>
      <c r="W487" s="303">
        <f>(Q487+R487)*'1.0-Contractblad'!$L$37</f>
        <v>0</v>
      </c>
      <c r="X487" s="303">
        <f ca="1">VLOOKUP(E487,'1.1a-Jaarprijzen'!$B$32:$Q$51,16,FALSE)*K487</f>
        <v>0</v>
      </c>
      <c r="Z487" s="771">
        <f t="shared" si="74"/>
        <v>1880</v>
      </c>
      <c r="AA487" s="491" t="str">
        <f t="shared" si="75"/>
        <v>4200-200</v>
      </c>
    </row>
    <row r="488" spans="2:27" s="489" customFormat="1" ht="15" hidden="1">
      <c r="B488" s="329"/>
      <c r="C488" s="330"/>
      <c r="D488" s="294">
        <f>VLOOKUP(E488,'1.1a-Jaarprijzen'!$B$13:$G$29,6,FALSE)</f>
        <v>3</v>
      </c>
      <c r="E488" s="768" t="s">
        <v>875</v>
      </c>
      <c r="F488" s="294" t="s">
        <v>387</v>
      </c>
      <c r="G488" s="295" t="s">
        <v>917</v>
      </c>
      <c r="H488" s="293" t="s">
        <v>892</v>
      </c>
      <c r="I488" s="296" t="str">
        <f t="shared" si="51"/>
        <v>niet van toepassing</v>
      </c>
      <c r="J488" s="294" t="s">
        <v>655</v>
      </c>
      <c r="K488" s="297"/>
      <c r="L488" s="297">
        <v>3.7</v>
      </c>
      <c r="M488" s="298" t="s">
        <v>17</v>
      </c>
      <c r="N488" s="299">
        <f t="shared" si="71"/>
        <v>0</v>
      </c>
      <c r="O488" s="483">
        <v>1</v>
      </c>
      <c r="P488" s="483">
        <v>1</v>
      </c>
      <c r="Q488" s="291">
        <f t="shared" si="72"/>
        <v>0</v>
      </c>
      <c r="R488" s="291">
        <f t="shared" si="73"/>
        <v>0</v>
      </c>
      <c r="S488" s="300">
        <f t="shared" si="68"/>
        <v>0</v>
      </c>
      <c r="T488" s="300">
        <f t="shared" si="69"/>
        <v>0</v>
      </c>
      <c r="U488" s="769">
        <f t="shared" si="70"/>
        <v>0</v>
      </c>
      <c r="V488" s="302"/>
      <c r="W488" s="303">
        <f>(Q488+R488)*'1.0-Contractblad'!$L$37</f>
        <v>0</v>
      </c>
      <c r="X488" s="303">
        <f ca="1">VLOOKUP(E488,'1.1a-Jaarprijzen'!$B$32:$Q$51,16,FALSE)*K488</f>
        <v>0</v>
      </c>
      <c r="Z488" s="771">
        <f t="shared" si="74"/>
        <v>0</v>
      </c>
      <c r="AA488" s="491" t="str">
        <f t="shared" si="75"/>
        <v>nvt-0</v>
      </c>
    </row>
    <row r="489" spans="2:27" s="489" customFormat="1" ht="15" hidden="1">
      <c r="B489" s="329"/>
      <c r="C489" s="330"/>
      <c r="D489" s="294">
        <f>VLOOKUP(E489,'1.1a-Jaarprijzen'!$B$13:$G$29,6,FALSE)</f>
        <v>3</v>
      </c>
      <c r="E489" s="768" t="s">
        <v>875</v>
      </c>
      <c r="F489" s="294" t="s">
        <v>387</v>
      </c>
      <c r="G489" s="295" t="s">
        <v>918</v>
      </c>
      <c r="H489" s="293" t="s">
        <v>889</v>
      </c>
      <c r="I489" s="296" t="str">
        <f t="shared" si="51"/>
        <v>leslokaal/leerplein groep 4 t/m 8</v>
      </c>
      <c r="J489" s="294" t="s">
        <v>655</v>
      </c>
      <c r="K489" s="297">
        <v>54</v>
      </c>
      <c r="L489" s="297"/>
      <c r="M489" s="298">
        <v>18200</v>
      </c>
      <c r="N489" s="299">
        <f t="shared" si="71"/>
        <v>200</v>
      </c>
      <c r="O489" s="483">
        <v>1</v>
      </c>
      <c r="P489" s="483">
        <v>1</v>
      </c>
      <c r="Q489" s="291">
        <f t="shared" si="72"/>
        <v>0</v>
      </c>
      <c r="R489" s="291">
        <f t="shared" si="73"/>
        <v>0</v>
      </c>
      <c r="S489" s="300">
        <f t="shared" si="68"/>
        <v>0</v>
      </c>
      <c r="T489" s="300">
        <f t="shared" si="69"/>
        <v>0</v>
      </c>
      <c r="U489" s="769" t="str">
        <f t="shared" si="70"/>
        <v>L</v>
      </c>
      <c r="V489" s="302"/>
      <c r="W489" s="303">
        <f>(Q489+R489)*'1.0-Contractblad'!$L$37</f>
        <v>0</v>
      </c>
      <c r="X489" s="303">
        <f ca="1">VLOOKUP(E489,'1.1a-Jaarprijzen'!$B$32:$Q$51,16,FALSE)*K489</f>
        <v>0</v>
      </c>
      <c r="Z489" s="771">
        <f t="shared" si="74"/>
        <v>10800</v>
      </c>
      <c r="AA489" s="491" t="str">
        <f t="shared" si="75"/>
        <v>18200-200</v>
      </c>
    </row>
    <row r="490" spans="2:27" s="489" customFormat="1" ht="15" hidden="1">
      <c r="B490" s="329"/>
      <c r="C490" s="330"/>
      <c r="D490" s="294">
        <f>VLOOKUP(E490,'1.1a-Jaarprijzen'!$B$13:$G$29,6,FALSE)</f>
        <v>3</v>
      </c>
      <c r="E490" s="768" t="s">
        <v>875</v>
      </c>
      <c r="F490" s="294" t="s">
        <v>387</v>
      </c>
      <c r="G490" s="295" t="s">
        <v>919</v>
      </c>
      <c r="H490" s="293" t="s">
        <v>889</v>
      </c>
      <c r="I490" s="296" t="str">
        <f>IF($M490="",0,VLOOKUP($M490,Kengetal,4,FALSE))</f>
        <v>leslokaal/leerplein groep 4 t/m 8</v>
      </c>
      <c r="J490" s="294" t="s">
        <v>655</v>
      </c>
      <c r="K490" s="297">
        <v>54</v>
      </c>
      <c r="L490" s="297"/>
      <c r="M490" s="298">
        <v>18200</v>
      </c>
      <c r="N490" s="299">
        <f t="shared" si="71"/>
        <v>200</v>
      </c>
      <c r="O490" s="483">
        <v>1</v>
      </c>
      <c r="P490" s="483">
        <v>1</v>
      </c>
      <c r="Q490" s="291">
        <f t="shared" si="72"/>
        <v>0</v>
      </c>
      <c r="R490" s="291">
        <f t="shared" si="73"/>
        <v>0</v>
      </c>
      <c r="S490" s="300">
        <f t="shared" si="68"/>
        <v>0</v>
      </c>
      <c r="T490" s="300">
        <f t="shared" si="69"/>
        <v>0</v>
      </c>
      <c r="U490" s="769" t="str">
        <f t="shared" si="70"/>
        <v>L</v>
      </c>
      <c r="V490" s="302"/>
      <c r="W490" s="303">
        <f>(Q490+R490)*'1.0-Contractblad'!$L$37</f>
        <v>0</v>
      </c>
      <c r="X490" s="303">
        <f ca="1">VLOOKUP(E490,'1.1a-Jaarprijzen'!$B$32:$Q$51,16,FALSE)*K490</f>
        <v>0</v>
      </c>
      <c r="Z490" s="771">
        <f t="shared" si="74"/>
        <v>10800</v>
      </c>
      <c r="AA490" s="491" t="str">
        <f t="shared" si="75"/>
        <v>18200-200</v>
      </c>
    </row>
    <row r="491" spans="2:27" s="489" customFormat="1" ht="15" hidden="1">
      <c r="B491" s="329"/>
      <c r="C491" s="330"/>
      <c r="D491" s="294">
        <f>VLOOKUP(E491,'1.1a-Jaarprijzen'!$B$13:$G$29,6,FALSE)</f>
        <v>3</v>
      </c>
      <c r="E491" s="768" t="s">
        <v>875</v>
      </c>
      <c r="F491" s="294" t="s">
        <v>387</v>
      </c>
      <c r="G491" s="295" t="s">
        <v>920</v>
      </c>
      <c r="H491" s="293" t="s">
        <v>392</v>
      </c>
      <c r="I491" s="296" t="str">
        <f>IF($M491="",0,VLOOKUP($M491,Kengetal,4,FALSE))</f>
        <v>niet van toepassing</v>
      </c>
      <c r="J491" s="294" t="s">
        <v>655</v>
      </c>
      <c r="K491" s="297"/>
      <c r="L491" s="297">
        <v>3.7</v>
      </c>
      <c r="M491" s="298" t="s">
        <v>17</v>
      </c>
      <c r="N491" s="299">
        <f t="shared" si="71"/>
        <v>0</v>
      </c>
      <c r="O491" s="483">
        <v>1</v>
      </c>
      <c r="P491" s="483">
        <v>1</v>
      </c>
      <c r="Q491" s="291">
        <f t="shared" si="72"/>
        <v>0</v>
      </c>
      <c r="R491" s="291">
        <f t="shared" si="73"/>
        <v>0</v>
      </c>
      <c r="S491" s="300">
        <f t="shared" si="68"/>
        <v>0</v>
      </c>
      <c r="T491" s="300">
        <f t="shared" si="69"/>
        <v>0</v>
      </c>
      <c r="U491" s="769">
        <f t="shared" si="70"/>
        <v>0</v>
      </c>
      <c r="V491" s="302"/>
      <c r="W491" s="303">
        <f>(Q491+R491)*'1.0-Contractblad'!$L$37</f>
        <v>0</v>
      </c>
      <c r="X491" s="303">
        <f ca="1">VLOOKUP(E491,'1.1a-Jaarprijzen'!$B$32:$Q$51,16,FALSE)*K491</f>
        <v>0</v>
      </c>
      <c r="Z491" s="771">
        <f t="shared" si="74"/>
        <v>0</v>
      </c>
      <c r="AA491" s="491" t="str">
        <f t="shared" si="75"/>
        <v>nvt-0</v>
      </c>
    </row>
    <row r="492" spans="2:27" s="489" customFormat="1" ht="15" hidden="1">
      <c r="B492" s="329"/>
      <c r="C492" s="330"/>
      <c r="D492" s="294">
        <f>VLOOKUP(E492,'1.1a-Jaarprijzen'!$B$13:$G$29,6,FALSE)</f>
        <v>3</v>
      </c>
      <c r="E492" s="768" t="s">
        <v>875</v>
      </c>
      <c r="F492" s="294" t="s">
        <v>387</v>
      </c>
      <c r="G492" s="295" t="s">
        <v>921</v>
      </c>
      <c r="H492" s="293" t="s">
        <v>477</v>
      </c>
      <c r="I492" s="296" t="str">
        <f>IF($M492="",0,VLOOKUP($M492,Kengetal,4,FALSE))</f>
        <v>sanitaire ruimte (toilet-/doucheruimte)</v>
      </c>
      <c r="J492" s="294" t="s">
        <v>461</v>
      </c>
      <c r="K492" s="297">
        <v>9.3000000000000007</v>
      </c>
      <c r="L492" s="297"/>
      <c r="M492" s="298">
        <v>4200</v>
      </c>
      <c r="N492" s="299">
        <f t="shared" si="71"/>
        <v>200</v>
      </c>
      <c r="O492" s="483">
        <v>1</v>
      </c>
      <c r="P492" s="483">
        <v>1</v>
      </c>
      <c r="Q492" s="291">
        <f t="shared" si="72"/>
        <v>0</v>
      </c>
      <c r="R492" s="291">
        <f t="shared" si="73"/>
        <v>0</v>
      </c>
      <c r="S492" s="300">
        <f t="shared" si="68"/>
        <v>0</v>
      </c>
      <c r="T492" s="300">
        <f t="shared" si="69"/>
        <v>0</v>
      </c>
      <c r="U492" s="769" t="str">
        <f t="shared" si="70"/>
        <v>S</v>
      </c>
      <c r="V492" s="302"/>
      <c r="W492" s="303">
        <f>(Q492+R492)*'1.0-Contractblad'!$L$37</f>
        <v>0</v>
      </c>
      <c r="X492" s="303">
        <f ca="1">VLOOKUP(E492,'1.1a-Jaarprijzen'!$B$32:$Q$51,16,FALSE)*K492</f>
        <v>0</v>
      </c>
      <c r="Z492" s="771">
        <f t="shared" si="74"/>
        <v>1860.0000000000002</v>
      </c>
      <c r="AA492" s="491" t="str">
        <f t="shared" si="75"/>
        <v>4200-200</v>
      </c>
    </row>
    <row r="493" spans="2:27" s="489" customFormat="1" ht="15" hidden="1">
      <c r="B493" s="329"/>
      <c r="C493" s="330"/>
      <c r="D493" s="294">
        <f>VLOOKUP(E493,'1.1a-Jaarprijzen'!$B$13:$G$29,6,FALSE)</f>
        <v>3</v>
      </c>
      <c r="E493" s="768" t="s">
        <v>875</v>
      </c>
      <c r="F493" s="294" t="s">
        <v>387</v>
      </c>
      <c r="G493" s="295" t="s">
        <v>922</v>
      </c>
      <c r="H493" s="293" t="s">
        <v>892</v>
      </c>
      <c r="I493" s="296" t="str">
        <f>IF($M493="",0,VLOOKUP($M493,Kengetal,4,FALSE))</f>
        <v>niet van toepassing</v>
      </c>
      <c r="J493" s="294" t="s">
        <v>655</v>
      </c>
      <c r="K493" s="297"/>
      <c r="L493" s="297">
        <v>3.7</v>
      </c>
      <c r="M493" s="298" t="s">
        <v>17</v>
      </c>
      <c r="N493" s="299">
        <f t="shared" si="71"/>
        <v>0</v>
      </c>
      <c r="O493" s="483">
        <v>1</v>
      </c>
      <c r="P493" s="483">
        <v>1</v>
      </c>
      <c r="Q493" s="291">
        <f t="shared" si="72"/>
        <v>0</v>
      </c>
      <c r="R493" s="291">
        <f t="shared" si="73"/>
        <v>0</v>
      </c>
      <c r="S493" s="300">
        <f t="shared" si="68"/>
        <v>0</v>
      </c>
      <c r="T493" s="300">
        <f t="shared" si="69"/>
        <v>0</v>
      </c>
      <c r="U493" s="769">
        <f t="shared" si="70"/>
        <v>0</v>
      </c>
      <c r="V493" s="302"/>
      <c r="W493" s="303">
        <f>(Q493+R493)*'1.0-Contractblad'!$L$37</f>
        <v>0</v>
      </c>
      <c r="X493" s="303">
        <f ca="1">VLOOKUP(E493,'1.1a-Jaarprijzen'!$B$32:$Q$51,16,FALSE)*K493</f>
        <v>0</v>
      </c>
      <c r="Z493" s="771">
        <f t="shared" si="74"/>
        <v>0</v>
      </c>
      <c r="AA493" s="491" t="str">
        <f t="shared" si="75"/>
        <v>nvt-0</v>
      </c>
    </row>
    <row r="494" spans="2:27" s="489" customFormat="1" ht="15" hidden="1">
      <c r="B494" s="329"/>
      <c r="C494" s="330"/>
      <c r="D494" s="294">
        <f>VLOOKUP(E494,'1.1a-Jaarprijzen'!$B$13:$G$29,6,FALSE)</f>
        <v>3</v>
      </c>
      <c r="E494" s="768" t="s">
        <v>875</v>
      </c>
      <c r="F494" s="294" t="s">
        <v>387</v>
      </c>
      <c r="G494" s="295" t="s">
        <v>923</v>
      </c>
      <c r="H494" s="293" t="s">
        <v>889</v>
      </c>
      <c r="I494" s="296" t="str">
        <f t="shared" ref="I494:I533" si="76">IF($M494="",0,VLOOKUP($M494,Kengetal,4,FALSE))</f>
        <v>leslokaal/bevo/handvaardigheid</v>
      </c>
      <c r="J494" s="294" t="s">
        <v>655</v>
      </c>
      <c r="K494" s="297">
        <v>54</v>
      </c>
      <c r="L494" s="297"/>
      <c r="M494" s="298">
        <v>7040</v>
      </c>
      <c r="N494" s="299">
        <f t="shared" si="71"/>
        <v>40</v>
      </c>
      <c r="O494" s="483">
        <v>1</v>
      </c>
      <c r="P494" s="483">
        <v>1</v>
      </c>
      <c r="Q494" s="291">
        <f t="shared" si="72"/>
        <v>0</v>
      </c>
      <c r="R494" s="291">
        <f t="shared" si="73"/>
        <v>0</v>
      </c>
      <c r="S494" s="300">
        <f t="shared" si="68"/>
        <v>0</v>
      </c>
      <c r="T494" s="300">
        <f t="shared" si="69"/>
        <v>0</v>
      </c>
      <c r="U494" s="769" t="str">
        <f t="shared" si="70"/>
        <v>L</v>
      </c>
      <c r="V494" s="302"/>
      <c r="W494" s="303">
        <f>(Q494+R494)*'1.0-Contractblad'!$L$37</f>
        <v>0</v>
      </c>
      <c r="X494" s="303">
        <f ca="1">VLOOKUP(E494,'1.1a-Jaarprijzen'!$B$32:$Q$51,16,FALSE)*K494</f>
        <v>0</v>
      </c>
      <c r="Z494" s="771">
        <f t="shared" si="74"/>
        <v>2160</v>
      </c>
      <c r="AA494" s="491" t="str">
        <f t="shared" si="75"/>
        <v>7040-40</v>
      </c>
    </row>
    <row r="495" spans="2:27" s="489" customFormat="1" ht="15" hidden="1">
      <c r="B495" s="329"/>
      <c r="C495" s="330"/>
      <c r="D495" s="294">
        <f>VLOOKUP(E495,'1.1a-Jaarprijzen'!$B$13:$G$29,6,FALSE)</f>
        <v>3</v>
      </c>
      <c r="E495" s="768" t="s">
        <v>875</v>
      </c>
      <c r="F495" s="294" t="s">
        <v>387</v>
      </c>
      <c r="G495" s="295" t="s">
        <v>924</v>
      </c>
      <c r="H495" s="293" t="s">
        <v>573</v>
      </c>
      <c r="I495" s="296" t="str">
        <f t="shared" si="76"/>
        <v>administratieve -,  vergaderruimte</v>
      </c>
      <c r="J495" s="294" t="s">
        <v>462</v>
      </c>
      <c r="K495" s="297">
        <v>43.8</v>
      </c>
      <c r="L495" s="297"/>
      <c r="M495" s="298">
        <v>1200</v>
      </c>
      <c r="N495" s="299">
        <f t="shared" si="71"/>
        <v>200</v>
      </c>
      <c r="O495" s="483">
        <v>1</v>
      </c>
      <c r="P495" s="483">
        <v>1</v>
      </c>
      <c r="Q495" s="291">
        <f t="shared" si="72"/>
        <v>0</v>
      </c>
      <c r="R495" s="291">
        <f t="shared" si="73"/>
        <v>0</v>
      </c>
      <c r="S495" s="300">
        <f t="shared" si="68"/>
        <v>0</v>
      </c>
      <c r="T495" s="300">
        <f t="shared" si="69"/>
        <v>0</v>
      </c>
      <c r="U495" s="769" t="str">
        <f t="shared" si="70"/>
        <v>V</v>
      </c>
      <c r="V495" s="302"/>
      <c r="W495" s="303">
        <f>(Q495+R495)*'1.0-Contractblad'!$L$37</f>
        <v>0</v>
      </c>
      <c r="X495" s="303">
        <f ca="1">VLOOKUP(E495,'1.1a-Jaarprijzen'!$B$32:$Q$51,16,FALSE)*K495</f>
        <v>0</v>
      </c>
      <c r="Z495" s="771">
        <f t="shared" si="74"/>
        <v>8760</v>
      </c>
      <c r="AA495" s="491" t="str">
        <f t="shared" si="75"/>
        <v>1200-200</v>
      </c>
    </row>
    <row r="496" spans="2:27" s="489" customFormat="1" ht="15" hidden="1">
      <c r="B496" s="329"/>
      <c r="C496" s="330"/>
      <c r="D496" s="294">
        <f>VLOOKUP(E496,'1.1a-Jaarprijzen'!$B$13:$G$29,6,FALSE)</f>
        <v>3</v>
      </c>
      <c r="E496" s="768" t="s">
        <v>875</v>
      </c>
      <c r="F496" s="294" t="s">
        <v>387</v>
      </c>
      <c r="G496" s="295" t="s">
        <v>925</v>
      </c>
      <c r="H496" s="293" t="s">
        <v>543</v>
      </c>
      <c r="I496" s="296" t="str">
        <f t="shared" si="76"/>
        <v>pantry/keuken</v>
      </c>
      <c r="J496" s="294" t="s">
        <v>461</v>
      </c>
      <c r="K496" s="297">
        <v>10.8</v>
      </c>
      <c r="L496" s="297"/>
      <c r="M496" s="298">
        <v>5200</v>
      </c>
      <c r="N496" s="299">
        <f t="shared" si="71"/>
        <v>200</v>
      </c>
      <c r="O496" s="483">
        <v>1</v>
      </c>
      <c r="P496" s="483">
        <v>1</v>
      </c>
      <c r="Q496" s="291">
        <f t="shared" si="72"/>
        <v>0</v>
      </c>
      <c r="R496" s="291">
        <f t="shared" si="73"/>
        <v>0</v>
      </c>
      <c r="S496" s="300">
        <f t="shared" si="68"/>
        <v>0</v>
      </c>
      <c r="T496" s="300">
        <f t="shared" si="69"/>
        <v>0</v>
      </c>
      <c r="U496" s="769" t="str">
        <f t="shared" si="70"/>
        <v>V</v>
      </c>
      <c r="V496" s="302"/>
      <c r="W496" s="303">
        <f>(Q496+R496)*'1.0-Contractblad'!$L$37</f>
        <v>0</v>
      </c>
      <c r="X496" s="303">
        <f ca="1">VLOOKUP(E496,'1.1a-Jaarprijzen'!$B$32:$Q$51,16,FALSE)*K496</f>
        <v>0</v>
      </c>
      <c r="Z496" s="771">
        <f t="shared" si="74"/>
        <v>2160</v>
      </c>
      <c r="AA496" s="491" t="str">
        <f t="shared" si="75"/>
        <v>5200-200</v>
      </c>
    </row>
    <row r="497" spans="2:27" s="489" customFormat="1" ht="15" hidden="1">
      <c r="B497" s="329"/>
      <c r="C497" s="330"/>
      <c r="D497" s="294">
        <f>VLOOKUP(E497,'1.1a-Jaarprijzen'!$B$13:$G$29,6,FALSE)</f>
        <v>3</v>
      </c>
      <c r="E497" s="768" t="s">
        <v>875</v>
      </c>
      <c r="F497" s="294" t="s">
        <v>387</v>
      </c>
      <c r="G497" s="295" t="s">
        <v>926</v>
      </c>
      <c r="H497" s="293" t="s">
        <v>889</v>
      </c>
      <c r="I497" s="296" t="str">
        <f t="shared" si="76"/>
        <v>leslokaal/leerplein groep 4 t/m 8</v>
      </c>
      <c r="J497" s="294" t="s">
        <v>655</v>
      </c>
      <c r="K497" s="297">
        <v>54</v>
      </c>
      <c r="L497" s="297"/>
      <c r="M497" s="298">
        <v>18200</v>
      </c>
      <c r="N497" s="299">
        <f t="shared" si="71"/>
        <v>200</v>
      </c>
      <c r="O497" s="483">
        <v>1</v>
      </c>
      <c r="P497" s="483">
        <v>1</v>
      </c>
      <c r="Q497" s="291">
        <f t="shared" si="72"/>
        <v>0</v>
      </c>
      <c r="R497" s="291">
        <f t="shared" si="73"/>
        <v>0</v>
      </c>
      <c r="S497" s="300">
        <f t="shared" si="68"/>
        <v>0</v>
      </c>
      <c r="T497" s="300">
        <f t="shared" si="69"/>
        <v>0</v>
      </c>
      <c r="U497" s="769" t="str">
        <f t="shared" si="70"/>
        <v>L</v>
      </c>
      <c r="V497" s="302"/>
      <c r="W497" s="303">
        <f>(Q497+R497)*'1.0-Contractblad'!$L$37</f>
        <v>0</v>
      </c>
      <c r="X497" s="303">
        <f ca="1">VLOOKUP(E497,'1.1a-Jaarprijzen'!$B$32:$Q$51,16,FALSE)*K497</f>
        <v>0</v>
      </c>
      <c r="Z497" s="771">
        <f t="shared" si="74"/>
        <v>10800</v>
      </c>
      <c r="AA497" s="491" t="str">
        <f t="shared" si="75"/>
        <v>18200-200</v>
      </c>
    </row>
    <row r="498" spans="2:27" s="489" customFormat="1" ht="15" hidden="1">
      <c r="B498" s="329"/>
      <c r="C498" s="330"/>
      <c r="D498" s="294">
        <f>VLOOKUP(E498,'1.1a-Jaarprijzen'!$B$13:$G$29,6,FALSE)</f>
        <v>3</v>
      </c>
      <c r="E498" s="768" t="s">
        <v>875</v>
      </c>
      <c r="F498" s="294" t="s">
        <v>387</v>
      </c>
      <c r="G498" s="295" t="s">
        <v>927</v>
      </c>
      <c r="H498" s="293" t="s">
        <v>392</v>
      </c>
      <c r="I498" s="296" t="str">
        <f t="shared" si="76"/>
        <v>niet van toepassing</v>
      </c>
      <c r="J498" s="294" t="s">
        <v>655</v>
      </c>
      <c r="K498" s="297"/>
      <c r="L498" s="297">
        <v>3.4</v>
      </c>
      <c r="M498" s="298" t="s">
        <v>17</v>
      </c>
      <c r="N498" s="299">
        <f t="shared" si="71"/>
        <v>0</v>
      </c>
      <c r="O498" s="483">
        <v>1</v>
      </c>
      <c r="P498" s="483">
        <v>1</v>
      </c>
      <c r="Q498" s="291">
        <f t="shared" si="72"/>
        <v>0</v>
      </c>
      <c r="R498" s="291">
        <f t="shared" si="73"/>
        <v>0</v>
      </c>
      <c r="S498" s="300">
        <f t="shared" si="68"/>
        <v>0</v>
      </c>
      <c r="T498" s="300">
        <f t="shared" si="69"/>
        <v>0</v>
      </c>
      <c r="U498" s="769">
        <f t="shared" si="70"/>
        <v>0</v>
      </c>
      <c r="V498" s="302"/>
      <c r="W498" s="303">
        <f>(Q498+R498)*'1.0-Contractblad'!$L$37</f>
        <v>0</v>
      </c>
      <c r="X498" s="303">
        <f ca="1">VLOOKUP(E498,'1.1a-Jaarprijzen'!$B$32:$Q$51,16,FALSE)*K498</f>
        <v>0</v>
      </c>
      <c r="Z498" s="771">
        <f t="shared" si="74"/>
        <v>0</v>
      </c>
      <c r="AA498" s="491" t="str">
        <f t="shared" si="75"/>
        <v>nvt-0</v>
      </c>
    </row>
    <row r="499" spans="2:27" s="489" customFormat="1" ht="15" hidden="1">
      <c r="B499" s="329"/>
      <c r="C499" s="330"/>
      <c r="D499" s="294">
        <f>VLOOKUP(E499,'1.1a-Jaarprijzen'!$B$13:$G$29,6,FALSE)</f>
        <v>3</v>
      </c>
      <c r="E499" s="768" t="s">
        <v>875</v>
      </c>
      <c r="F499" s="294" t="s">
        <v>387</v>
      </c>
      <c r="G499" s="295" t="s">
        <v>928</v>
      </c>
      <c r="H499" s="293" t="s">
        <v>477</v>
      </c>
      <c r="I499" s="296" t="str">
        <f t="shared" si="76"/>
        <v>sanitaire ruimte (toilet-/doucheruimte)</v>
      </c>
      <c r="J499" s="294" t="s">
        <v>461</v>
      </c>
      <c r="K499" s="297">
        <v>4.7</v>
      </c>
      <c r="L499" s="297"/>
      <c r="M499" s="298">
        <v>4200</v>
      </c>
      <c r="N499" s="299">
        <f t="shared" si="71"/>
        <v>200</v>
      </c>
      <c r="O499" s="483">
        <v>1</v>
      </c>
      <c r="P499" s="483">
        <v>1</v>
      </c>
      <c r="Q499" s="291">
        <f t="shared" si="72"/>
        <v>0</v>
      </c>
      <c r="R499" s="291">
        <f t="shared" si="73"/>
        <v>0</v>
      </c>
      <c r="S499" s="300">
        <f t="shared" si="68"/>
        <v>0</v>
      </c>
      <c r="T499" s="300">
        <f t="shared" si="69"/>
        <v>0</v>
      </c>
      <c r="U499" s="769" t="str">
        <f t="shared" si="70"/>
        <v>S</v>
      </c>
      <c r="V499" s="302"/>
      <c r="W499" s="303">
        <f>(Q499+R499)*'1.0-Contractblad'!$L$37</f>
        <v>0</v>
      </c>
      <c r="X499" s="303">
        <f ca="1">VLOOKUP(E499,'1.1a-Jaarprijzen'!$B$32:$Q$51,16,FALSE)*K499</f>
        <v>0</v>
      </c>
      <c r="Z499" s="771">
        <f t="shared" si="74"/>
        <v>940</v>
      </c>
      <c r="AA499" s="491" t="str">
        <f t="shared" si="75"/>
        <v>4200-200</v>
      </c>
    </row>
    <row r="500" spans="2:27" s="489" customFormat="1" ht="15" hidden="1">
      <c r="B500" s="329"/>
      <c r="C500" s="330"/>
      <c r="D500" s="294">
        <f>VLOOKUP(E500,'1.1a-Jaarprijzen'!$B$13:$G$29,6,FALSE)</f>
        <v>3</v>
      </c>
      <c r="E500" s="768" t="s">
        <v>875</v>
      </c>
      <c r="F500" s="294" t="s">
        <v>387</v>
      </c>
      <c r="G500" s="295" t="s">
        <v>929</v>
      </c>
      <c r="H500" s="293" t="s">
        <v>588</v>
      </c>
      <c r="I500" s="296" t="str">
        <f t="shared" si="76"/>
        <v>entree, gang, hal, repro</v>
      </c>
      <c r="J500" s="294" t="s">
        <v>655</v>
      </c>
      <c r="K500" s="297">
        <v>5.3</v>
      </c>
      <c r="L500" s="297"/>
      <c r="M500" s="298">
        <v>3200</v>
      </c>
      <c r="N500" s="299">
        <f t="shared" si="71"/>
        <v>200</v>
      </c>
      <c r="O500" s="483">
        <v>1</v>
      </c>
      <c r="P500" s="483">
        <v>1</v>
      </c>
      <c r="Q500" s="291">
        <f t="shared" si="72"/>
        <v>0</v>
      </c>
      <c r="R500" s="291">
        <f t="shared" si="73"/>
        <v>0</v>
      </c>
      <c r="S500" s="300">
        <f t="shared" si="68"/>
        <v>0</v>
      </c>
      <c r="T500" s="300">
        <f t="shared" si="69"/>
        <v>0</v>
      </c>
      <c r="U500" s="769" t="str">
        <f t="shared" si="70"/>
        <v>V</v>
      </c>
      <c r="V500" s="302"/>
      <c r="W500" s="303">
        <f>(Q500+R500)*'1.0-Contractblad'!$L$37</f>
        <v>0</v>
      </c>
      <c r="X500" s="303">
        <f ca="1">VLOOKUP(E500,'1.1a-Jaarprijzen'!$B$32:$Q$51,16,FALSE)*K500</f>
        <v>0</v>
      </c>
      <c r="Z500" s="771">
        <f t="shared" si="74"/>
        <v>1060</v>
      </c>
      <c r="AA500" s="491" t="str">
        <f t="shared" si="75"/>
        <v>3200-200</v>
      </c>
    </row>
    <row r="501" spans="2:27" s="489" customFormat="1" ht="15" hidden="1">
      <c r="B501" s="329"/>
      <c r="C501" s="330"/>
      <c r="D501" s="294">
        <f>VLOOKUP(E501,'1.1a-Jaarprijzen'!$B$13:$G$29,6,FALSE)</f>
        <v>3</v>
      </c>
      <c r="E501" s="768" t="s">
        <v>875</v>
      </c>
      <c r="F501" s="294" t="s">
        <v>387</v>
      </c>
      <c r="G501" s="295" t="s">
        <v>930</v>
      </c>
      <c r="H501" s="293" t="s">
        <v>889</v>
      </c>
      <c r="I501" s="296" t="str">
        <f t="shared" si="76"/>
        <v>leslokaal groep 1 t/m 3</v>
      </c>
      <c r="J501" s="294" t="s">
        <v>655</v>
      </c>
      <c r="K501" s="297">
        <v>55.1</v>
      </c>
      <c r="L501" s="297"/>
      <c r="M501" s="298">
        <v>7200</v>
      </c>
      <c r="N501" s="299">
        <f t="shared" si="71"/>
        <v>200</v>
      </c>
      <c r="O501" s="483">
        <v>1</v>
      </c>
      <c r="P501" s="483">
        <v>1</v>
      </c>
      <c r="Q501" s="291">
        <f t="shared" si="72"/>
        <v>0</v>
      </c>
      <c r="R501" s="291">
        <f t="shared" si="73"/>
        <v>0</v>
      </c>
      <c r="S501" s="300">
        <f t="shared" si="68"/>
        <v>0</v>
      </c>
      <c r="T501" s="300">
        <f t="shared" si="69"/>
        <v>0</v>
      </c>
      <c r="U501" s="769" t="str">
        <f t="shared" si="70"/>
        <v>L</v>
      </c>
      <c r="V501" s="302"/>
      <c r="W501" s="303">
        <f>(Q501+R501)*'1.0-Contractblad'!$L$37</f>
        <v>0</v>
      </c>
      <c r="X501" s="303">
        <f ca="1">VLOOKUP(E501,'1.1a-Jaarprijzen'!$B$32:$Q$51,16,FALSE)*K501</f>
        <v>0</v>
      </c>
      <c r="Z501" s="771">
        <f t="shared" si="74"/>
        <v>11020</v>
      </c>
      <c r="AA501" s="491" t="str">
        <f t="shared" si="75"/>
        <v>7200-200</v>
      </c>
    </row>
    <row r="502" spans="2:27" s="489" customFormat="1" ht="15" hidden="1">
      <c r="B502" s="329"/>
      <c r="C502" s="330"/>
      <c r="D502" s="294">
        <f>VLOOKUP(E502,'1.1a-Jaarprijzen'!$B$13:$G$29,6,FALSE)</f>
        <v>3</v>
      </c>
      <c r="E502" s="768" t="s">
        <v>875</v>
      </c>
      <c r="F502" s="294" t="s">
        <v>387</v>
      </c>
      <c r="G502" s="295" t="s">
        <v>931</v>
      </c>
      <c r="H502" s="293" t="s">
        <v>889</v>
      </c>
      <c r="I502" s="296" t="str">
        <f t="shared" si="76"/>
        <v>leslokaal groep 1 t/m 3</v>
      </c>
      <c r="J502" s="294" t="s">
        <v>655</v>
      </c>
      <c r="K502" s="297">
        <v>55.1</v>
      </c>
      <c r="L502" s="297"/>
      <c r="M502" s="298">
        <v>7200</v>
      </c>
      <c r="N502" s="299">
        <f t="shared" si="71"/>
        <v>200</v>
      </c>
      <c r="O502" s="483">
        <v>1</v>
      </c>
      <c r="P502" s="483">
        <v>1</v>
      </c>
      <c r="Q502" s="291">
        <f t="shared" si="72"/>
        <v>0</v>
      </c>
      <c r="R502" s="291">
        <f t="shared" si="73"/>
        <v>0</v>
      </c>
      <c r="S502" s="300">
        <f t="shared" si="68"/>
        <v>0</v>
      </c>
      <c r="T502" s="300">
        <f t="shared" si="69"/>
        <v>0</v>
      </c>
      <c r="U502" s="769" t="str">
        <f t="shared" si="70"/>
        <v>L</v>
      </c>
      <c r="V502" s="302"/>
      <c r="W502" s="303">
        <f>(Q502+R502)*'1.0-Contractblad'!$L$37</f>
        <v>0</v>
      </c>
      <c r="X502" s="303">
        <f ca="1">VLOOKUP(E502,'1.1a-Jaarprijzen'!$B$32:$Q$51,16,FALSE)*K502</f>
        <v>0</v>
      </c>
      <c r="Z502" s="771">
        <f t="shared" si="74"/>
        <v>11020</v>
      </c>
      <c r="AA502" s="491" t="str">
        <f t="shared" si="75"/>
        <v>7200-200</v>
      </c>
    </row>
    <row r="503" spans="2:27" s="489" customFormat="1" ht="15" hidden="1">
      <c r="B503" s="329"/>
      <c r="C503" s="330"/>
      <c r="D503" s="294">
        <f>VLOOKUP(E503,'1.1a-Jaarprijzen'!$B$13:$G$29,6,FALSE)</f>
        <v>3</v>
      </c>
      <c r="E503" s="768" t="s">
        <v>875</v>
      </c>
      <c r="F503" s="294" t="s">
        <v>387</v>
      </c>
      <c r="G503" s="295" t="s">
        <v>932</v>
      </c>
      <c r="H503" s="293" t="s">
        <v>477</v>
      </c>
      <c r="I503" s="296" t="str">
        <f t="shared" si="76"/>
        <v>sanitaire ruimte (toilet-/doucheruimte)</v>
      </c>
      <c r="J503" s="294" t="s">
        <v>461</v>
      </c>
      <c r="K503" s="297">
        <v>9.3000000000000007</v>
      </c>
      <c r="L503" s="297"/>
      <c r="M503" s="298">
        <v>4200</v>
      </c>
      <c r="N503" s="299">
        <f t="shared" si="71"/>
        <v>200</v>
      </c>
      <c r="O503" s="483">
        <v>1</v>
      </c>
      <c r="P503" s="483">
        <v>1</v>
      </c>
      <c r="Q503" s="291">
        <f t="shared" si="72"/>
        <v>0</v>
      </c>
      <c r="R503" s="291">
        <f t="shared" si="73"/>
        <v>0</v>
      </c>
      <c r="S503" s="300">
        <f t="shared" si="68"/>
        <v>0</v>
      </c>
      <c r="T503" s="300">
        <f t="shared" si="69"/>
        <v>0</v>
      </c>
      <c r="U503" s="769" t="str">
        <f t="shared" si="70"/>
        <v>S</v>
      </c>
      <c r="V503" s="302"/>
      <c r="W503" s="303">
        <f>(Q503+R503)*'1.0-Contractblad'!$L$37</f>
        <v>0</v>
      </c>
      <c r="X503" s="303">
        <f ca="1">VLOOKUP(E503,'1.1a-Jaarprijzen'!$B$32:$Q$51,16,FALSE)*K503</f>
        <v>0</v>
      </c>
      <c r="Z503" s="771">
        <f t="shared" si="74"/>
        <v>1860.0000000000002</v>
      </c>
      <c r="AA503" s="491" t="str">
        <f t="shared" si="75"/>
        <v>4200-200</v>
      </c>
    </row>
    <row r="504" spans="2:27" s="489" customFormat="1" ht="15" hidden="1">
      <c r="B504" s="329"/>
      <c r="C504" s="330"/>
      <c r="D504" s="294">
        <f>VLOOKUP(E504,'1.1a-Jaarprijzen'!$B$13:$G$29,6,FALSE)</f>
        <v>3</v>
      </c>
      <c r="E504" s="768" t="s">
        <v>875</v>
      </c>
      <c r="F504" s="294" t="s">
        <v>387</v>
      </c>
      <c r="G504" s="295" t="s">
        <v>933</v>
      </c>
      <c r="H504" s="293" t="s">
        <v>889</v>
      </c>
      <c r="I504" s="296" t="str">
        <f t="shared" si="76"/>
        <v>leslokaal groep 1 t/m 3</v>
      </c>
      <c r="J504" s="294" t="s">
        <v>655</v>
      </c>
      <c r="K504" s="297">
        <v>55.1</v>
      </c>
      <c r="L504" s="297"/>
      <c r="M504" s="298">
        <v>7200</v>
      </c>
      <c r="N504" s="299">
        <f t="shared" si="71"/>
        <v>200</v>
      </c>
      <c r="O504" s="483">
        <v>1</v>
      </c>
      <c r="P504" s="483">
        <v>1</v>
      </c>
      <c r="Q504" s="291">
        <f t="shared" si="72"/>
        <v>0</v>
      </c>
      <c r="R504" s="291">
        <f t="shared" si="73"/>
        <v>0</v>
      </c>
      <c r="S504" s="300">
        <f t="shared" si="68"/>
        <v>0</v>
      </c>
      <c r="T504" s="300">
        <f t="shared" si="69"/>
        <v>0</v>
      </c>
      <c r="U504" s="769" t="str">
        <f t="shared" si="70"/>
        <v>L</v>
      </c>
      <c r="V504" s="302"/>
      <c r="W504" s="303">
        <f>(Q504+R504)*'1.0-Contractblad'!$L$37</f>
        <v>0</v>
      </c>
      <c r="X504" s="303">
        <f ca="1">VLOOKUP(E504,'1.1a-Jaarprijzen'!$B$32:$Q$51,16,FALSE)*K504</f>
        <v>0</v>
      </c>
      <c r="Z504" s="771">
        <f t="shared" si="74"/>
        <v>11020</v>
      </c>
      <c r="AA504" s="491" t="str">
        <f t="shared" si="75"/>
        <v>7200-200</v>
      </c>
    </row>
    <row r="505" spans="2:27" s="489" customFormat="1" ht="15" hidden="1">
      <c r="B505" s="329"/>
      <c r="C505" s="330"/>
      <c r="D505" s="294">
        <f>VLOOKUP(E505,'1.1a-Jaarprijzen'!$B$13:$G$29,6,FALSE)</f>
        <v>3</v>
      </c>
      <c r="E505" s="768" t="s">
        <v>875</v>
      </c>
      <c r="F505" s="294" t="s">
        <v>387</v>
      </c>
      <c r="G505" s="295" t="s">
        <v>504</v>
      </c>
      <c r="H505" s="293" t="s">
        <v>404</v>
      </c>
      <c r="I505" s="296" t="str">
        <f t="shared" si="76"/>
        <v>leslokaal/leerplein groep 4 t/m 8</v>
      </c>
      <c r="J505" s="294" t="s">
        <v>655</v>
      </c>
      <c r="K505" s="297">
        <v>64.989999999999995</v>
      </c>
      <c r="L505" s="297"/>
      <c r="M505" s="298">
        <v>18200</v>
      </c>
      <c r="N505" s="299">
        <f t="shared" si="71"/>
        <v>200</v>
      </c>
      <c r="O505" s="483">
        <v>1</v>
      </c>
      <c r="P505" s="483">
        <v>1</v>
      </c>
      <c r="Q505" s="291">
        <f t="shared" si="72"/>
        <v>0</v>
      </c>
      <c r="R505" s="291">
        <f t="shared" si="73"/>
        <v>0</v>
      </c>
      <c r="S505" s="300">
        <f t="shared" si="68"/>
        <v>0</v>
      </c>
      <c r="T505" s="300">
        <f t="shared" si="69"/>
        <v>0</v>
      </c>
      <c r="U505" s="769" t="str">
        <f t="shared" si="70"/>
        <v>L</v>
      </c>
      <c r="V505" s="302"/>
      <c r="W505" s="303">
        <f>(Q505+R505)*'1.0-Contractblad'!$L$37</f>
        <v>0</v>
      </c>
      <c r="X505" s="303">
        <f ca="1">VLOOKUP(E505,'1.1a-Jaarprijzen'!$B$32:$Q$51,16,FALSE)*K505</f>
        <v>0</v>
      </c>
      <c r="Z505" s="771">
        <f t="shared" si="74"/>
        <v>12997.999999999998</v>
      </c>
      <c r="AA505" s="491" t="str">
        <f t="shared" si="75"/>
        <v>18200-200</v>
      </c>
    </row>
    <row r="506" spans="2:27" s="489" customFormat="1" ht="15" hidden="1">
      <c r="B506" s="329"/>
      <c r="C506" s="330"/>
      <c r="D506" s="294">
        <f>VLOOKUP(E506,'1.1a-Jaarprijzen'!$B$13:$G$29,6,FALSE)</f>
        <v>3</v>
      </c>
      <c r="E506" s="770" t="s">
        <v>875</v>
      </c>
      <c r="F506" s="294" t="s">
        <v>387</v>
      </c>
      <c r="G506" s="295" t="s">
        <v>528</v>
      </c>
      <c r="H506" s="293" t="s">
        <v>1013</v>
      </c>
      <c r="I506" s="296" t="str">
        <f t="shared" si="76"/>
        <v>sanitaire ruimte (toilet-/doucheruimte)</v>
      </c>
      <c r="J506" s="294" t="s">
        <v>476</v>
      </c>
      <c r="K506" s="297">
        <v>11.45</v>
      </c>
      <c r="L506" s="297"/>
      <c r="M506" s="298">
        <v>4260</v>
      </c>
      <c r="N506" s="299">
        <f t="shared" si="71"/>
        <v>260</v>
      </c>
      <c r="O506" s="483">
        <v>1</v>
      </c>
      <c r="P506" s="483">
        <v>1</v>
      </c>
      <c r="Q506" s="291">
        <f t="shared" si="72"/>
        <v>0</v>
      </c>
      <c r="R506" s="291">
        <f t="shared" si="73"/>
        <v>0</v>
      </c>
      <c r="S506" s="300">
        <f t="shared" si="68"/>
        <v>0</v>
      </c>
      <c r="T506" s="300">
        <f t="shared" si="69"/>
        <v>0</v>
      </c>
      <c r="U506" s="769" t="str">
        <f t="shared" si="70"/>
        <v>S</v>
      </c>
      <c r="V506" s="302"/>
      <c r="W506" s="303">
        <f>(Q506+R506)*'1.0-Contractblad'!$L$37</f>
        <v>0</v>
      </c>
      <c r="X506" s="303">
        <f ca="1">VLOOKUP(E506,'1.1a-Jaarprijzen'!$B$32:$Q$51,16,FALSE)*K506</f>
        <v>0</v>
      </c>
      <c r="Z506" s="771">
        <f t="shared" si="74"/>
        <v>2977</v>
      </c>
      <c r="AA506" s="491" t="str">
        <f t="shared" si="75"/>
        <v>4260-260</v>
      </c>
    </row>
    <row r="507" spans="2:27" s="489" customFormat="1" ht="15" hidden="1">
      <c r="B507" s="329"/>
      <c r="C507" s="330"/>
      <c r="D507" s="294">
        <f>VLOOKUP(E507,'1.1a-Jaarprijzen'!$B$13:$G$29,6,FALSE)</f>
        <v>3</v>
      </c>
      <c r="E507" s="768" t="s">
        <v>948</v>
      </c>
      <c r="F507" s="294" t="s">
        <v>572</v>
      </c>
      <c r="G507" s="295" t="s">
        <v>613</v>
      </c>
      <c r="H507" s="293" t="s">
        <v>1014</v>
      </c>
      <c r="I507" s="296" t="str">
        <f t="shared" si="76"/>
        <v>entree, gang, hal, repro</v>
      </c>
      <c r="J507" s="294" t="s">
        <v>656</v>
      </c>
      <c r="K507" s="297">
        <v>6</v>
      </c>
      <c r="L507" s="297"/>
      <c r="M507" s="298">
        <v>3200</v>
      </c>
      <c r="N507" s="299">
        <f t="shared" si="71"/>
        <v>200</v>
      </c>
      <c r="O507" s="483">
        <v>1</v>
      </c>
      <c r="P507" s="483">
        <v>1</v>
      </c>
      <c r="Q507" s="291">
        <f t="shared" si="72"/>
        <v>0</v>
      </c>
      <c r="R507" s="291">
        <f t="shared" si="73"/>
        <v>0</v>
      </c>
      <c r="S507" s="300">
        <f t="shared" si="68"/>
        <v>0</v>
      </c>
      <c r="T507" s="300">
        <f t="shared" si="69"/>
        <v>0</v>
      </c>
      <c r="U507" s="769" t="str">
        <f t="shared" si="70"/>
        <v>V</v>
      </c>
      <c r="V507" s="302"/>
      <c r="W507" s="303">
        <f>(Q507+R507)*'1.0-Contractblad'!$L$37</f>
        <v>0</v>
      </c>
      <c r="X507" s="303">
        <f ca="1">VLOOKUP(E507,'1.1a-Jaarprijzen'!$B$32:$Q$51,16,FALSE)*K507</f>
        <v>0</v>
      </c>
      <c r="Z507" s="771">
        <f t="shared" si="74"/>
        <v>1200</v>
      </c>
      <c r="AA507" s="491" t="str">
        <f t="shared" si="75"/>
        <v>3200-200</v>
      </c>
    </row>
    <row r="508" spans="2:27" s="489" customFormat="1" ht="15" hidden="1">
      <c r="B508" s="329"/>
      <c r="C508" s="330"/>
      <c r="D508" s="294">
        <f>VLOOKUP(E508,'1.1a-Jaarprijzen'!$B$13:$G$29,6,FALSE)</f>
        <v>3</v>
      </c>
      <c r="E508" s="768" t="s">
        <v>948</v>
      </c>
      <c r="F508" s="294" t="s">
        <v>572</v>
      </c>
      <c r="G508" s="295" t="s">
        <v>615</v>
      </c>
      <c r="H508" s="293" t="s">
        <v>397</v>
      </c>
      <c r="I508" s="296" t="str">
        <f t="shared" si="76"/>
        <v>aula, gemeenschappelijke ruimte, bibliotheek</v>
      </c>
      <c r="J508" s="294" t="s">
        <v>657</v>
      </c>
      <c r="K508" s="297">
        <v>223</v>
      </c>
      <c r="L508" s="297"/>
      <c r="M508" s="298">
        <v>2200</v>
      </c>
      <c r="N508" s="299">
        <f t="shared" si="71"/>
        <v>200</v>
      </c>
      <c r="O508" s="483">
        <v>1</v>
      </c>
      <c r="P508" s="483">
        <v>1</v>
      </c>
      <c r="Q508" s="291">
        <f t="shared" si="72"/>
        <v>0</v>
      </c>
      <c r="R508" s="291">
        <f t="shared" si="73"/>
        <v>0</v>
      </c>
      <c r="S508" s="300">
        <f t="shared" si="68"/>
        <v>0</v>
      </c>
      <c r="T508" s="300">
        <f t="shared" si="69"/>
        <v>0</v>
      </c>
      <c r="U508" s="769" t="str">
        <f t="shared" si="70"/>
        <v>V</v>
      </c>
      <c r="V508" s="302"/>
      <c r="W508" s="303">
        <f>(Q508+R508)*'1.0-Contractblad'!$L$37</f>
        <v>0</v>
      </c>
      <c r="X508" s="303">
        <f ca="1">VLOOKUP(E508,'1.1a-Jaarprijzen'!$B$32:$Q$51,16,FALSE)*K508</f>
        <v>0</v>
      </c>
      <c r="Z508" s="771">
        <f t="shared" si="74"/>
        <v>44600</v>
      </c>
      <c r="AA508" s="491" t="str">
        <f t="shared" si="75"/>
        <v>2200-200</v>
      </c>
    </row>
    <row r="509" spans="2:27" s="489" customFormat="1" ht="15" hidden="1">
      <c r="B509" s="329"/>
      <c r="C509" s="330"/>
      <c r="D509" s="294">
        <f>VLOOKUP(E509,'1.1a-Jaarprijzen'!$B$13:$G$29,6,FALSE)</f>
        <v>3</v>
      </c>
      <c r="E509" s="768" t="s">
        <v>948</v>
      </c>
      <c r="F509" s="294" t="s">
        <v>572</v>
      </c>
      <c r="G509" s="295" t="s">
        <v>612</v>
      </c>
      <c r="H509" s="293" t="s">
        <v>394</v>
      </c>
      <c r="I509" s="296" t="str">
        <f t="shared" si="76"/>
        <v>entree, gang, hal, repro</v>
      </c>
      <c r="J509" s="294" t="s">
        <v>656</v>
      </c>
      <c r="K509" s="297">
        <v>7</v>
      </c>
      <c r="L509" s="297"/>
      <c r="M509" s="298">
        <v>3200</v>
      </c>
      <c r="N509" s="299">
        <f t="shared" si="71"/>
        <v>200</v>
      </c>
      <c r="O509" s="483">
        <v>1</v>
      </c>
      <c r="P509" s="483">
        <v>1</v>
      </c>
      <c r="Q509" s="291">
        <f t="shared" si="72"/>
        <v>0</v>
      </c>
      <c r="R509" s="291">
        <f t="shared" si="73"/>
        <v>0</v>
      </c>
      <c r="S509" s="300">
        <f t="shared" si="68"/>
        <v>0</v>
      </c>
      <c r="T509" s="300">
        <f t="shared" si="69"/>
        <v>0</v>
      </c>
      <c r="U509" s="769" t="str">
        <f t="shared" si="70"/>
        <v>V</v>
      </c>
      <c r="V509" s="302"/>
      <c r="W509" s="303">
        <f>(Q509+R509)*'1.0-Contractblad'!$L$37</f>
        <v>0</v>
      </c>
      <c r="X509" s="303">
        <f ca="1">VLOOKUP(E509,'1.1a-Jaarprijzen'!$B$32:$Q$51,16,FALSE)*K509</f>
        <v>0</v>
      </c>
      <c r="Z509" s="771">
        <f t="shared" si="74"/>
        <v>1400</v>
      </c>
      <c r="AA509" s="491" t="str">
        <f t="shared" si="75"/>
        <v>3200-200</v>
      </c>
    </row>
    <row r="510" spans="2:27" s="489" customFormat="1" ht="15" hidden="1">
      <c r="B510" s="329"/>
      <c r="C510" s="330"/>
      <c r="D510" s="294">
        <f>VLOOKUP(E510,'1.1a-Jaarprijzen'!$B$13:$G$29,6,FALSE)</f>
        <v>3</v>
      </c>
      <c r="E510" s="768" t="s">
        <v>948</v>
      </c>
      <c r="F510" s="294" t="s">
        <v>572</v>
      </c>
      <c r="G510" s="295" t="s">
        <v>614</v>
      </c>
      <c r="H510" s="293" t="s">
        <v>388</v>
      </c>
      <c r="I510" s="296" t="str">
        <f t="shared" si="76"/>
        <v>entree, gang, hal, repro</v>
      </c>
      <c r="J510" s="294" t="s">
        <v>657</v>
      </c>
      <c r="K510" s="297">
        <v>32</v>
      </c>
      <c r="L510" s="297"/>
      <c r="M510" s="298">
        <v>3200</v>
      </c>
      <c r="N510" s="299">
        <f t="shared" si="71"/>
        <v>200</v>
      </c>
      <c r="O510" s="483">
        <v>1</v>
      </c>
      <c r="P510" s="483">
        <v>1</v>
      </c>
      <c r="Q510" s="291">
        <f t="shared" si="72"/>
        <v>0</v>
      </c>
      <c r="R510" s="291">
        <f t="shared" si="73"/>
        <v>0</v>
      </c>
      <c r="S510" s="300">
        <f t="shared" si="68"/>
        <v>0</v>
      </c>
      <c r="T510" s="300">
        <f t="shared" si="69"/>
        <v>0</v>
      </c>
      <c r="U510" s="769" t="str">
        <f t="shared" si="70"/>
        <v>V</v>
      </c>
      <c r="V510" s="302"/>
      <c r="W510" s="303">
        <f>(Q510+R510)*'1.0-Contractblad'!$L$37</f>
        <v>0</v>
      </c>
      <c r="X510" s="303">
        <f ca="1">VLOOKUP(E510,'1.1a-Jaarprijzen'!$B$32:$Q$51,16,FALSE)*K510</f>
        <v>0</v>
      </c>
      <c r="Z510" s="771">
        <f t="shared" si="74"/>
        <v>6400</v>
      </c>
      <c r="AA510" s="491" t="str">
        <f t="shared" si="75"/>
        <v>3200-200</v>
      </c>
    </row>
    <row r="511" spans="2:27" s="489" customFormat="1" ht="15" hidden="1">
      <c r="B511" s="329"/>
      <c r="C511" s="330"/>
      <c r="D511" s="294">
        <f>VLOOKUP(E511,'1.1a-Jaarprijzen'!$B$13:$G$29,6,FALSE)</f>
        <v>3</v>
      </c>
      <c r="E511" s="768" t="s">
        <v>948</v>
      </c>
      <c r="F511" s="294" t="s">
        <v>572</v>
      </c>
      <c r="G511" s="295" t="s">
        <v>952</v>
      </c>
      <c r="H511" s="293" t="s">
        <v>396</v>
      </c>
      <c r="I511" s="296" t="str">
        <f t="shared" si="76"/>
        <v>pantry/keuken</v>
      </c>
      <c r="J511" s="294" t="s">
        <v>735</v>
      </c>
      <c r="K511" s="297">
        <v>8</v>
      </c>
      <c r="L511" s="297"/>
      <c r="M511" s="298">
        <v>5200</v>
      </c>
      <c r="N511" s="299">
        <f t="shared" si="71"/>
        <v>200</v>
      </c>
      <c r="O511" s="483">
        <v>1</v>
      </c>
      <c r="P511" s="483">
        <v>1</v>
      </c>
      <c r="Q511" s="291">
        <f t="shared" si="72"/>
        <v>0</v>
      </c>
      <c r="R511" s="291">
        <f t="shared" si="73"/>
        <v>0</v>
      </c>
      <c r="S511" s="300">
        <f t="shared" si="68"/>
        <v>0</v>
      </c>
      <c r="T511" s="300">
        <f t="shared" si="69"/>
        <v>0</v>
      </c>
      <c r="U511" s="769" t="str">
        <f t="shared" si="70"/>
        <v>V</v>
      </c>
      <c r="V511" s="302"/>
      <c r="W511" s="303">
        <f>(Q511+R511)*'1.0-Contractblad'!$L$37</f>
        <v>0</v>
      </c>
      <c r="X511" s="303">
        <f ca="1">VLOOKUP(E511,'1.1a-Jaarprijzen'!$B$32:$Q$51,16,FALSE)*K511</f>
        <v>0</v>
      </c>
      <c r="Z511" s="771">
        <f t="shared" si="74"/>
        <v>1600</v>
      </c>
      <c r="AA511" s="491" t="str">
        <f t="shared" si="75"/>
        <v>5200-200</v>
      </c>
    </row>
    <row r="512" spans="2:27" s="489" customFormat="1" ht="15" hidden="1">
      <c r="B512" s="329"/>
      <c r="C512" s="330"/>
      <c r="D512" s="294">
        <f>VLOOKUP(E512,'1.1a-Jaarprijzen'!$B$13:$G$29,6,FALSE)</f>
        <v>3</v>
      </c>
      <c r="E512" s="768" t="s">
        <v>948</v>
      </c>
      <c r="F512" s="294" t="s">
        <v>572</v>
      </c>
      <c r="G512" s="295" t="s">
        <v>607</v>
      </c>
      <c r="H512" s="293" t="s">
        <v>646</v>
      </c>
      <c r="I512" s="296" t="str">
        <f t="shared" si="76"/>
        <v>Kinderopvang</v>
      </c>
      <c r="J512" s="294" t="s">
        <v>657</v>
      </c>
      <c r="K512" s="297">
        <v>49</v>
      </c>
      <c r="L512" s="297"/>
      <c r="M512" s="298">
        <v>22260</v>
      </c>
      <c r="N512" s="299">
        <f t="shared" si="71"/>
        <v>260</v>
      </c>
      <c r="O512" s="483">
        <v>1</v>
      </c>
      <c r="P512" s="483">
        <v>1</v>
      </c>
      <c r="Q512" s="291">
        <f t="shared" si="72"/>
        <v>0</v>
      </c>
      <c r="R512" s="291">
        <f t="shared" si="73"/>
        <v>0</v>
      </c>
      <c r="S512" s="300">
        <f t="shared" si="68"/>
        <v>0</v>
      </c>
      <c r="T512" s="300">
        <f t="shared" si="69"/>
        <v>0</v>
      </c>
      <c r="U512" s="769" t="str">
        <f t="shared" si="70"/>
        <v>L</v>
      </c>
      <c r="V512" s="302"/>
      <c r="W512" s="303">
        <f>(Q512+R512)*'1.0-Contractblad'!$L$37</f>
        <v>0</v>
      </c>
      <c r="X512" s="303">
        <f ca="1">VLOOKUP(E512,'1.1a-Jaarprijzen'!$B$32:$Q$51,16,FALSE)*K512</f>
        <v>0</v>
      </c>
      <c r="Z512" s="771">
        <f t="shared" si="74"/>
        <v>12740</v>
      </c>
      <c r="AA512" s="491" t="str">
        <f t="shared" si="75"/>
        <v>22260-260</v>
      </c>
    </row>
    <row r="513" spans="2:27" s="489" customFormat="1" ht="15" hidden="1">
      <c r="B513" s="329"/>
      <c r="C513" s="330"/>
      <c r="D513" s="294">
        <f>VLOOKUP(E513,'1.1a-Jaarprijzen'!$B$13:$G$29,6,FALSE)</f>
        <v>3</v>
      </c>
      <c r="E513" s="768" t="s">
        <v>948</v>
      </c>
      <c r="F513" s="294" t="s">
        <v>572</v>
      </c>
      <c r="G513" s="295" t="s">
        <v>608</v>
      </c>
      <c r="H513" s="293" t="s">
        <v>646</v>
      </c>
      <c r="I513" s="296" t="str">
        <f t="shared" si="76"/>
        <v>leslokaal groep 1 t/m 3</v>
      </c>
      <c r="J513" s="294" t="s">
        <v>657</v>
      </c>
      <c r="K513" s="297">
        <v>49</v>
      </c>
      <c r="L513" s="297"/>
      <c r="M513" s="298">
        <v>7200</v>
      </c>
      <c r="N513" s="299">
        <f t="shared" si="71"/>
        <v>200</v>
      </c>
      <c r="O513" s="483">
        <v>1</v>
      </c>
      <c r="P513" s="483">
        <v>1</v>
      </c>
      <c r="Q513" s="291">
        <f t="shared" si="72"/>
        <v>0</v>
      </c>
      <c r="R513" s="291">
        <f t="shared" si="73"/>
        <v>0</v>
      </c>
      <c r="S513" s="300">
        <f t="shared" si="68"/>
        <v>0</v>
      </c>
      <c r="T513" s="300">
        <f t="shared" si="69"/>
        <v>0</v>
      </c>
      <c r="U513" s="769" t="str">
        <f t="shared" si="70"/>
        <v>L</v>
      </c>
      <c r="V513" s="302"/>
      <c r="W513" s="303">
        <f>(Q513+R513)*'1.0-Contractblad'!$L$37</f>
        <v>0</v>
      </c>
      <c r="X513" s="303">
        <f ca="1">VLOOKUP(E513,'1.1a-Jaarprijzen'!$B$32:$Q$51,16,FALSE)*K513</f>
        <v>0</v>
      </c>
      <c r="Z513" s="771">
        <f t="shared" si="74"/>
        <v>9800</v>
      </c>
      <c r="AA513" s="491" t="str">
        <f t="shared" si="75"/>
        <v>7200-200</v>
      </c>
    </row>
    <row r="514" spans="2:27" s="489" customFormat="1" ht="15" hidden="1">
      <c r="B514" s="329"/>
      <c r="C514" s="330"/>
      <c r="D514" s="294">
        <f>VLOOKUP(E514,'1.1a-Jaarprijzen'!$B$13:$G$29,6,FALSE)</f>
        <v>3</v>
      </c>
      <c r="E514" s="768" t="s">
        <v>948</v>
      </c>
      <c r="F514" s="294" t="s">
        <v>572</v>
      </c>
      <c r="G514" s="295" t="s">
        <v>609</v>
      </c>
      <c r="H514" s="293" t="s">
        <v>646</v>
      </c>
      <c r="I514" s="296" t="str">
        <f t="shared" si="76"/>
        <v>leslokaal groep 1 t/m 3</v>
      </c>
      <c r="J514" s="294" t="s">
        <v>657</v>
      </c>
      <c r="K514" s="297">
        <v>48</v>
      </c>
      <c r="L514" s="297"/>
      <c r="M514" s="298">
        <v>7200</v>
      </c>
      <c r="N514" s="299">
        <f t="shared" si="71"/>
        <v>200</v>
      </c>
      <c r="O514" s="483">
        <v>1</v>
      </c>
      <c r="P514" s="483">
        <v>1</v>
      </c>
      <c r="Q514" s="291">
        <f t="shared" si="72"/>
        <v>0</v>
      </c>
      <c r="R514" s="291">
        <f t="shared" si="73"/>
        <v>0</v>
      </c>
      <c r="S514" s="300">
        <f t="shared" si="68"/>
        <v>0</v>
      </c>
      <c r="T514" s="300">
        <f t="shared" si="69"/>
        <v>0</v>
      </c>
      <c r="U514" s="769" t="str">
        <f t="shared" si="70"/>
        <v>L</v>
      </c>
      <c r="V514" s="302"/>
      <c r="W514" s="303">
        <f>(Q514+R514)*'1.0-Contractblad'!$L$37</f>
        <v>0</v>
      </c>
      <c r="X514" s="303">
        <f ca="1">VLOOKUP(E514,'1.1a-Jaarprijzen'!$B$32:$Q$51,16,FALSE)*K514</f>
        <v>0</v>
      </c>
      <c r="Z514" s="771">
        <f t="shared" si="74"/>
        <v>9600</v>
      </c>
      <c r="AA514" s="491" t="str">
        <f t="shared" si="75"/>
        <v>7200-200</v>
      </c>
    </row>
    <row r="515" spans="2:27" s="489" customFormat="1" ht="15" hidden="1">
      <c r="B515" s="329"/>
      <c r="C515" s="330"/>
      <c r="D515" s="294">
        <f>VLOOKUP(E515,'1.1a-Jaarprijzen'!$B$13:$G$29,6,FALSE)</f>
        <v>3</v>
      </c>
      <c r="E515" s="768" t="s">
        <v>948</v>
      </c>
      <c r="F515" s="294" t="s">
        <v>572</v>
      </c>
      <c r="G515" s="295" t="s">
        <v>627</v>
      </c>
      <c r="H515" s="293" t="s">
        <v>646</v>
      </c>
      <c r="I515" s="296" t="str">
        <f t="shared" si="76"/>
        <v>leslokaal groep 1 t/m 3</v>
      </c>
      <c r="J515" s="294" t="s">
        <v>657</v>
      </c>
      <c r="K515" s="297">
        <v>49</v>
      </c>
      <c r="L515" s="297"/>
      <c r="M515" s="298">
        <v>7200</v>
      </c>
      <c r="N515" s="299">
        <f t="shared" si="71"/>
        <v>200</v>
      </c>
      <c r="O515" s="483">
        <v>1</v>
      </c>
      <c r="P515" s="483">
        <v>1</v>
      </c>
      <c r="Q515" s="291">
        <f t="shared" si="72"/>
        <v>0</v>
      </c>
      <c r="R515" s="291">
        <f t="shared" si="73"/>
        <v>0</v>
      </c>
      <c r="S515" s="300">
        <f t="shared" si="68"/>
        <v>0</v>
      </c>
      <c r="T515" s="300">
        <f t="shared" si="69"/>
        <v>0</v>
      </c>
      <c r="U515" s="769" t="str">
        <f t="shared" si="70"/>
        <v>L</v>
      </c>
      <c r="V515" s="302"/>
      <c r="W515" s="303">
        <f>(Q515+R515)*'1.0-Contractblad'!$L$37</f>
        <v>0</v>
      </c>
      <c r="X515" s="303">
        <f ca="1">VLOOKUP(E515,'1.1a-Jaarprijzen'!$B$32:$Q$51,16,FALSE)*K515</f>
        <v>0</v>
      </c>
      <c r="Z515" s="771">
        <f t="shared" si="74"/>
        <v>9800</v>
      </c>
      <c r="AA515" s="491" t="str">
        <f t="shared" si="75"/>
        <v>7200-200</v>
      </c>
    </row>
    <row r="516" spans="2:27" s="489" customFormat="1" ht="15" hidden="1">
      <c r="B516" s="329"/>
      <c r="C516" s="330"/>
      <c r="D516" s="294">
        <f>VLOOKUP(E516,'1.1a-Jaarprijzen'!$B$13:$G$29,6,FALSE)</f>
        <v>3</v>
      </c>
      <c r="E516" s="768" t="s">
        <v>948</v>
      </c>
      <c r="F516" s="294" t="s">
        <v>572</v>
      </c>
      <c r="G516" s="295" t="s">
        <v>628</v>
      </c>
      <c r="H516" s="293" t="s">
        <v>646</v>
      </c>
      <c r="I516" s="296" t="str">
        <f t="shared" si="76"/>
        <v>leslokaal groep 1 t/m 3</v>
      </c>
      <c r="J516" s="294" t="s">
        <v>657</v>
      </c>
      <c r="K516" s="297">
        <v>51</v>
      </c>
      <c r="L516" s="297"/>
      <c r="M516" s="298">
        <v>7200</v>
      </c>
      <c r="N516" s="299">
        <f t="shared" si="71"/>
        <v>200</v>
      </c>
      <c r="O516" s="483">
        <v>1</v>
      </c>
      <c r="P516" s="483">
        <v>1</v>
      </c>
      <c r="Q516" s="291">
        <f t="shared" si="72"/>
        <v>0</v>
      </c>
      <c r="R516" s="291">
        <f t="shared" si="73"/>
        <v>0</v>
      </c>
      <c r="S516" s="300">
        <f t="shared" si="68"/>
        <v>0</v>
      </c>
      <c r="T516" s="300">
        <f t="shared" si="69"/>
        <v>0</v>
      </c>
      <c r="U516" s="769" t="str">
        <f t="shared" si="70"/>
        <v>L</v>
      </c>
      <c r="V516" s="302"/>
      <c r="W516" s="303">
        <f>(Q516+R516)*'1.0-Contractblad'!$L$37</f>
        <v>0</v>
      </c>
      <c r="X516" s="303">
        <f ca="1">VLOOKUP(E516,'1.1a-Jaarprijzen'!$B$32:$Q$51,16,FALSE)*K516</f>
        <v>0</v>
      </c>
      <c r="Z516" s="771">
        <f t="shared" si="74"/>
        <v>10200</v>
      </c>
      <c r="AA516" s="491" t="str">
        <f t="shared" si="75"/>
        <v>7200-200</v>
      </c>
    </row>
    <row r="517" spans="2:27" s="489" customFormat="1" ht="15" hidden="1">
      <c r="B517" s="329"/>
      <c r="C517" s="330"/>
      <c r="D517" s="294">
        <f>VLOOKUP(E517,'1.1a-Jaarprijzen'!$B$13:$G$29,6,FALSE)</f>
        <v>3</v>
      </c>
      <c r="E517" s="768" t="s">
        <v>948</v>
      </c>
      <c r="F517" s="294" t="s">
        <v>572</v>
      </c>
      <c r="G517" s="295" t="s">
        <v>629</v>
      </c>
      <c r="H517" s="293" t="s">
        <v>646</v>
      </c>
      <c r="I517" s="296" t="str">
        <f t="shared" si="76"/>
        <v>leslokaal/leerplein groep 4 t/m 8</v>
      </c>
      <c r="J517" s="294" t="s">
        <v>657</v>
      </c>
      <c r="K517" s="297">
        <v>52</v>
      </c>
      <c r="L517" s="297"/>
      <c r="M517" s="298">
        <v>18200</v>
      </c>
      <c r="N517" s="299">
        <f t="shared" si="71"/>
        <v>200</v>
      </c>
      <c r="O517" s="483">
        <v>1</v>
      </c>
      <c r="P517" s="483">
        <v>1</v>
      </c>
      <c r="Q517" s="291">
        <f t="shared" si="72"/>
        <v>0</v>
      </c>
      <c r="R517" s="291">
        <f t="shared" si="73"/>
        <v>0</v>
      </c>
      <c r="S517" s="300">
        <f t="shared" si="68"/>
        <v>0</v>
      </c>
      <c r="T517" s="300">
        <f t="shared" si="69"/>
        <v>0</v>
      </c>
      <c r="U517" s="769" t="str">
        <f t="shared" si="70"/>
        <v>L</v>
      </c>
      <c r="V517" s="302"/>
      <c r="W517" s="303">
        <f>(Q517+R517)*'1.0-Contractblad'!$L$37</f>
        <v>0</v>
      </c>
      <c r="X517" s="303">
        <f ca="1">VLOOKUP(E517,'1.1a-Jaarprijzen'!$B$32:$Q$51,16,FALSE)*K517</f>
        <v>0</v>
      </c>
      <c r="Z517" s="771">
        <f t="shared" si="74"/>
        <v>10400</v>
      </c>
      <c r="AA517" s="491" t="str">
        <f t="shared" si="75"/>
        <v>18200-200</v>
      </c>
    </row>
    <row r="518" spans="2:27" s="489" customFormat="1" ht="15" hidden="1">
      <c r="B518" s="329"/>
      <c r="C518" s="330"/>
      <c r="D518" s="294">
        <f>VLOOKUP(E518,'1.1a-Jaarprijzen'!$B$13:$G$29,6,FALSE)</f>
        <v>3</v>
      </c>
      <c r="E518" s="768" t="s">
        <v>948</v>
      </c>
      <c r="F518" s="294" t="s">
        <v>572</v>
      </c>
      <c r="G518" s="295" t="s">
        <v>630</v>
      </c>
      <c r="H518" s="293" t="s">
        <v>646</v>
      </c>
      <c r="I518" s="296" t="str">
        <f t="shared" si="76"/>
        <v>leslokaal/leerplein groep 4 t/m 8</v>
      </c>
      <c r="J518" s="294" t="s">
        <v>657</v>
      </c>
      <c r="K518" s="297">
        <v>52</v>
      </c>
      <c r="L518" s="297"/>
      <c r="M518" s="298">
        <v>18200</v>
      </c>
      <c r="N518" s="299">
        <f t="shared" si="71"/>
        <v>200</v>
      </c>
      <c r="O518" s="483">
        <v>1</v>
      </c>
      <c r="P518" s="483">
        <v>1</v>
      </c>
      <c r="Q518" s="291">
        <f t="shared" si="72"/>
        <v>0</v>
      </c>
      <c r="R518" s="291">
        <f t="shared" si="73"/>
        <v>0</v>
      </c>
      <c r="S518" s="300">
        <f t="shared" si="68"/>
        <v>0</v>
      </c>
      <c r="T518" s="300">
        <f t="shared" si="69"/>
        <v>0</v>
      </c>
      <c r="U518" s="769" t="str">
        <f t="shared" si="70"/>
        <v>L</v>
      </c>
      <c r="V518" s="302"/>
      <c r="W518" s="303">
        <f>(Q518+R518)*'1.0-Contractblad'!$L$37</f>
        <v>0</v>
      </c>
      <c r="X518" s="303">
        <f ca="1">VLOOKUP(E518,'1.1a-Jaarprijzen'!$B$32:$Q$51,16,FALSE)*K518</f>
        <v>0</v>
      </c>
      <c r="Z518" s="771">
        <f t="shared" si="74"/>
        <v>10400</v>
      </c>
      <c r="AA518" s="491" t="str">
        <f t="shared" si="75"/>
        <v>18200-200</v>
      </c>
    </row>
    <row r="519" spans="2:27" s="489" customFormat="1" ht="15" hidden="1">
      <c r="B519" s="329"/>
      <c r="C519" s="330"/>
      <c r="D519" s="294">
        <f>VLOOKUP(E519,'1.1a-Jaarprijzen'!$B$13:$G$29,6,FALSE)</f>
        <v>3</v>
      </c>
      <c r="E519" s="768" t="s">
        <v>948</v>
      </c>
      <c r="F519" s="294" t="s">
        <v>572</v>
      </c>
      <c r="G519" s="295" t="s">
        <v>633</v>
      </c>
      <c r="H519" s="293" t="s">
        <v>646</v>
      </c>
      <c r="I519" s="296" t="str">
        <f t="shared" si="76"/>
        <v>leslokaal/bevo/handvaardigheid</v>
      </c>
      <c r="J519" s="294" t="s">
        <v>657</v>
      </c>
      <c r="K519" s="297">
        <v>51</v>
      </c>
      <c r="L519" s="297"/>
      <c r="M519" s="298">
        <v>7040</v>
      </c>
      <c r="N519" s="299">
        <f t="shared" si="71"/>
        <v>40</v>
      </c>
      <c r="O519" s="483">
        <v>1</v>
      </c>
      <c r="P519" s="483">
        <v>1</v>
      </c>
      <c r="Q519" s="291">
        <f t="shared" si="72"/>
        <v>0</v>
      </c>
      <c r="R519" s="291">
        <f t="shared" si="73"/>
        <v>0</v>
      </c>
      <c r="S519" s="300">
        <f t="shared" si="68"/>
        <v>0</v>
      </c>
      <c r="T519" s="300">
        <f t="shared" si="69"/>
        <v>0</v>
      </c>
      <c r="U519" s="769" t="str">
        <f t="shared" si="70"/>
        <v>L</v>
      </c>
      <c r="V519" s="302"/>
      <c r="W519" s="303">
        <f>(Q519+R519)*'1.0-Contractblad'!$L$37</f>
        <v>0</v>
      </c>
      <c r="X519" s="303">
        <f ca="1">VLOOKUP(E519,'1.1a-Jaarprijzen'!$B$32:$Q$51,16,FALSE)*K519</f>
        <v>0</v>
      </c>
      <c r="Z519" s="771">
        <f t="shared" si="74"/>
        <v>2040</v>
      </c>
      <c r="AA519" s="491" t="str">
        <f t="shared" si="75"/>
        <v>7040-40</v>
      </c>
    </row>
    <row r="520" spans="2:27" s="489" customFormat="1" ht="15" hidden="1">
      <c r="B520" s="329"/>
      <c r="C520" s="330"/>
      <c r="D520" s="294">
        <f>VLOOKUP(E520,'1.1a-Jaarprijzen'!$B$13:$G$29,6,FALSE)</f>
        <v>3</v>
      </c>
      <c r="E520" s="768" t="s">
        <v>948</v>
      </c>
      <c r="F520" s="294" t="s">
        <v>572</v>
      </c>
      <c r="G520" s="295" t="s">
        <v>634</v>
      </c>
      <c r="H520" s="293" t="s">
        <v>646</v>
      </c>
      <c r="I520" s="296" t="str">
        <f t="shared" si="76"/>
        <v>leslokaal/leerplein groep 4 t/m 8</v>
      </c>
      <c r="J520" s="294" t="s">
        <v>657</v>
      </c>
      <c r="K520" s="297">
        <v>51</v>
      </c>
      <c r="L520" s="297"/>
      <c r="M520" s="298">
        <v>18200</v>
      </c>
      <c r="N520" s="299">
        <f t="shared" si="71"/>
        <v>200</v>
      </c>
      <c r="O520" s="483">
        <v>1</v>
      </c>
      <c r="P520" s="483">
        <v>1</v>
      </c>
      <c r="Q520" s="291">
        <f t="shared" si="72"/>
        <v>0</v>
      </c>
      <c r="R520" s="291">
        <f t="shared" si="73"/>
        <v>0</v>
      </c>
      <c r="S520" s="300">
        <f t="shared" si="68"/>
        <v>0</v>
      </c>
      <c r="T520" s="300">
        <f t="shared" si="69"/>
        <v>0</v>
      </c>
      <c r="U520" s="769" t="str">
        <f t="shared" si="70"/>
        <v>L</v>
      </c>
      <c r="V520" s="302"/>
      <c r="W520" s="303">
        <f>(Q520+R520)*'1.0-Contractblad'!$L$37</f>
        <v>0</v>
      </c>
      <c r="X520" s="303">
        <f ca="1">VLOOKUP(E520,'1.1a-Jaarprijzen'!$B$32:$Q$51,16,FALSE)*K520</f>
        <v>0</v>
      </c>
      <c r="Z520" s="771">
        <f t="shared" si="74"/>
        <v>10200</v>
      </c>
      <c r="AA520" s="491" t="str">
        <f t="shared" si="75"/>
        <v>18200-200</v>
      </c>
    </row>
    <row r="521" spans="2:27" s="489" customFormat="1" ht="15" hidden="1">
      <c r="B521" s="329"/>
      <c r="C521" s="330"/>
      <c r="D521" s="294">
        <f>VLOOKUP(E521,'1.1a-Jaarprijzen'!$B$13:$G$29,6,FALSE)</f>
        <v>3</v>
      </c>
      <c r="E521" s="768" t="s">
        <v>948</v>
      </c>
      <c r="F521" s="294" t="s">
        <v>572</v>
      </c>
      <c r="G521" s="295" t="s">
        <v>635</v>
      </c>
      <c r="H521" s="293" t="s">
        <v>646</v>
      </c>
      <c r="I521" s="296" t="str">
        <f t="shared" si="76"/>
        <v>leslokaal/leerplein groep 4 t/m 8</v>
      </c>
      <c r="J521" s="294" t="s">
        <v>657</v>
      </c>
      <c r="K521" s="297">
        <v>51</v>
      </c>
      <c r="L521" s="297"/>
      <c r="M521" s="298">
        <v>18200</v>
      </c>
      <c r="N521" s="299">
        <f t="shared" si="71"/>
        <v>200</v>
      </c>
      <c r="O521" s="483">
        <v>1</v>
      </c>
      <c r="P521" s="483">
        <v>1</v>
      </c>
      <c r="Q521" s="291">
        <f t="shared" si="72"/>
        <v>0</v>
      </c>
      <c r="R521" s="291">
        <f t="shared" si="73"/>
        <v>0</v>
      </c>
      <c r="S521" s="300">
        <f t="shared" si="68"/>
        <v>0</v>
      </c>
      <c r="T521" s="300">
        <f t="shared" si="69"/>
        <v>0</v>
      </c>
      <c r="U521" s="769" t="str">
        <f t="shared" si="70"/>
        <v>L</v>
      </c>
      <c r="V521" s="302"/>
      <c r="W521" s="303">
        <f>(Q521+R521)*'1.0-Contractblad'!$L$37</f>
        <v>0</v>
      </c>
      <c r="X521" s="303">
        <f ca="1">VLOOKUP(E521,'1.1a-Jaarprijzen'!$B$32:$Q$51,16,FALSE)*K521</f>
        <v>0</v>
      </c>
      <c r="Z521" s="771">
        <f t="shared" si="74"/>
        <v>10200</v>
      </c>
      <c r="AA521" s="491" t="str">
        <f t="shared" si="75"/>
        <v>18200-200</v>
      </c>
    </row>
    <row r="522" spans="2:27" s="489" customFormat="1" ht="15" hidden="1">
      <c r="B522" s="329"/>
      <c r="C522" s="330"/>
      <c r="D522" s="294">
        <f>VLOOKUP(E522,'1.1a-Jaarprijzen'!$B$13:$G$29,6,FALSE)</f>
        <v>3</v>
      </c>
      <c r="E522" s="768" t="s">
        <v>948</v>
      </c>
      <c r="F522" s="294" t="s">
        <v>572</v>
      </c>
      <c r="G522" s="295" t="s">
        <v>610</v>
      </c>
      <c r="H522" s="293" t="s">
        <v>646</v>
      </c>
      <c r="I522" s="296" t="str">
        <f t="shared" si="76"/>
        <v>leslokaal/leerplein groep 4 t/m 8</v>
      </c>
      <c r="J522" s="294" t="s">
        <v>657</v>
      </c>
      <c r="K522" s="297">
        <v>51</v>
      </c>
      <c r="L522" s="297"/>
      <c r="M522" s="298">
        <v>18200</v>
      </c>
      <c r="N522" s="299">
        <f t="shared" si="71"/>
        <v>200</v>
      </c>
      <c r="O522" s="483">
        <v>1</v>
      </c>
      <c r="P522" s="483">
        <v>1</v>
      </c>
      <c r="Q522" s="291">
        <f t="shared" si="72"/>
        <v>0</v>
      </c>
      <c r="R522" s="291">
        <f t="shared" si="73"/>
        <v>0</v>
      </c>
      <c r="S522" s="300">
        <f t="shared" si="68"/>
        <v>0</v>
      </c>
      <c r="T522" s="300">
        <f t="shared" si="69"/>
        <v>0</v>
      </c>
      <c r="U522" s="769" t="str">
        <f t="shared" si="70"/>
        <v>L</v>
      </c>
      <c r="V522" s="302"/>
      <c r="W522" s="303">
        <f>(Q522+R522)*'1.0-Contractblad'!$L$37</f>
        <v>0</v>
      </c>
      <c r="X522" s="303">
        <f ca="1">VLOOKUP(E522,'1.1a-Jaarprijzen'!$B$32:$Q$51,16,FALSE)*K522</f>
        <v>0</v>
      </c>
      <c r="Z522" s="771">
        <f t="shared" si="74"/>
        <v>10200</v>
      </c>
      <c r="AA522" s="491" t="str">
        <f t="shared" si="75"/>
        <v>18200-200</v>
      </c>
    </row>
    <row r="523" spans="2:27" s="489" customFormat="1" ht="15" hidden="1">
      <c r="B523" s="329"/>
      <c r="C523" s="330"/>
      <c r="D523" s="294">
        <f>VLOOKUP(E523,'1.1a-Jaarprijzen'!$B$13:$G$29,6,FALSE)</f>
        <v>3</v>
      </c>
      <c r="E523" s="768" t="s">
        <v>948</v>
      </c>
      <c r="F523" s="294" t="s">
        <v>572</v>
      </c>
      <c r="G523" s="295" t="s">
        <v>953</v>
      </c>
      <c r="H523" s="293" t="s">
        <v>646</v>
      </c>
      <c r="I523" s="296" t="str">
        <f t="shared" si="76"/>
        <v>leslokaal/leerplein groep 4 t/m 8</v>
      </c>
      <c r="J523" s="294" t="s">
        <v>657</v>
      </c>
      <c r="K523" s="297">
        <v>51</v>
      </c>
      <c r="L523" s="297"/>
      <c r="M523" s="298">
        <v>18200</v>
      </c>
      <c r="N523" s="299">
        <f t="shared" si="71"/>
        <v>200</v>
      </c>
      <c r="O523" s="483">
        <v>1</v>
      </c>
      <c r="P523" s="483">
        <v>1</v>
      </c>
      <c r="Q523" s="291">
        <f t="shared" si="72"/>
        <v>0</v>
      </c>
      <c r="R523" s="291">
        <f t="shared" si="73"/>
        <v>0</v>
      </c>
      <c r="S523" s="300">
        <f t="shared" si="68"/>
        <v>0</v>
      </c>
      <c r="T523" s="300">
        <f t="shared" si="69"/>
        <v>0</v>
      </c>
      <c r="U523" s="769" t="str">
        <f t="shared" si="70"/>
        <v>L</v>
      </c>
      <c r="V523" s="302"/>
      <c r="W523" s="303">
        <f>(Q523+R523)*'1.0-Contractblad'!$L$37</f>
        <v>0</v>
      </c>
      <c r="X523" s="303">
        <f ca="1">VLOOKUP(E523,'1.1a-Jaarprijzen'!$B$32:$Q$51,16,FALSE)*K523</f>
        <v>0</v>
      </c>
      <c r="Z523" s="771">
        <f t="shared" si="74"/>
        <v>10200</v>
      </c>
      <c r="AA523" s="491" t="str">
        <f t="shared" si="75"/>
        <v>18200-200</v>
      </c>
    </row>
    <row r="524" spans="2:27" s="489" customFormat="1" ht="15" hidden="1">
      <c r="B524" s="329"/>
      <c r="C524" s="330"/>
      <c r="D524" s="294">
        <f>VLOOKUP(E524,'1.1a-Jaarprijzen'!$B$13:$G$29,6,FALSE)</f>
        <v>3</v>
      </c>
      <c r="E524" s="768" t="s">
        <v>948</v>
      </c>
      <c r="F524" s="294" t="s">
        <v>572</v>
      </c>
      <c r="G524" s="295" t="s">
        <v>621</v>
      </c>
      <c r="H524" s="293" t="s">
        <v>390</v>
      </c>
      <c r="I524" s="296" t="str">
        <f t="shared" si="76"/>
        <v>administratieve -,  vergaderruimte</v>
      </c>
      <c r="J524" s="294" t="s">
        <v>657</v>
      </c>
      <c r="K524" s="297">
        <v>40</v>
      </c>
      <c r="L524" s="297"/>
      <c r="M524" s="298">
        <v>1200</v>
      </c>
      <c r="N524" s="299">
        <f t="shared" si="71"/>
        <v>200</v>
      </c>
      <c r="O524" s="483">
        <v>1</v>
      </c>
      <c r="P524" s="483">
        <v>1</v>
      </c>
      <c r="Q524" s="291">
        <f t="shared" si="72"/>
        <v>0</v>
      </c>
      <c r="R524" s="291">
        <f t="shared" si="73"/>
        <v>0</v>
      </c>
      <c r="S524" s="300">
        <f t="shared" si="68"/>
        <v>0</v>
      </c>
      <c r="T524" s="300">
        <f t="shared" si="69"/>
        <v>0</v>
      </c>
      <c r="U524" s="769" t="str">
        <f t="shared" si="70"/>
        <v>V</v>
      </c>
      <c r="V524" s="302"/>
      <c r="W524" s="303">
        <f>(Q524+R524)*'1.0-Contractblad'!$L$37</f>
        <v>0</v>
      </c>
      <c r="X524" s="303">
        <f ca="1">VLOOKUP(E524,'1.1a-Jaarprijzen'!$B$32:$Q$51,16,FALSE)*K524</f>
        <v>0</v>
      </c>
      <c r="Z524" s="771">
        <f t="shared" si="74"/>
        <v>8000</v>
      </c>
      <c r="AA524" s="491" t="str">
        <f t="shared" si="75"/>
        <v>1200-200</v>
      </c>
    </row>
    <row r="525" spans="2:27" s="489" customFormat="1" ht="15" hidden="1">
      <c r="B525" s="329"/>
      <c r="C525" s="330"/>
      <c r="D525" s="294">
        <f>VLOOKUP(E525,'1.1a-Jaarprijzen'!$B$13:$G$29,6,FALSE)</f>
        <v>3</v>
      </c>
      <c r="E525" s="768" t="s">
        <v>948</v>
      </c>
      <c r="F525" s="294" t="s">
        <v>572</v>
      </c>
      <c r="G525" s="295" t="s">
        <v>622</v>
      </c>
      <c r="H525" s="293" t="s">
        <v>1015</v>
      </c>
      <c r="I525" s="296" t="str">
        <f t="shared" si="76"/>
        <v>speellokaal</v>
      </c>
      <c r="J525" s="294" t="s">
        <v>657</v>
      </c>
      <c r="K525" s="297">
        <v>140</v>
      </c>
      <c r="L525" s="297"/>
      <c r="M525" s="298">
        <v>8200</v>
      </c>
      <c r="N525" s="299">
        <f t="shared" si="71"/>
        <v>200</v>
      </c>
      <c r="O525" s="483">
        <v>1</v>
      </c>
      <c r="P525" s="483">
        <v>1</v>
      </c>
      <c r="Q525" s="291">
        <f t="shared" si="72"/>
        <v>0</v>
      </c>
      <c r="R525" s="291">
        <f t="shared" si="73"/>
        <v>0</v>
      </c>
      <c r="S525" s="300">
        <f t="shared" si="68"/>
        <v>0</v>
      </c>
      <c r="T525" s="300">
        <f t="shared" si="69"/>
        <v>0</v>
      </c>
      <c r="U525" s="769" t="str">
        <f t="shared" si="70"/>
        <v>L</v>
      </c>
      <c r="V525" s="302"/>
      <c r="W525" s="303">
        <f>(Q525+R525)*'1.0-Contractblad'!$L$37</f>
        <v>0</v>
      </c>
      <c r="X525" s="303">
        <f ca="1">VLOOKUP(E525,'1.1a-Jaarprijzen'!$B$32:$Q$51,16,FALSE)*K525</f>
        <v>0</v>
      </c>
      <c r="Z525" s="771">
        <f t="shared" si="74"/>
        <v>28000</v>
      </c>
      <c r="AA525" s="491" t="str">
        <f t="shared" si="75"/>
        <v>8200-200</v>
      </c>
    </row>
    <row r="526" spans="2:27" s="489" customFormat="1" ht="15" hidden="1">
      <c r="B526" s="329"/>
      <c r="C526" s="330"/>
      <c r="D526" s="294">
        <f>VLOOKUP(E526,'1.1a-Jaarprijzen'!$B$13:$G$29,6,FALSE)</f>
        <v>3</v>
      </c>
      <c r="E526" s="768" t="s">
        <v>948</v>
      </c>
      <c r="F526" s="294" t="s">
        <v>572</v>
      </c>
      <c r="G526" s="295" t="s">
        <v>623</v>
      </c>
      <c r="H526" s="293" t="s">
        <v>390</v>
      </c>
      <c r="I526" s="296" t="str">
        <f t="shared" si="76"/>
        <v>administratieve -,  vergaderruimte</v>
      </c>
      <c r="J526" s="294" t="s">
        <v>657</v>
      </c>
      <c r="K526" s="297">
        <v>33</v>
      </c>
      <c r="L526" s="297"/>
      <c r="M526" s="298">
        <v>1200</v>
      </c>
      <c r="N526" s="299">
        <f t="shared" si="71"/>
        <v>200</v>
      </c>
      <c r="O526" s="483">
        <v>1</v>
      </c>
      <c r="P526" s="483">
        <v>1</v>
      </c>
      <c r="Q526" s="291">
        <f t="shared" si="72"/>
        <v>0</v>
      </c>
      <c r="R526" s="291">
        <f t="shared" si="73"/>
        <v>0</v>
      </c>
      <c r="S526" s="300">
        <f t="shared" si="68"/>
        <v>0</v>
      </c>
      <c r="T526" s="300">
        <f t="shared" si="69"/>
        <v>0</v>
      </c>
      <c r="U526" s="769" t="str">
        <f t="shared" si="70"/>
        <v>V</v>
      </c>
      <c r="V526" s="302"/>
      <c r="W526" s="303">
        <f>(Q526+R526)*'1.0-Contractblad'!$L$37</f>
        <v>0</v>
      </c>
      <c r="X526" s="303">
        <f ca="1">VLOOKUP(E526,'1.1a-Jaarprijzen'!$B$32:$Q$51,16,FALSE)*K526</f>
        <v>0</v>
      </c>
      <c r="Z526" s="771">
        <f t="shared" si="74"/>
        <v>6600</v>
      </c>
      <c r="AA526" s="491" t="str">
        <f t="shared" si="75"/>
        <v>1200-200</v>
      </c>
    </row>
    <row r="527" spans="2:27" s="489" customFormat="1" ht="15" hidden="1">
      <c r="B527" s="329"/>
      <c r="C527" s="330"/>
      <c r="D527" s="294">
        <f>VLOOKUP(E527,'1.1a-Jaarprijzen'!$B$13:$G$29,6,FALSE)</f>
        <v>3</v>
      </c>
      <c r="E527" s="768" t="s">
        <v>948</v>
      </c>
      <c r="F527" s="294" t="s">
        <v>572</v>
      </c>
      <c r="G527" s="295" t="s">
        <v>624</v>
      </c>
      <c r="H527" s="293" t="s">
        <v>390</v>
      </c>
      <c r="I527" s="296" t="str">
        <f t="shared" si="76"/>
        <v>administratieve -,  vergaderruimte</v>
      </c>
      <c r="J527" s="294" t="s">
        <v>657</v>
      </c>
      <c r="K527" s="297">
        <v>16</v>
      </c>
      <c r="L527" s="297"/>
      <c r="M527" s="298">
        <v>1200</v>
      </c>
      <c r="N527" s="299">
        <f t="shared" si="71"/>
        <v>200</v>
      </c>
      <c r="O527" s="483">
        <v>1</v>
      </c>
      <c r="P527" s="483">
        <v>1</v>
      </c>
      <c r="Q527" s="291">
        <f t="shared" si="72"/>
        <v>0</v>
      </c>
      <c r="R527" s="291">
        <f t="shared" si="73"/>
        <v>0</v>
      </c>
      <c r="S527" s="300">
        <f t="shared" si="68"/>
        <v>0</v>
      </c>
      <c r="T527" s="300">
        <f t="shared" si="69"/>
        <v>0</v>
      </c>
      <c r="U527" s="769" t="str">
        <f t="shared" si="70"/>
        <v>V</v>
      </c>
      <c r="V527" s="302"/>
      <c r="W527" s="303">
        <f>(Q527+R527)*'1.0-Contractblad'!$L$37</f>
        <v>0</v>
      </c>
      <c r="X527" s="303">
        <f ca="1">VLOOKUP(E527,'1.1a-Jaarprijzen'!$B$32:$Q$51,16,FALSE)*K527</f>
        <v>0</v>
      </c>
      <c r="Z527" s="771">
        <f t="shared" si="74"/>
        <v>3200</v>
      </c>
      <c r="AA527" s="491" t="str">
        <f t="shared" si="75"/>
        <v>1200-200</v>
      </c>
    </row>
    <row r="528" spans="2:27" s="489" customFormat="1" ht="15" hidden="1">
      <c r="B528" s="329"/>
      <c r="C528" s="330"/>
      <c r="D528" s="294">
        <f>VLOOKUP(E528,'1.1a-Jaarprijzen'!$B$13:$G$29,6,FALSE)</f>
        <v>3</v>
      </c>
      <c r="E528" s="768" t="s">
        <v>948</v>
      </c>
      <c r="F528" s="294" t="s">
        <v>572</v>
      </c>
      <c r="G528" s="295" t="s">
        <v>625</v>
      </c>
      <c r="H528" s="293" t="s">
        <v>390</v>
      </c>
      <c r="I528" s="296" t="str">
        <f t="shared" si="76"/>
        <v>administratieve -,  vergaderruimte</v>
      </c>
      <c r="J528" s="294" t="s">
        <v>657</v>
      </c>
      <c r="K528" s="297">
        <v>13</v>
      </c>
      <c r="L528" s="297"/>
      <c r="M528" s="298">
        <v>1200</v>
      </c>
      <c r="N528" s="299">
        <f t="shared" si="71"/>
        <v>200</v>
      </c>
      <c r="O528" s="483">
        <v>1</v>
      </c>
      <c r="P528" s="483">
        <v>1</v>
      </c>
      <c r="Q528" s="291">
        <f t="shared" si="72"/>
        <v>0</v>
      </c>
      <c r="R528" s="291">
        <f t="shared" si="73"/>
        <v>0</v>
      </c>
      <c r="S528" s="300">
        <f t="shared" si="68"/>
        <v>0</v>
      </c>
      <c r="T528" s="300">
        <f t="shared" si="69"/>
        <v>0</v>
      </c>
      <c r="U528" s="769" t="str">
        <f t="shared" si="70"/>
        <v>V</v>
      </c>
      <c r="V528" s="302"/>
      <c r="W528" s="303">
        <f>(Q528+R528)*'1.0-Contractblad'!$L$37</f>
        <v>0</v>
      </c>
      <c r="X528" s="303">
        <f ca="1">VLOOKUP(E528,'1.1a-Jaarprijzen'!$B$32:$Q$51,16,FALSE)*K528</f>
        <v>0</v>
      </c>
      <c r="Z528" s="771">
        <f t="shared" si="74"/>
        <v>2600</v>
      </c>
      <c r="AA528" s="491" t="str">
        <f t="shared" si="75"/>
        <v>1200-200</v>
      </c>
    </row>
    <row r="529" spans="2:27" s="489" customFormat="1" ht="15" hidden="1">
      <c r="B529" s="329"/>
      <c r="C529" s="330"/>
      <c r="D529" s="294">
        <f>VLOOKUP(E529,'1.1a-Jaarprijzen'!$B$13:$G$29,6,FALSE)</f>
        <v>3</v>
      </c>
      <c r="E529" s="768" t="s">
        <v>948</v>
      </c>
      <c r="F529" s="294" t="s">
        <v>572</v>
      </c>
      <c r="G529" s="295" t="s">
        <v>611</v>
      </c>
      <c r="H529" s="293" t="s">
        <v>391</v>
      </c>
      <c r="I529" s="296" t="str">
        <f t="shared" si="76"/>
        <v>speellokaal</v>
      </c>
      <c r="J529" s="294" t="s">
        <v>463</v>
      </c>
      <c r="K529" s="297">
        <v>88</v>
      </c>
      <c r="L529" s="297"/>
      <c r="M529" s="298">
        <v>8200</v>
      </c>
      <c r="N529" s="299">
        <f t="shared" si="71"/>
        <v>200</v>
      </c>
      <c r="O529" s="483">
        <v>1</v>
      </c>
      <c r="P529" s="483">
        <v>1</v>
      </c>
      <c r="Q529" s="291">
        <f t="shared" si="72"/>
        <v>0</v>
      </c>
      <c r="R529" s="291">
        <f t="shared" si="73"/>
        <v>0</v>
      </c>
      <c r="S529" s="300">
        <f t="shared" si="68"/>
        <v>0</v>
      </c>
      <c r="T529" s="300">
        <f t="shared" si="69"/>
        <v>0</v>
      </c>
      <c r="U529" s="769" t="str">
        <f t="shared" si="70"/>
        <v>L</v>
      </c>
      <c r="V529" s="302"/>
      <c r="W529" s="303">
        <f>(Q529+R529)*'1.0-Contractblad'!$L$37</f>
        <v>0</v>
      </c>
      <c r="X529" s="303">
        <f ca="1">VLOOKUP(E529,'1.1a-Jaarprijzen'!$B$32:$Q$51,16,FALSE)*K529</f>
        <v>0</v>
      </c>
      <c r="Z529" s="771">
        <f t="shared" si="74"/>
        <v>17600</v>
      </c>
      <c r="AA529" s="491" t="str">
        <f t="shared" si="75"/>
        <v>8200-200</v>
      </c>
    </row>
    <row r="530" spans="2:27" s="489" customFormat="1" ht="15" hidden="1">
      <c r="B530" s="329"/>
      <c r="C530" s="330"/>
      <c r="D530" s="294">
        <f>VLOOKUP(E530,'1.1a-Jaarprijzen'!$B$13:$G$29,6,FALSE)</f>
        <v>3</v>
      </c>
      <c r="E530" s="768" t="s">
        <v>948</v>
      </c>
      <c r="F530" s="294" t="s">
        <v>572</v>
      </c>
      <c r="G530" s="295" t="s">
        <v>616</v>
      </c>
      <c r="H530" s="293" t="s">
        <v>477</v>
      </c>
      <c r="I530" s="296" t="str">
        <f t="shared" si="76"/>
        <v>sanitaire ruimte (toilet-/doucheruimte)</v>
      </c>
      <c r="J530" s="294" t="s">
        <v>735</v>
      </c>
      <c r="K530" s="297">
        <v>12</v>
      </c>
      <c r="L530" s="297"/>
      <c r="M530" s="298">
        <v>4200</v>
      </c>
      <c r="N530" s="299">
        <f t="shared" si="71"/>
        <v>200</v>
      </c>
      <c r="O530" s="483">
        <v>1</v>
      </c>
      <c r="P530" s="483">
        <v>1</v>
      </c>
      <c r="Q530" s="291">
        <f t="shared" si="72"/>
        <v>0</v>
      </c>
      <c r="R530" s="291">
        <f t="shared" si="73"/>
        <v>0</v>
      </c>
      <c r="S530" s="300">
        <f t="shared" si="68"/>
        <v>0</v>
      </c>
      <c r="T530" s="300">
        <f t="shared" si="69"/>
        <v>0</v>
      </c>
      <c r="U530" s="769" t="str">
        <f t="shared" si="70"/>
        <v>S</v>
      </c>
      <c r="V530" s="302"/>
      <c r="W530" s="303">
        <f>(Q530+R530)*'1.0-Contractblad'!$L$37</f>
        <v>0</v>
      </c>
      <c r="X530" s="303">
        <f ca="1">VLOOKUP(E530,'1.1a-Jaarprijzen'!$B$32:$Q$51,16,FALSE)*K530</f>
        <v>0</v>
      </c>
      <c r="Z530" s="771">
        <f t="shared" si="74"/>
        <v>2400</v>
      </c>
      <c r="AA530" s="491" t="str">
        <f t="shared" si="75"/>
        <v>4200-200</v>
      </c>
    </row>
    <row r="531" spans="2:27" s="489" customFormat="1" ht="15" hidden="1">
      <c r="B531" s="329"/>
      <c r="C531" s="330"/>
      <c r="D531" s="294">
        <f>VLOOKUP(E531,'1.1a-Jaarprijzen'!$B$13:$G$29,6,FALSE)</f>
        <v>3</v>
      </c>
      <c r="E531" s="768" t="s">
        <v>948</v>
      </c>
      <c r="F531" s="294" t="s">
        <v>572</v>
      </c>
      <c r="G531" s="295" t="s">
        <v>616</v>
      </c>
      <c r="H531" s="293" t="s">
        <v>477</v>
      </c>
      <c r="I531" s="296" t="str">
        <f t="shared" si="76"/>
        <v>niet van toepassing</v>
      </c>
      <c r="J531" s="294" t="s">
        <v>735</v>
      </c>
      <c r="K531" s="297"/>
      <c r="L531" s="297"/>
      <c r="M531" s="298" t="s">
        <v>17</v>
      </c>
      <c r="N531" s="299">
        <f t="shared" si="71"/>
        <v>0</v>
      </c>
      <c r="O531" s="483">
        <v>1</v>
      </c>
      <c r="P531" s="483">
        <v>1</v>
      </c>
      <c r="Q531" s="291">
        <f t="shared" si="72"/>
        <v>0</v>
      </c>
      <c r="R531" s="291">
        <f t="shared" si="73"/>
        <v>0</v>
      </c>
      <c r="S531" s="300">
        <f t="shared" si="68"/>
        <v>0</v>
      </c>
      <c r="T531" s="300">
        <f t="shared" si="69"/>
        <v>0</v>
      </c>
      <c r="U531" s="769">
        <f t="shared" si="70"/>
        <v>0</v>
      </c>
      <c r="V531" s="302"/>
      <c r="W531" s="303">
        <f>(Q531+R531)*'1.0-Contractblad'!$L$37</f>
        <v>0</v>
      </c>
      <c r="X531" s="303">
        <f ca="1">VLOOKUP(E531,'1.1a-Jaarprijzen'!$B$32:$Q$51,16,FALSE)*K531</f>
        <v>0</v>
      </c>
      <c r="Z531" s="771">
        <f t="shared" si="74"/>
        <v>0</v>
      </c>
      <c r="AA531" s="491" t="str">
        <f t="shared" si="75"/>
        <v>nvt-0</v>
      </c>
    </row>
    <row r="532" spans="2:27" s="489" customFormat="1" ht="15" hidden="1">
      <c r="B532" s="329"/>
      <c r="C532" s="330"/>
      <c r="D532" s="294">
        <f>VLOOKUP(E532,'1.1a-Jaarprijzen'!$B$13:$G$29,6,FALSE)</f>
        <v>3</v>
      </c>
      <c r="E532" s="768" t="s">
        <v>948</v>
      </c>
      <c r="F532" s="294" t="s">
        <v>572</v>
      </c>
      <c r="G532" s="295" t="s">
        <v>617</v>
      </c>
      <c r="H532" s="293" t="s">
        <v>477</v>
      </c>
      <c r="I532" s="296" t="str">
        <f t="shared" si="76"/>
        <v>sanitaire ruimte (toilet-/doucheruimte)</v>
      </c>
      <c r="J532" s="294" t="s">
        <v>735</v>
      </c>
      <c r="K532" s="297">
        <v>4</v>
      </c>
      <c r="L532" s="297"/>
      <c r="M532" s="298">
        <v>4200</v>
      </c>
      <c r="N532" s="299">
        <f t="shared" si="71"/>
        <v>200</v>
      </c>
      <c r="O532" s="483">
        <v>1</v>
      </c>
      <c r="P532" s="483">
        <v>1</v>
      </c>
      <c r="Q532" s="291">
        <f t="shared" si="72"/>
        <v>0</v>
      </c>
      <c r="R532" s="291">
        <f t="shared" si="73"/>
        <v>0</v>
      </c>
      <c r="S532" s="300">
        <f t="shared" si="68"/>
        <v>0</v>
      </c>
      <c r="T532" s="300">
        <f t="shared" si="69"/>
        <v>0</v>
      </c>
      <c r="U532" s="769" t="str">
        <f t="shared" si="70"/>
        <v>S</v>
      </c>
      <c r="V532" s="302"/>
      <c r="W532" s="303">
        <f>(Q532+R532)*'1.0-Contractblad'!$L$37</f>
        <v>0</v>
      </c>
      <c r="X532" s="303">
        <f ca="1">VLOOKUP(E532,'1.1a-Jaarprijzen'!$B$32:$Q$51,16,FALSE)*K532</f>
        <v>0</v>
      </c>
      <c r="Z532" s="771">
        <f t="shared" si="74"/>
        <v>800</v>
      </c>
      <c r="AA532" s="491" t="str">
        <f t="shared" si="75"/>
        <v>4200-200</v>
      </c>
    </row>
    <row r="533" spans="2:27" s="489" customFormat="1" ht="15" hidden="1">
      <c r="B533" s="329"/>
      <c r="C533" s="330"/>
      <c r="D533" s="294">
        <f>VLOOKUP(E533,'1.1a-Jaarprijzen'!$B$13:$G$29,6,FALSE)</f>
        <v>3</v>
      </c>
      <c r="E533" s="768" t="s">
        <v>948</v>
      </c>
      <c r="F533" s="294" t="s">
        <v>572</v>
      </c>
      <c r="G533" s="295" t="s">
        <v>618</v>
      </c>
      <c r="H533" s="293" t="s">
        <v>477</v>
      </c>
      <c r="I533" s="296" t="str">
        <f t="shared" si="76"/>
        <v>sanitaire ruimte (toilet-/doucheruimte)</v>
      </c>
      <c r="J533" s="294" t="s">
        <v>735</v>
      </c>
      <c r="K533" s="297">
        <v>14</v>
      </c>
      <c r="L533" s="297"/>
      <c r="M533" s="298">
        <v>4200</v>
      </c>
      <c r="N533" s="299">
        <f t="shared" si="71"/>
        <v>200</v>
      </c>
      <c r="O533" s="483">
        <v>1</v>
      </c>
      <c r="P533" s="483">
        <v>1</v>
      </c>
      <c r="Q533" s="291">
        <f t="shared" si="72"/>
        <v>0</v>
      </c>
      <c r="R533" s="291">
        <f t="shared" si="73"/>
        <v>0</v>
      </c>
      <c r="S533" s="300">
        <f t="shared" si="68"/>
        <v>0</v>
      </c>
      <c r="T533" s="300">
        <f t="shared" si="69"/>
        <v>0</v>
      </c>
      <c r="U533" s="769" t="str">
        <f t="shared" si="70"/>
        <v>S</v>
      </c>
      <c r="V533" s="302"/>
      <c r="W533" s="303">
        <f>(Q533+R533)*'1.0-Contractblad'!$L$37</f>
        <v>0</v>
      </c>
      <c r="X533" s="303">
        <f ca="1">VLOOKUP(E533,'1.1a-Jaarprijzen'!$B$32:$Q$51,16,FALSE)*K533</f>
        <v>0</v>
      </c>
      <c r="Z533" s="771">
        <f t="shared" si="74"/>
        <v>2800</v>
      </c>
      <c r="AA533" s="491" t="str">
        <f t="shared" si="75"/>
        <v>4200-200</v>
      </c>
    </row>
    <row r="534" spans="2:27" s="489" customFormat="1" ht="15" hidden="1">
      <c r="B534" s="329"/>
      <c r="C534" s="330"/>
      <c r="D534" s="294">
        <f>VLOOKUP(E534,'1.1a-Jaarprijzen'!$B$13:$G$29,6,FALSE)</f>
        <v>3</v>
      </c>
      <c r="E534" s="768" t="s">
        <v>948</v>
      </c>
      <c r="F534" s="294" t="s">
        <v>572</v>
      </c>
      <c r="G534" s="294" t="s">
        <v>954</v>
      </c>
      <c r="H534" s="709" t="s">
        <v>477</v>
      </c>
      <c r="I534" s="296" t="str">
        <f t="shared" si="51"/>
        <v>sanitaire ruimte (toilet-/doucheruimte)</v>
      </c>
      <c r="J534" s="294" t="s">
        <v>735</v>
      </c>
      <c r="K534" s="297">
        <v>2.4</v>
      </c>
      <c r="L534" s="297"/>
      <c r="M534" s="298">
        <v>4200</v>
      </c>
      <c r="N534" s="299">
        <f t="shared" si="71"/>
        <v>200</v>
      </c>
      <c r="O534" s="483">
        <v>1</v>
      </c>
      <c r="P534" s="483">
        <v>1</v>
      </c>
      <c r="Q534" s="291">
        <f t="shared" si="72"/>
        <v>0</v>
      </c>
      <c r="R534" s="291">
        <f t="shared" si="73"/>
        <v>0</v>
      </c>
      <c r="S534" s="300">
        <f t="shared" si="68"/>
        <v>0</v>
      </c>
      <c r="T534" s="300">
        <f t="shared" si="69"/>
        <v>0</v>
      </c>
      <c r="U534" s="769" t="str">
        <f t="shared" si="70"/>
        <v>S</v>
      </c>
      <c r="V534" s="302"/>
      <c r="W534" s="303">
        <f>(Q534+R534)*'1.0-Contractblad'!$L$37</f>
        <v>0</v>
      </c>
      <c r="X534" s="303">
        <f ca="1">VLOOKUP(E534,'1.1a-Jaarprijzen'!$B$32:$Q$51,16,FALSE)*K534</f>
        <v>0</v>
      </c>
      <c r="Z534" s="771">
        <f t="shared" si="74"/>
        <v>480</v>
      </c>
      <c r="AA534" s="491" t="str">
        <f t="shared" si="75"/>
        <v>4200-200</v>
      </c>
    </row>
    <row r="535" spans="2:27" s="489" customFormat="1" ht="15" hidden="1">
      <c r="B535" s="329"/>
      <c r="C535" s="330"/>
      <c r="D535" s="294">
        <f>VLOOKUP(E535,'1.1a-Jaarprijzen'!$B$13:$G$29,6,FALSE)</f>
        <v>3</v>
      </c>
      <c r="E535" s="768" t="s">
        <v>948</v>
      </c>
      <c r="F535" s="294" t="s">
        <v>572</v>
      </c>
      <c r="G535" s="294" t="s">
        <v>619</v>
      </c>
      <c r="H535" s="709" t="s">
        <v>477</v>
      </c>
      <c r="I535" s="296" t="str">
        <f t="shared" si="51"/>
        <v>sanitaire ruimte (toilet-/doucheruimte)</v>
      </c>
      <c r="J535" s="294" t="s">
        <v>735</v>
      </c>
      <c r="K535" s="297">
        <v>12</v>
      </c>
      <c r="L535" s="297"/>
      <c r="M535" s="298">
        <v>4200</v>
      </c>
      <c r="N535" s="299">
        <f t="shared" si="71"/>
        <v>200</v>
      </c>
      <c r="O535" s="483">
        <v>1</v>
      </c>
      <c r="P535" s="483">
        <v>1</v>
      </c>
      <c r="Q535" s="291">
        <f t="shared" si="72"/>
        <v>0</v>
      </c>
      <c r="R535" s="291">
        <f t="shared" si="73"/>
        <v>0</v>
      </c>
      <c r="S535" s="300">
        <f t="shared" si="68"/>
        <v>0</v>
      </c>
      <c r="T535" s="300">
        <f t="shared" si="69"/>
        <v>0</v>
      </c>
      <c r="U535" s="769" t="str">
        <f t="shared" si="70"/>
        <v>S</v>
      </c>
      <c r="V535" s="302"/>
      <c r="W535" s="303">
        <f>(Q535+R535)*'1.0-Contractblad'!$L$37</f>
        <v>0</v>
      </c>
      <c r="X535" s="303">
        <f ca="1">VLOOKUP(E535,'1.1a-Jaarprijzen'!$B$32:$Q$51,16,FALSE)*K535</f>
        <v>0</v>
      </c>
      <c r="Z535" s="771">
        <f t="shared" si="74"/>
        <v>2400</v>
      </c>
      <c r="AA535" s="491" t="str">
        <f t="shared" si="75"/>
        <v>4200-200</v>
      </c>
    </row>
    <row r="536" spans="2:27" s="489" customFormat="1" ht="15" hidden="1">
      <c r="B536" s="329"/>
      <c r="C536" s="330"/>
      <c r="D536" s="294">
        <f>VLOOKUP(E536,'1.1a-Jaarprijzen'!$B$13:$G$29,6,FALSE)</f>
        <v>3</v>
      </c>
      <c r="E536" s="768" t="s">
        <v>948</v>
      </c>
      <c r="F536" s="294" t="s">
        <v>572</v>
      </c>
      <c r="G536" s="294" t="s">
        <v>620</v>
      </c>
      <c r="H536" s="709" t="s">
        <v>477</v>
      </c>
      <c r="I536" s="296" t="str">
        <f t="shared" si="51"/>
        <v>sanitaire ruimte (toilet-/doucheruimte)</v>
      </c>
      <c r="J536" s="294" t="s">
        <v>735</v>
      </c>
      <c r="K536" s="297">
        <v>8</v>
      </c>
      <c r="L536" s="297"/>
      <c r="M536" s="298">
        <v>4080</v>
      </c>
      <c r="N536" s="299">
        <f t="shared" si="71"/>
        <v>80</v>
      </c>
      <c r="O536" s="483">
        <v>1</v>
      </c>
      <c r="P536" s="483">
        <v>1</v>
      </c>
      <c r="Q536" s="291">
        <f t="shared" si="72"/>
        <v>0</v>
      </c>
      <c r="R536" s="291">
        <f t="shared" si="73"/>
        <v>0</v>
      </c>
      <c r="S536" s="300">
        <f t="shared" si="68"/>
        <v>0</v>
      </c>
      <c r="T536" s="300">
        <f t="shared" si="69"/>
        <v>0</v>
      </c>
      <c r="U536" s="769" t="str">
        <f t="shared" si="70"/>
        <v>S</v>
      </c>
      <c r="V536" s="302"/>
      <c r="W536" s="303">
        <f>(Q536+R536)*'1.0-Contractblad'!$L$37</f>
        <v>0</v>
      </c>
      <c r="X536" s="303">
        <f ca="1">VLOOKUP(E536,'1.1a-Jaarprijzen'!$B$32:$Q$51,16,FALSE)*K536</f>
        <v>0</v>
      </c>
      <c r="Z536" s="771">
        <f t="shared" si="74"/>
        <v>640</v>
      </c>
      <c r="AA536" s="491" t="str">
        <f t="shared" si="75"/>
        <v>4080-80</v>
      </c>
    </row>
    <row r="537" spans="2:27" s="489" customFormat="1" ht="15" hidden="1">
      <c r="B537" s="329"/>
      <c r="C537" s="330"/>
      <c r="D537" s="294">
        <f>VLOOKUP(E537,'1.1a-Jaarprijzen'!$B$13:$G$29,6,FALSE)</f>
        <v>3</v>
      </c>
      <c r="E537" s="768" t="s">
        <v>948</v>
      </c>
      <c r="F537" s="294" t="s">
        <v>572</v>
      </c>
      <c r="G537" s="294" t="s">
        <v>631</v>
      </c>
      <c r="H537" s="709" t="s">
        <v>477</v>
      </c>
      <c r="I537" s="296" t="str">
        <f t="shared" si="51"/>
        <v>sanitaire ruimte (toilet-/doucheruimte)</v>
      </c>
      <c r="J537" s="294" t="s">
        <v>735</v>
      </c>
      <c r="K537" s="297">
        <v>7</v>
      </c>
      <c r="L537" s="297"/>
      <c r="M537" s="298">
        <v>4200</v>
      </c>
      <c r="N537" s="299">
        <f t="shared" si="71"/>
        <v>200</v>
      </c>
      <c r="O537" s="483">
        <v>1</v>
      </c>
      <c r="P537" s="483">
        <v>1</v>
      </c>
      <c r="Q537" s="291">
        <f t="shared" si="72"/>
        <v>0</v>
      </c>
      <c r="R537" s="291">
        <f t="shared" si="73"/>
        <v>0</v>
      </c>
      <c r="S537" s="300">
        <f t="shared" si="68"/>
        <v>0</v>
      </c>
      <c r="T537" s="300">
        <f t="shared" si="69"/>
        <v>0</v>
      </c>
      <c r="U537" s="769" t="str">
        <f t="shared" si="70"/>
        <v>S</v>
      </c>
      <c r="V537" s="302"/>
      <c r="W537" s="303">
        <f>(Q537+R537)*'1.0-Contractblad'!$L$37</f>
        <v>0</v>
      </c>
      <c r="X537" s="303">
        <f ca="1">VLOOKUP(E537,'1.1a-Jaarprijzen'!$B$32:$Q$51,16,FALSE)*K537</f>
        <v>0</v>
      </c>
      <c r="Z537" s="771">
        <f t="shared" si="74"/>
        <v>1400</v>
      </c>
      <c r="AA537" s="491" t="str">
        <f t="shared" si="75"/>
        <v>4200-200</v>
      </c>
    </row>
    <row r="538" spans="2:27" s="489" customFormat="1" ht="15" hidden="1">
      <c r="B538" s="329"/>
      <c r="C538" s="330"/>
      <c r="D538" s="294">
        <f>VLOOKUP(E538,'1.1a-Jaarprijzen'!$B$13:$G$29,6,FALSE)</f>
        <v>3</v>
      </c>
      <c r="E538" s="768" t="s">
        <v>950</v>
      </c>
      <c r="F538" s="294" t="s">
        <v>572</v>
      </c>
      <c r="G538" s="294" t="s">
        <v>510</v>
      </c>
      <c r="H538" s="709" t="s">
        <v>394</v>
      </c>
      <c r="I538" s="296" t="str">
        <f t="shared" si="51"/>
        <v>entree, gang, hal, repro</v>
      </c>
      <c r="J538" s="294" t="s">
        <v>656</v>
      </c>
      <c r="K538" s="297">
        <v>5</v>
      </c>
      <c r="L538" s="297"/>
      <c r="M538" s="298">
        <v>3200</v>
      </c>
      <c r="N538" s="299">
        <f t="shared" si="71"/>
        <v>200</v>
      </c>
      <c r="O538" s="483">
        <v>1</v>
      </c>
      <c r="P538" s="483">
        <v>1</v>
      </c>
      <c r="Q538" s="291">
        <f t="shared" si="72"/>
        <v>0</v>
      </c>
      <c r="R538" s="291">
        <f t="shared" si="73"/>
        <v>0</v>
      </c>
      <c r="S538" s="300">
        <f t="shared" si="68"/>
        <v>0</v>
      </c>
      <c r="T538" s="300">
        <f t="shared" si="69"/>
        <v>0</v>
      </c>
      <c r="U538" s="769" t="str">
        <f t="shared" si="70"/>
        <v>V</v>
      </c>
      <c r="V538" s="302"/>
      <c r="W538" s="303">
        <f>(Q538+R538)*'1.0-Contractblad'!$L$37</f>
        <v>0</v>
      </c>
      <c r="X538" s="303">
        <f ca="1">VLOOKUP(E538,'1.1a-Jaarprijzen'!$B$32:$Q$51,16,FALSE)*K538</f>
        <v>0</v>
      </c>
      <c r="Z538" s="771">
        <f t="shared" si="74"/>
        <v>1000</v>
      </c>
      <c r="AA538" s="491" t="str">
        <f t="shared" si="75"/>
        <v>3200-200</v>
      </c>
    </row>
    <row r="539" spans="2:27" s="489" customFormat="1" ht="15" hidden="1">
      <c r="B539" s="329"/>
      <c r="C539" s="330"/>
      <c r="D539" s="294">
        <f>VLOOKUP(E539,'1.1a-Jaarprijzen'!$B$13:$G$29,6,FALSE)</f>
        <v>3</v>
      </c>
      <c r="E539" s="770" t="s">
        <v>950</v>
      </c>
      <c r="F539" s="294" t="s">
        <v>572</v>
      </c>
      <c r="G539" s="294" t="s">
        <v>511</v>
      </c>
      <c r="H539" s="709" t="s">
        <v>394</v>
      </c>
      <c r="I539" s="296" t="str">
        <f t="shared" si="51"/>
        <v>entree, gang, hal, repro</v>
      </c>
      <c r="J539" s="294" t="s">
        <v>656</v>
      </c>
      <c r="K539" s="297">
        <v>5</v>
      </c>
      <c r="L539" s="297"/>
      <c r="M539" s="298">
        <v>3260</v>
      </c>
      <c r="N539" s="299">
        <f t="shared" si="71"/>
        <v>260</v>
      </c>
      <c r="O539" s="483">
        <v>1</v>
      </c>
      <c r="P539" s="483">
        <v>1</v>
      </c>
      <c r="Q539" s="291">
        <f t="shared" si="72"/>
        <v>0</v>
      </c>
      <c r="R539" s="291">
        <f t="shared" si="73"/>
        <v>0</v>
      </c>
      <c r="S539" s="300">
        <f t="shared" si="68"/>
        <v>0</v>
      </c>
      <c r="T539" s="300">
        <f t="shared" si="69"/>
        <v>0</v>
      </c>
      <c r="U539" s="769" t="str">
        <f t="shared" si="70"/>
        <v>V</v>
      </c>
      <c r="V539" s="302"/>
      <c r="W539" s="303">
        <f>(Q539+R539)*'1.0-Contractblad'!$L$37</f>
        <v>0</v>
      </c>
      <c r="X539" s="303">
        <f ca="1">VLOOKUP(E539,'1.1a-Jaarprijzen'!$B$32:$Q$51,16,FALSE)*K539</f>
        <v>0</v>
      </c>
      <c r="Z539" s="771">
        <f t="shared" si="74"/>
        <v>1300</v>
      </c>
      <c r="AA539" s="491" t="str">
        <f t="shared" si="75"/>
        <v>3260-260</v>
      </c>
    </row>
    <row r="540" spans="2:27" s="489" customFormat="1" ht="15" hidden="1">
      <c r="B540" s="329"/>
      <c r="C540" s="330"/>
      <c r="D540" s="294">
        <f>VLOOKUP(E540,'1.1a-Jaarprijzen'!$B$13:$G$29,6,FALSE)</f>
        <v>3</v>
      </c>
      <c r="E540" s="768" t="s">
        <v>950</v>
      </c>
      <c r="F540" s="294" t="s">
        <v>572</v>
      </c>
      <c r="G540" s="294" t="s">
        <v>513</v>
      </c>
      <c r="H540" s="709" t="s">
        <v>388</v>
      </c>
      <c r="I540" s="296" t="str">
        <f t="shared" si="51"/>
        <v>entree, gang, hal, repro</v>
      </c>
      <c r="J540" s="294" t="s">
        <v>657</v>
      </c>
      <c r="K540" s="297">
        <v>63</v>
      </c>
      <c r="L540" s="297"/>
      <c r="M540" s="298">
        <v>3200</v>
      </c>
      <c r="N540" s="299">
        <f t="shared" si="71"/>
        <v>200</v>
      </c>
      <c r="O540" s="483">
        <v>1</v>
      </c>
      <c r="P540" s="483">
        <v>1</v>
      </c>
      <c r="Q540" s="291">
        <f t="shared" si="72"/>
        <v>0</v>
      </c>
      <c r="R540" s="291">
        <f t="shared" si="73"/>
        <v>0</v>
      </c>
      <c r="S540" s="300">
        <f t="shared" si="68"/>
        <v>0</v>
      </c>
      <c r="T540" s="300">
        <f t="shared" si="69"/>
        <v>0</v>
      </c>
      <c r="U540" s="769" t="str">
        <f t="shared" si="70"/>
        <v>V</v>
      </c>
      <c r="V540" s="302"/>
      <c r="W540" s="303">
        <f>(Q540+R540)*'1.0-Contractblad'!$L$37</f>
        <v>0</v>
      </c>
      <c r="X540" s="303">
        <f ca="1">VLOOKUP(E540,'1.1a-Jaarprijzen'!$B$32:$Q$51,16,FALSE)*K540</f>
        <v>0</v>
      </c>
      <c r="Z540" s="771">
        <f t="shared" si="74"/>
        <v>12600</v>
      </c>
      <c r="AA540" s="491" t="str">
        <f t="shared" si="75"/>
        <v>3200-200</v>
      </c>
    </row>
    <row r="541" spans="2:27" s="489" customFormat="1" ht="15" hidden="1">
      <c r="B541" s="329"/>
      <c r="C541" s="330"/>
      <c r="D541" s="294">
        <f>VLOOKUP(E541,'1.1a-Jaarprijzen'!$B$13:$G$29,6,FALSE)</f>
        <v>3</v>
      </c>
      <c r="E541" s="768" t="s">
        <v>950</v>
      </c>
      <c r="F541" s="294" t="s">
        <v>572</v>
      </c>
      <c r="G541" s="294" t="s">
        <v>489</v>
      </c>
      <c r="H541" s="709" t="s">
        <v>646</v>
      </c>
      <c r="I541" s="296" t="str">
        <f t="shared" si="51"/>
        <v>leslokaal/leerplein groep 4 t/m 8</v>
      </c>
      <c r="J541" s="294" t="s">
        <v>657</v>
      </c>
      <c r="K541" s="297">
        <v>48</v>
      </c>
      <c r="L541" s="297"/>
      <c r="M541" s="298">
        <v>18200</v>
      </c>
      <c r="N541" s="299">
        <f t="shared" si="71"/>
        <v>200</v>
      </c>
      <c r="O541" s="483">
        <v>1</v>
      </c>
      <c r="P541" s="483">
        <v>1</v>
      </c>
      <c r="Q541" s="291">
        <f t="shared" si="72"/>
        <v>0</v>
      </c>
      <c r="R541" s="291">
        <f t="shared" si="73"/>
        <v>0</v>
      </c>
      <c r="S541" s="300">
        <f t="shared" si="68"/>
        <v>0</v>
      </c>
      <c r="T541" s="300">
        <f t="shared" si="69"/>
        <v>0</v>
      </c>
      <c r="U541" s="769" t="str">
        <f t="shared" si="70"/>
        <v>L</v>
      </c>
      <c r="V541" s="302"/>
      <c r="W541" s="303">
        <f>(Q541+R541)*'1.0-Contractblad'!$L$37</f>
        <v>0</v>
      </c>
      <c r="X541" s="303">
        <f ca="1">VLOOKUP(E541,'1.1a-Jaarprijzen'!$B$32:$Q$51,16,FALSE)*K541</f>
        <v>0</v>
      </c>
      <c r="Z541" s="771">
        <f t="shared" si="74"/>
        <v>9600</v>
      </c>
      <c r="AA541" s="491" t="str">
        <f t="shared" si="75"/>
        <v>18200-200</v>
      </c>
    </row>
    <row r="542" spans="2:27" s="489" customFormat="1" ht="15" hidden="1">
      <c r="B542" s="329"/>
      <c r="C542" s="330"/>
      <c r="D542" s="294">
        <f>VLOOKUP(E542,'1.1a-Jaarprijzen'!$B$13:$G$29,6,FALSE)</f>
        <v>3</v>
      </c>
      <c r="E542" s="768" t="s">
        <v>950</v>
      </c>
      <c r="F542" s="294" t="s">
        <v>572</v>
      </c>
      <c r="G542" s="294" t="s">
        <v>490</v>
      </c>
      <c r="H542" s="709" t="s">
        <v>646</v>
      </c>
      <c r="I542" s="296" t="str">
        <f t="shared" si="51"/>
        <v>leslokaal/leerplein groep 4 t/m 8</v>
      </c>
      <c r="J542" s="294" t="s">
        <v>657</v>
      </c>
      <c r="K542" s="297">
        <v>47</v>
      </c>
      <c r="L542" s="297"/>
      <c r="M542" s="298">
        <v>18200</v>
      </c>
      <c r="N542" s="299">
        <f t="shared" si="71"/>
        <v>200</v>
      </c>
      <c r="O542" s="483">
        <v>1</v>
      </c>
      <c r="P542" s="483">
        <v>1</v>
      </c>
      <c r="Q542" s="291">
        <f t="shared" si="72"/>
        <v>0</v>
      </c>
      <c r="R542" s="291">
        <f t="shared" si="73"/>
        <v>0</v>
      </c>
      <c r="S542" s="300">
        <f t="shared" ref="S542:S580" si="77">IF($M542=0,0,VLOOKUP($M542,Kengetal,6,FALSE))</f>
        <v>0</v>
      </c>
      <c r="T542" s="300">
        <f t="shared" ref="T542:T580" si="78">IF($M542=0,0,VLOOKUP($M542,Kengetal,7,FALSE))</f>
        <v>0</v>
      </c>
      <c r="U542" s="769" t="str">
        <f t="shared" si="70"/>
        <v>L</v>
      </c>
      <c r="V542" s="302"/>
      <c r="W542" s="303">
        <f>(Q542+R542)*'1.0-Contractblad'!$L$37</f>
        <v>0</v>
      </c>
      <c r="X542" s="303">
        <f ca="1">VLOOKUP(E542,'1.1a-Jaarprijzen'!$B$32:$Q$51,16,FALSE)*K542</f>
        <v>0</v>
      </c>
      <c r="Z542" s="771">
        <f t="shared" si="74"/>
        <v>9400</v>
      </c>
      <c r="AA542" s="491" t="str">
        <f t="shared" si="75"/>
        <v>18200-200</v>
      </c>
    </row>
    <row r="543" spans="2:27" s="489" customFormat="1" ht="15" hidden="1">
      <c r="B543" s="329"/>
      <c r="C543" s="330"/>
      <c r="D543" s="294">
        <f>VLOOKUP(E543,'1.1a-Jaarprijzen'!$B$13:$G$29,6,FALSE)</f>
        <v>3</v>
      </c>
      <c r="E543" s="768" t="s">
        <v>950</v>
      </c>
      <c r="F543" s="294" t="s">
        <v>572</v>
      </c>
      <c r="G543" s="294" t="s">
        <v>491</v>
      </c>
      <c r="H543" s="709" t="s">
        <v>646</v>
      </c>
      <c r="I543" s="296" t="str">
        <f t="shared" si="51"/>
        <v>leslokaal/leerplein groep 4 t/m 8</v>
      </c>
      <c r="J543" s="294" t="s">
        <v>657</v>
      </c>
      <c r="K543" s="297">
        <v>48</v>
      </c>
      <c r="L543" s="297"/>
      <c r="M543" s="298">
        <v>18200</v>
      </c>
      <c r="N543" s="299">
        <f t="shared" si="71"/>
        <v>200</v>
      </c>
      <c r="O543" s="483">
        <v>1</v>
      </c>
      <c r="P543" s="483">
        <v>1</v>
      </c>
      <c r="Q543" s="291">
        <f t="shared" si="72"/>
        <v>0</v>
      </c>
      <c r="R543" s="291">
        <f t="shared" si="73"/>
        <v>0</v>
      </c>
      <c r="S543" s="300">
        <f t="shared" si="77"/>
        <v>0</v>
      </c>
      <c r="T543" s="300">
        <f t="shared" si="78"/>
        <v>0</v>
      </c>
      <c r="U543" s="769" t="str">
        <f t="shared" si="70"/>
        <v>L</v>
      </c>
      <c r="V543" s="302"/>
      <c r="W543" s="303">
        <f>(Q543+R543)*'1.0-Contractblad'!$L$37</f>
        <v>0</v>
      </c>
      <c r="X543" s="303">
        <f ca="1">VLOOKUP(E543,'1.1a-Jaarprijzen'!$B$32:$Q$51,16,FALSE)*K543</f>
        <v>0</v>
      </c>
      <c r="Z543" s="771">
        <f t="shared" si="74"/>
        <v>9600</v>
      </c>
      <c r="AA543" s="491" t="str">
        <f t="shared" si="75"/>
        <v>18200-200</v>
      </c>
    </row>
    <row r="544" spans="2:27" s="489" customFormat="1" ht="15" hidden="1">
      <c r="B544" s="329"/>
      <c r="C544" s="330"/>
      <c r="D544" s="294">
        <f>VLOOKUP(E544,'1.1a-Jaarprijzen'!$B$13:$G$29,6,FALSE)</f>
        <v>3</v>
      </c>
      <c r="E544" s="768" t="s">
        <v>950</v>
      </c>
      <c r="F544" s="294" t="s">
        <v>572</v>
      </c>
      <c r="G544" s="294" t="s">
        <v>492</v>
      </c>
      <c r="H544" s="709" t="s">
        <v>646</v>
      </c>
      <c r="I544" s="296" t="str">
        <f t="shared" si="51"/>
        <v>leslokaal/leerplein groep 4 t/m 8</v>
      </c>
      <c r="J544" s="294" t="s">
        <v>657</v>
      </c>
      <c r="K544" s="297">
        <v>47</v>
      </c>
      <c r="L544" s="297"/>
      <c r="M544" s="298">
        <v>18200</v>
      </c>
      <c r="N544" s="299">
        <f t="shared" si="71"/>
        <v>200</v>
      </c>
      <c r="O544" s="483">
        <v>1</v>
      </c>
      <c r="P544" s="483">
        <v>1</v>
      </c>
      <c r="Q544" s="291">
        <f t="shared" si="72"/>
        <v>0</v>
      </c>
      <c r="R544" s="291">
        <f t="shared" si="73"/>
        <v>0</v>
      </c>
      <c r="S544" s="300">
        <f t="shared" si="77"/>
        <v>0</v>
      </c>
      <c r="T544" s="300">
        <f t="shared" si="78"/>
        <v>0</v>
      </c>
      <c r="U544" s="769" t="str">
        <f t="shared" si="70"/>
        <v>L</v>
      </c>
      <c r="V544" s="302"/>
      <c r="W544" s="303">
        <f>(Q544+R544)*'1.0-Contractblad'!$L$37</f>
        <v>0</v>
      </c>
      <c r="X544" s="303">
        <f ca="1">VLOOKUP(E544,'1.1a-Jaarprijzen'!$B$32:$Q$51,16,FALSE)*K544</f>
        <v>0</v>
      </c>
      <c r="Z544" s="771">
        <f t="shared" si="74"/>
        <v>9400</v>
      </c>
      <c r="AA544" s="491" t="str">
        <f t="shared" si="75"/>
        <v>18200-200</v>
      </c>
    </row>
    <row r="545" spans="2:27" s="489" customFormat="1" ht="15" hidden="1">
      <c r="B545" s="329"/>
      <c r="C545" s="330"/>
      <c r="D545" s="294">
        <f>VLOOKUP(E545,'1.1a-Jaarprijzen'!$B$13:$G$29,6,FALSE)</f>
        <v>3</v>
      </c>
      <c r="E545" s="768" t="s">
        <v>950</v>
      </c>
      <c r="F545" s="294" t="s">
        <v>572</v>
      </c>
      <c r="G545" s="294" t="s">
        <v>547</v>
      </c>
      <c r="H545" s="709" t="s">
        <v>389</v>
      </c>
      <c r="I545" s="296" t="str">
        <f t="shared" si="51"/>
        <v>niet van toepassing</v>
      </c>
      <c r="J545" s="294" t="s">
        <v>657</v>
      </c>
      <c r="K545" s="297"/>
      <c r="L545" s="297">
        <v>4</v>
      </c>
      <c r="M545" s="298" t="s">
        <v>17</v>
      </c>
      <c r="N545" s="299">
        <f t="shared" si="71"/>
        <v>0</v>
      </c>
      <c r="O545" s="483">
        <v>1</v>
      </c>
      <c r="P545" s="483">
        <v>1</v>
      </c>
      <c r="Q545" s="291">
        <f t="shared" si="72"/>
        <v>0</v>
      </c>
      <c r="R545" s="291">
        <f t="shared" si="73"/>
        <v>0</v>
      </c>
      <c r="S545" s="300">
        <f t="shared" si="77"/>
        <v>0</v>
      </c>
      <c r="T545" s="300">
        <f t="shared" si="78"/>
        <v>0</v>
      </c>
      <c r="U545" s="769">
        <f t="shared" si="70"/>
        <v>0</v>
      </c>
      <c r="V545" s="302"/>
      <c r="W545" s="303">
        <f>(Q545+R545)*'1.0-Contractblad'!$L$37</f>
        <v>0</v>
      </c>
      <c r="X545" s="303">
        <f ca="1">VLOOKUP(E545,'1.1a-Jaarprijzen'!$B$32:$Q$51,16,FALSE)*K545</f>
        <v>0</v>
      </c>
      <c r="Z545" s="771">
        <f t="shared" si="74"/>
        <v>0</v>
      </c>
      <c r="AA545" s="491" t="str">
        <f t="shared" si="75"/>
        <v>nvt-0</v>
      </c>
    </row>
    <row r="546" spans="2:27" s="489" customFormat="1" ht="15" hidden="1">
      <c r="B546" s="329"/>
      <c r="C546" s="330"/>
      <c r="D546" s="294">
        <f>VLOOKUP(E546,'1.1a-Jaarprijzen'!$B$13:$G$29,6,FALSE)</f>
        <v>3</v>
      </c>
      <c r="E546" s="768" t="s">
        <v>950</v>
      </c>
      <c r="F546" s="294" t="s">
        <v>572</v>
      </c>
      <c r="G546" s="294" t="s">
        <v>549</v>
      </c>
      <c r="H546" s="709" t="s">
        <v>392</v>
      </c>
      <c r="I546" s="296" t="str">
        <f t="shared" si="51"/>
        <v>niet van toepassing</v>
      </c>
      <c r="J546" s="294" t="s">
        <v>657</v>
      </c>
      <c r="K546" s="297"/>
      <c r="L546" s="297">
        <v>1.1000000000000001</v>
      </c>
      <c r="M546" s="298" t="s">
        <v>17</v>
      </c>
      <c r="N546" s="299">
        <f t="shared" si="71"/>
        <v>0</v>
      </c>
      <c r="O546" s="483">
        <v>1</v>
      </c>
      <c r="P546" s="483">
        <v>1</v>
      </c>
      <c r="Q546" s="291">
        <f t="shared" si="72"/>
        <v>0</v>
      </c>
      <c r="R546" s="291">
        <f t="shared" si="73"/>
        <v>0</v>
      </c>
      <c r="S546" s="300">
        <f t="shared" si="77"/>
        <v>0</v>
      </c>
      <c r="T546" s="300">
        <f t="shared" si="78"/>
        <v>0</v>
      </c>
      <c r="U546" s="769">
        <f t="shared" si="70"/>
        <v>0</v>
      </c>
      <c r="V546" s="302"/>
      <c r="W546" s="303">
        <f>(Q546+R546)*'1.0-Contractblad'!$L$37</f>
        <v>0</v>
      </c>
      <c r="X546" s="303">
        <f ca="1">VLOOKUP(E546,'1.1a-Jaarprijzen'!$B$32:$Q$51,16,FALSE)*K546</f>
        <v>0</v>
      </c>
      <c r="Z546" s="771">
        <f t="shared" si="74"/>
        <v>0</v>
      </c>
      <c r="AA546" s="491" t="str">
        <f t="shared" si="75"/>
        <v>nvt-0</v>
      </c>
    </row>
    <row r="547" spans="2:27" s="489" customFormat="1" ht="15" hidden="1">
      <c r="B547" s="329"/>
      <c r="C547" s="330"/>
      <c r="D547" s="294">
        <f>VLOOKUP(E547,'1.1a-Jaarprijzen'!$B$13:$G$29,6,FALSE)</f>
        <v>3</v>
      </c>
      <c r="E547" s="768" t="s">
        <v>950</v>
      </c>
      <c r="F547" s="294" t="s">
        <v>572</v>
      </c>
      <c r="G547" s="294" t="s">
        <v>550</v>
      </c>
      <c r="H547" s="709" t="s">
        <v>392</v>
      </c>
      <c r="I547" s="296" t="str">
        <f t="shared" si="51"/>
        <v>niet van toepassing</v>
      </c>
      <c r="J547" s="294" t="s">
        <v>657</v>
      </c>
      <c r="K547" s="297"/>
      <c r="L547" s="297">
        <v>4</v>
      </c>
      <c r="M547" s="298" t="s">
        <v>17</v>
      </c>
      <c r="N547" s="299">
        <f t="shared" si="71"/>
        <v>0</v>
      </c>
      <c r="O547" s="483">
        <v>1</v>
      </c>
      <c r="P547" s="483">
        <v>1</v>
      </c>
      <c r="Q547" s="291">
        <f t="shared" si="72"/>
        <v>0</v>
      </c>
      <c r="R547" s="291">
        <f t="shared" si="73"/>
        <v>0</v>
      </c>
      <c r="S547" s="300">
        <f t="shared" si="77"/>
        <v>0</v>
      </c>
      <c r="T547" s="300">
        <f t="shared" si="78"/>
        <v>0</v>
      </c>
      <c r="U547" s="769">
        <f t="shared" si="70"/>
        <v>0</v>
      </c>
      <c r="V547" s="302"/>
      <c r="W547" s="303">
        <f>(Q547+R547)*'1.0-Contractblad'!$L$37</f>
        <v>0</v>
      </c>
      <c r="X547" s="303">
        <f ca="1">VLOOKUP(E547,'1.1a-Jaarprijzen'!$B$32:$Q$51,16,FALSE)*K547</f>
        <v>0</v>
      </c>
      <c r="Z547" s="771">
        <f t="shared" si="74"/>
        <v>0</v>
      </c>
      <c r="AA547" s="491" t="str">
        <f t="shared" si="75"/>
        <v>nvt-0</v>
      </c>
    </row>
    <row r="548" spans="2:27" s="489" customFormat="1" ht="15" hidden="1">
      <c r="B548" s="329"/>
      <c r="C548" s="330"/>
      <c r="D548" s="294">
        <f>VLOOKUP(E548,'1.1a-Jaarprijzen'!$B$13:$G$29,6,FALSE)</f>
        <v>3</v>
      </c>
      <c r="E548" s="768" t="s">
        <v>950</v>
      </c>
      <c r="F548" s="294" t="s">
        <v>572</v>
      </c>
      <c r="G548" s="294" t="s">
        <v>654</v>
      </c>
      <c r="H548" s="709" t="s">
        <v>775</v>
      </c>
      <c r="I548" s="296" t="str">
        <f t="shared" si="51"/>
        <v>niet van toepassing</v>
      </c>
      <c r="J548" s="294" t="s">
        <v>657</v>
      </c>
      <c r="K548" s="297"/>
      <c r="L548" s="297">
        <v>8.5</v>
      </c>
      <c r="M548" s="298" t="s">
        <v>17</v>
      </c>
      <c r="N548" s="299">
        <f t="shared" si="71"/>
        <v>0</v>
      </c>
      <c r="O548" s="483">
        <v>1</v>
      </c>
      <c r="P548" s="483">
        <v>1</v>
      </c>
      <c r="Q548" s="291">
        <f t="shared" si="72"/>
        <v>0</v>
      </c>
      <c r="R548" s="291">
        <f t="shared" si="73"/>
        <v>0</v>
      </c>
      <c r="S548" s="300">
        <f t="shared" si="77"/>
        <v>0</v>
      </c>
      <c r="T548" s="300">
        <f t="shared" si="78"/>
        <v>0</v>
      </c>
      <c r="U548" s="769">
        <f t="shared" si="70"/>
        <v>0</v>
      </c>
      <c r="V548" s="302"/>
      <c r="W548" s="303">
        <f>(Q548+R548)*'1.0-Contractblad'!$L$37</f>
        <v>0</v>
      </c>
      <c r="X548" s="303">
        <f ca="1">VLOOKUP(E548,'1.1a-Jaarprijzen'!$B$32:$Q$51,16,FALSE)*K548</f>
        <v>0</v>
      </c>
      <c r="Z548" s="771">
        <f t="shared" si="74"/>
        <v>0</v>
      </c>
      <c r="AA548" s="491" t="str">
        <f t="shared" si="75"/>
        <v>nvt-0</v>
      </c>
    </row>
    <row r="549" spans="2:27" s="489" customFormat="1" ht="15" hidden="1">
      <c r="B549" s="329"/>
      <c r="C549" s="330"/>
      <c r="D549" s="294">
        <f>VLOOKUP(E549,'1.1a-Jaarprijzen'!$B$13:$G$29,6,FALSE)</f>
        <v>3</v>
      </c>
      <c r="E549" s="768" t="s">
        <v>950</v>
      </c>
      <c r="F549" s="294" t="s">
        <v>572</v>
      </c>
      <c r="G549" s="294" t="s">
        <v>551</v>
      </c>
      <c r="H549" s="709" t="s">
        <v>392</v>
      </c>
      <c r="I549" s="296" t="str">
        <f t="shared" si="51"/>
        <v>niet van toepassing</v>
      </c>
      <c r="J549" s="294" t="s">
        <v>657</v>
      </c>
      <c r="K549" s="297"/>
      <c r="L549" s="297">
        <v>1.1000000000000001</v>
      </c>
      <c r="M549" s="298" t="s">
        <v>17</v>
      </c>
      <c r="N549" s="299">
        <f t="shared" si="71"/>
        <v>0</v>
      </c>
      <c r="O549" s="483">
        <v>1</v>
      </c>
      <c r="P549" s="483">
        <v>1</v>
      </c>
      <c r="Q549" s="291">
        <f t="shared" si="72"/>
        <v>0</v>
      </c>
      <c r="R549" s="291">
        <f t="shared" si="73"/>
        <v>0</v>
      </c>
      <c r="S549" s="300">
        <f t="shared" si="77"/>
        <v>0</v>
      </c>
      <c r="T549" s="300">
        <f t="shared" si="78"/>
        <v>0</v>
      </c>
      <c r="U549" s="769">
        <f t="shared" ref="U549:U580" si="79">IF(M549="","",VLOOKUP(M549,Kengetal,14,FALSE))</f>
        <v>0</v>
      </c>
      <c r="V549" s="302"/>
      <c r="W549" s="303">
        <f>(Q549+R549)*'1.0-Contractblad'!$L$37</f>
        <v>0</v>
      </c>
      <c r="X549" s="303">
        <f ca="1">VLOOKUP(E549,'1.1a-Jaarprijzen'!$B$32:$Q$51,16,FALSE)*K549</f>
        <v>0</v>
      </c>
      <c r="Z549" s="771">
        <f t="shared" si="74"/>
        <v>0</v>
      </c>
      <c r="AA549" s="491" t="str">
        <f t="shared" si="75"/>
        <v>nvt-0</v>
      </c>
    </row>
    <row r="550" spans="2:27" s="489" customFormat="1" ht="15" hidden="1">
      <c r="B550" s="329"/>
      <c r="C550" s="330"/>
      <c r="D550" s="294">
        <f>VLOOKUP(E550,'1.1a-Jaarprijzen'!$B$13:$G$29,6,FALSE)</f>
        <v>3</v>
      </c>
      <c r="E550" s="768" t="s">
        <v>950</v>
      </c>
      <c r="F550" s="294" t="s">
        <v>572</v>
      </c>
      <c r="G550" s="294" t="s">
        <v>552</v>
      </c>
      <c r="H550" s="709" t="s">
        <v>392</v>
      </c>
      <c r="I550" s="296" t="str">
        <f t="shared" si="51"/>
        <v>niet van toepassing</v>
      </c>
      <c r="J550" s="294" t="s">
        <v>657</v>
      </c>
      <c r="K550" s="297"/>
      <c r="L550" s="297">
        <v>4</v>
      </c>
      <c r="M550" s="298" t="s">
        <v>17</v>
      </c>
      <c r="N550" s="299">
        <f t="shared" ref="N550:N580" si="80">VLOOKUP(M550,Kengetal,3,FALSE)</f>
        <v>0</v>
      </c>
      <c r="O550" s="483">
        <v>1</v>
      </c>
      <c r="P550" s="483">
        <v>1</v>
      </c>
      <c r="Q550" s="291">
        <f t="shared" ref="Q550:Q580" si="81">S550*K550*O550</f>
        <v>0</v>
      </c>
      <c r="R550" s="291">
        <f t="shared" ref="R550:R580" si="82">T550*K550*P550</f>
        <v>0</v>
      </c>
      <c r="S550" s="300">
        <f t="shared" si="77"/>
        <v>0</v>
      </c>
      <c r="T550" s="300">
        <f t="shared" si="78"/>
        <v>0</v>
      </c>
      <c r="U550" s="769">
        <f t="shared" si="79"/>
        <v>0</v>
      </c>
      <c r="V550" s="302"/>
      <c r="W550" s="303">
        <f>(Q550+R550)*'1.0-Contractblad'!$L$37</f>
        <v>0</v>
      </c>
      <c r="X550" s="303">
        <f ca="1">VLOOKUP(E550,'1.1a-Jaarprijzen'!$B$32:$Q$51,16,FALSE)*K550</f>
        <v>0</v>
      </c>
      <c r="Z550" s="771">
        <f t="shared" ref="Z550:Z580" si="83">K550*N550</f>
        <v>0</v>
      </c>
      <c r="AA550" s="491" t="str">
        <f t="shared" ref="AA550:AA580" si="84">CONCATENATE(M550,"-",N550)</f>
        <v>nvt-0</v>
      </c>
    </row>
    <row r="551" spans="2:27" s="489" customFormat="1" ht="15" hidden="1">
      <c r="B551" s="329"/>
      <c r="C551" s="330"/>
      <c r="D551" s="294">
        <f>VLOOKUP(E551,'1.1a-Jaarprijzen'!$B$13:$G$29,6,FALSE)</f>
        <v>3</v>
      </c>
      <c r="E551" s="768" t="s">
        <v>950</v>
      </c>
      <c r="F551" s="294" t="s">
        <v>572</v>
      </c>
      <c r="G551" s="294" t="s">
        <v>553</v>
      </c>
      <c r="H551" s="709" t="s">
        <v>1016</v>
      </c>
      <c r="I551" s="296" t="str">
        <f t="shared" si="51"/>
        <v>niet van toepassing</v>
      </c>
      <c r="J551" s="294" t="s">
        <v>657</v>
      </c>
      <c r="K551" s="297"/>
      <c r="L551" s="297">
        <v>0.5</v>
      </c>
      <c r="M551" s="298" t="s">
        <v>17</v>
      </c>
      <c r="N551" s="299">
        <f t="shared" si="80"/>
        <v>0</v>
      </c>
      <c r="O551" s="483">
        <v>1</v>
      </c>
      <c r="P551" s="483">
        <v>1</v>
      </c>
      <c r="Q551" s="291">
        <f t="shared" si="81"/>
        <v>0</v>
      </c>
      <c r="R551" s="291">
        <f t="shared" si="82"/>
        <v>0</v>
      </c>
      <c r="S551" s="300">
        <f t="shared" si="77"/>
        <v>0</v>
      </c>
      <c r="T551" s="300">
        <f t="shared" si="78"/>
        <v>0</v>
      </c>
      <c r="U551" s="769">
        <f t="shared" si="79"/>
        <v>0</v>
      </c>
      <c r="V551" s="302"/>
      <c r="W551" s="303">
        <f>(Q551+R551)*'1.0-Contractblad'!$L$37</f>
        <v>0</v>
      </c>
      <c r="X551" s="303">
        <f ca="1">VLOOKUP(E551,'1.1a-Jaarprijzen'!$B$32:$Q$51,16,FALSE)*K551</f>
        <v>0</v>
      </c>
      <c r="Z551" s="771">
        <f t="shared" si="83"/>
        <v>0</v>
      </c>
      <c r="AA551" s="491" t="str">
        <f t="shared" si="84"/>
        <v>nvt-0</v>
      </c>
    </row>
    <row r="552" spans="2:27" s="489" customFormat="1" ht="15" hidden="1">
      <c r="B552" s="329"/>
      <c r="C552" s="330"/>
      <c r="D552" s="294">
        <f>VLOOKUP(E552,'1.1a-Jaarprijzen'!$B$13:$G$29,6,FALSE)</f>
        <v>3</v>
      </c>
      <c r="E552" s="768" t="s">
        <v>950</v>
      </c>
      <c r="F552" s="294" t="s">
        <v>572</v>
      </c>
      <c r="G552" s="294" t="s">
        <v>554</v>
      </c>
      <c r="H552" s="709" t="s">
        <v>1016</v>
      </c>
      <c r="I552" s="296" t="str">
        <f t="shared" si="51"/>
        <v>niet van toepassing</v>
      </c>
      <c r="J552" s="294" t="s">
        <v>657</v>
      </c>
      <c r="K552" s="297"/>
      <c r="L552" s="297">
        <v>0.5</v>
      </c>
      <c r="M552" s="298" t="s">
        <v>17</v>
      </c>
      <c r="N552" s="299">
        <f t="shared" si="80"/>
        <v>0</v>
      </c>
      <c r="O552" s="483">
        <v>1</v>
      </c>
      <c r="P552" s="483">
        <v>1</v>
      </c>
      <c r="Q552" s="291">
        <f t="shared" si="81"/>
        <v>0</v>
      </c>
      <c r="R552" s="291">
        <f t="shared" si="82"/>
        <v>0</v>
      </c>
      <c r="S552" s="300">
        <f t="shared" si="77"/>
        <v>0</v>
      </c>
      <c r="T552" s="300">
        <f t="shared" si="78"/>
        <v>0</v>
      </c>
      <c r="U552" s="769">
        <f t="shared" si="79"/>
        <v>0</v>
      </c>
      <c r="V552" s="302"/>
      <c r="W552" s="303">
        <f>(Q552+R552)*'1.0-Contractblad'!$L$37</f>
        <v>0</v>
      </c>
      <c r="X552" s="303">
        <f ca="1">VLOOKUP(E552,'1.1a-Jaarprijzen'!$B$32:$Q$51,16,FALSE)*K552</f>
        <v>0</v>
      </c>
      <c r="Z552" s="771">
        <f t="shared" si="83"/>
        <v>0</v>
      </c>
      <c r="AA552" s="491" t="str">
        <f t="shared" si="84"/>
        <v>nvt-0</v>
      </c>
    </row>
    <row r="553" spans="2:27" s="489" customFormat="1" ht="15" hidden="1">
      <c r="B553" s="329"/>
      <c r="C553" s="330"/>
      <c r="D553" s="294">
        <f>VLOOKUP(E553,'1.1a-Jaarprijzen'!$B$13:$G$29,6,FALSE)</f>
        <v>3</v>
      </c>
      <c r="E553" s="768" t="s">
        <v>950</v>
      </c>
      <c r="F553" s="294" t="s">
        <v>572</v>
      </c>
      <c r="G553" s="294" t="s">
        <v>535</v>
      </c>
      <c r="H553" s="709" t="s">
        <v>1017</v>
      </c>
      <c r="I553" s="296" t="str">
        <f t="shared" si="51"/>
        <v>entree, gang, hal, repro</v>
      </c>
      <c r="J553" s="294" t="s">
        <v>657</v>
      </c>
      <c r="K553" s="297">
        <v>8.5</v>
      </c>
      <c r="L553" s="297"/>
      <c r="M553" s="298">
        <v>3200</v>
      </c>
      <c r="N553" s="299">
        <f t="shared" si="80"/>
        <v>200</v>
      </c>
      <c r="O553" s="483">
        <v>1</v>
      </c>
      <c r="P553" s="483">
        <v>1</v>
      </c>
      <c r="Q553" s="291">
        <f t="shared" si="81"/>
        <v>0</v>
      </c>
      <c r="R553" s="291">
        <f t="shared" si="82"/>
        <v>0</v>
      </c>
      <c r="S553" s="300">
        <f t="shared" si="77"/>
        <v>0</v>
      </c>
      <c r="T553" s="300">
        <f t="shared" si="78"/>
        <v>0</v>
      </c>
      <c r="U553" s="769" t="str">
        <f t="shared" si="79"/>
        <v>V</v>
      </c>
      <c r="V553" s="302"/>
      <c r="W553" s="303">
        <f>(Q553+R553)*'1.0-Contractblad'!$L$37</f>
        <v>0</v>
      </c>
      <c r="X553" s="303">
        <f ca="1">VLOOKUP(E553,'1.1a-Jaarprijzen'!$B$32:$Q$51,16,FALSE)*K553</f>
        <v>0</v>
      </c>
      <c r="Z553" s="771">
        <f t="shared" si="83"/>
        <v>1700</v>
      </c>
      <c r="AA553" s="491" t="str">
        <f t="shared" si="84"/>
        <v>3200-200</v>
      </c>
    </row>
    <row r="554" spans="2:27" s="489" customFormat="1" ht="15" hidden="1">
      <c r="B554" s="329"/>
      <c r="C554" s="330"/>
      <c r="D554" s="294">
        <f>VLOOKUP(E554,'1.1a-Jaarprijzen'!$B$13:$G$29,6,FALSE)</f>
        <v>3</v>
      </c>
      <c r="E554" s="768" t="s">
        <v>950</v>
      </c>
      <c r="F554" s="294" t="s">
        <v>572</v>
      </c>
      <c r="G554" s="294" t="s">
        <v>519</v>
      </c>
      <c r="H554" s="709" t="s">
        <v>477</v>
      </c>
      <c r="I554" s="296" t="str">
        <f t="shared" ref="I554:I580" si="85">IF($M554="",0,VLOOKUP($M554,Kengetal,4,FALSE))</f>
        <v>sanitaire ruimte (toilet-/doucheruimte)</v>
      </c>
      <c r="J554" s="294" t="s">
        <v>735</v>
      </c>
      <c r="K554" s="297">
        <v>7</v>
      </c>
      <c r="L554" s="297"/>
      <c r="M554" s="298">
        <v>4200</v>
      </c>
      <c r="N554" s="299">
        <f t="shared" si="80"/>
        <v>200</v>
      </c>
      <c r="O554" s="483">
        <v>1</v>
      </c>
      <c r="P554" s="483">
        <v>1</v>
      </c>
      <c r="Q554" s="291">
        <f t="shared" si="81"/>
        <v>0</v>
      </c>
      <c r="R554" s="291">
        <f t="shared" si="82"/>
        <v>0</v>
      </c>
      <c r="S554" s="300">
        <f t="shared" si="77"/>
        <v>0</v>
      </c>
      <c r="T554" s="300">
        <f t="shared" si="78"/>
        <v>0</v>
      </c>
      <c r="U554" s="769" t="str">
        <f t="shared" si="79"/>
        <v>S</v>
      </c>
      <c r="V554" s="302"/>
      <c r="W554" s="303">
        <f>(Q554+R554)*'1.0-Contractblad'!$L$37</f>
        <v>0</v>
      </c>
      <c r="X554" s="303">
        <f ca="1">VLOOKUP(E554,'1.1a-Jaarprijzen'!$B$32:$Q$51,16,FALSE)*K554</f>
        <v>0</v>
      </c>
      <c r="Z554" s="771">
        <f t="shared" si="83"/>
        <v>1400</v>
      </c>
      <c r="AA554" s="491" t="str">
        <f t="shared" si="84"/>
        <v>4200-200</v>
      </c>
    </row>
    <row r="555" spans="2:27" s="489" customFormat="1" ht="15" hidden="1">
      <c r="B555" s="329"/>
      <c r="C555" s="330"/>
      <c r="D555" s="294">
        <f>VLOOKUP(E555,'1.1a-Jaarprijzen'!$B$13:$G$29,6,FALSE)</f>
        <v>3</v>
      </c>
      <c r="E555" s="768" t="s">
        <v>950</v>
      </c>
      <c r="F555" s="294" t="s">
        <v>572</v>
      </c>
      <c r="G555" s="294" t="s">
        <v>521</v>
      </c>
      <c r="H555" s="709" t="s">
        <v>477</v>
      </c>
      <c r="I555" s="296" t="str">
        <f t="shared" si="85"/>
        <v>sanitaire ruimte (toilet-/doucheruimte)</v>
      </c>
      <c r="J555" s="294" t="s">
        <v>735</v>
      </c>
      <c r="K555" s="297">
        <v>3</v>
      </c>
      <c r="L555" s="297"/>
      <c r="M555" s="298">
        <v>4200</v>
      </c>
      <c r="N555" s="299">
        <f t="shared" si="80"/>
        <v>200</v>
      </c>
      <c r="O555" s="483">
        <v>1</v>
      </c>
      <c r="P555" s="483">
        <v>1</v>
      </c>
      <c r="Q555" s="291">
        <f t="shared" si="81"/>
        <v>0</v>
      </c>
      <c r="R555" s="291">
        <f t="shared" si="82"/>
        <v>0</v>
      </c>
      <c r="S555" s="300">
        <f t="shared" si="77"/>
        <v>0</v>
      </c>
      <c r="T555" s="300">
        <f t="shared" si="78"/>
        <v>0</v>
      </c>
      <c r="U555" s="769" t="str">
        <f t="shared" si="79"/>
        <v>S</v>
      </c>
      <c r="V555" s="302"/>
      <c r="W555" s="303">
        <f>(Q555+R555)*'1.0-Contractblad'!$L$37</f>
        <v>0</v>
      </c>
      <c r="X555" s="303">
        <f ca="1">VLOOKUP(E555,'1.1a-Jaarprijzen'!$B$32:$Q$51,16,FALSE)*K555</f>
        <v>0</v>
      </c>
      <c r="Z555" s="771">
        <f t="shared" si="83"/>
        <v>600</v>
      </c>
      <c r="AA555" s="491" t="str">
        <f t="shared" si="84"/>
        <v>4200-200</v>
      </c>
    </row>
    <row r="556" spans="2:27" s="489" customFormat="1" ht="15" hidden="1">
      <c r="B556" s="329"/>
      <c r="C556" s="330"/>
      <c r="D556" s="294">
        <f>VLOOKUP(E556,'1.1a-Jaarprijzen'!$B$13:$G$29,6,FALSE)</f>
        <v>3</v>
      </c>
      <c r="E556" s="768" t="s">
        <v>950</v>
      </c>
      <c r="F556" s="294" t="s">
        <v>572</v>
      </c>
      <c r="G556" s="294" t="s">
        <v>522</v>
      </c>
      <c r="H556" s="709" t="s">
        <v>477</v>
      </c>
      <c r="I556" s="296" t="str">
        <f t="shared" si="85"/>
        <v>sanitaire ruimte (toilet-/doucheruimte)</v>
      </c>
      <c r="J556" s="294" t="s">
        <v>735</v>
      </c>
      <c r="K556" s="297">
        <v>7</v>
      </c>
      <c r="L556" s="297"/>
      <c r="M556" s="298">
        <v>4200</v>
      </c>
      <c r="N556" s="299">
        <f t="shared" si="80"/>
        <v>200</v>
      </c>
      <c r="O556" s="483">
        <v>1</v>
      </c>
      <c r="P556" s="483">
        <v>1</v>
      </c>
      <c r="Q556" s="291">
        <f t="shared" si="81"/>
        <v>0</v>
      </c>
      <c r="R556" s="291">
        <f t="shared" si="82"/>
        <v>0</v>
      </c>
      <c r="S556" s="300">
        <f t="shared" si="77"/>
        <v>0</v>
      </c>
      <c r="T556" s="300">
        <f t="shared" si="78"/>
        <v>0</v>
      </c>
      <c r="U556" s="769" t="str">
        <f t="shared" si="79"/>
        <v>S</v>
      </c>
      <c r="V556" s="302"/>
      <c r="W556" s="303">
        <f>(Q556+R556)*'1.0-Contractblad'!$L$37</f>
        <v>0</v>
      </c>
      <c r="X556" s="303">
        <f ca="1">VLOOKUP(E556,'1.1a-Jaarprijzen'!$B$32:$Q$51,16,FALSE)*K556</f>
        <v>0</v>
      </c>
      <c r="Z556" s="771">
        <f t="shared" si="83"/>
        <v>1400</v>
      </c>
      <c r="AA556" s="491" t="str">
        <f t="shared" si="84"/>
        <v>4200-200</v>
      </c>
    </row>
    <row r="557" spans="2:27" s="489" customFormat="1" ht="15" hidden="1">
      <c r="B557" s="329"/>
      <c r="C557" s="330"/>
      <c r="D557" s="294">
        <f>VLOOKUP(E557,'1.1a-Jaarprijzen'!$B$13:$G$29,6,FALSE)</f>
        <v>3</v>
      </c>
      <c r="E557" s="768" t="s">
        <v>950</v>
      </c>
      <c r="F557" s="294" t="s">
        <v>572</v>
      </c>
      <c r="G557" s="294" t="s">
        <v>696</v>
      </c>
      <c r="H557" s="709" t="s">
        <v>1018</v>
      </c>
      <c r="I557" s="296" t="str">
        <f t="shared" si="85"/>
        <v>trappenhuis</v>
      </c>
      <c r="J557" s="294" t="s">
        <v>466</v>
      </c>
      <c r="K557" s="297">
        <v>8</v>
      </c>
      <c r="L557" s="297"/>
      <c r="M557" s="298">
        <v>9200</v>
      </c>
      <c r="N557" s="299">
        <f t="shared" si="80"/>
        <v>200</v>
      </c>
      <c r="O557" s="483">
        <v>1</v>
      </c>
      <c r="P557" s="483">
        <v>1</v>
      </c>
      <c r="Q557" s="291">
        <f t="shared" si="81"/>
        <v>0</v>
      </c>
      <c r="R557" s="291">
        <f t="shared" si="82"/>
        <v>0</v>
      </c>
      <c r="S557" s="300">
        <f t="shared" si="77"/>
        <v>0</v>
      </c>
      <c r="T557" s="300">
        <f t="shared" si="78"/>
        <v>0</v>
      </c>
      <c r="U557" s="769" t="str">
        <f t="shared" si="79"/>
        <v>V</v>
      </c>
      <c r="V557" s="302"/>
      <c r="W557" s="303">
        <f>(Q557+R557)*'1.0-Contractblad'!$L$37</f>
        <v>0</v>
      </c>
      <c r="X557" s="303">
        <f ca="1">VLOOKUP(E557,'1.1a-Jaarprijzen'!$B$32:$Q$51,16,FALSE)*K557</f>
        <v>0</v>
      </c>
      <c r="Z557" s="771">
        <f t="shared" si="83"/>
        <v>1600</v>
      </c>
      <c r="AA557" s="491" t="str">
        <f t="shared" si="84"/>
        <v>9200-200</v>
      </c>
    </row>
    <row r="558" spans="2:27" s="489" customFormat="1" ht="15" hidden="1">
      <c r="B558" s="329"/>
      <c r="C558" s="330"/>
      <c r="D558" s="294">
        <f>VLOOKUP(E558,'1.1a-Jaarprijzen'!$B$13:$G$29,6,FALSE)</f>
        <v>3</v>
      </c>
      <c r="E558" s="768" t="s">
        <v>950</v>
      </c>
      <c r="F558" s="294" t="s">
        <v>572</v>
      </c>
      <c r="G558" s="294" t="s">
        <v>697</v>
      </c>
      <c r="H558" s="709" t="s">
        <v>1019</v>
      </c>
      <c r="I558" s="296" t="str">
        <f t="shared" si="85"/>
        <v>trappenhuis</v>
      </c>
      <c r="J558" s="294" t="s">
        <v>466</v>
      </c>
      <c r="K558" s="297">
        <v>8</v>
      </c>
      <c r="L558" s="297"/>
      <c r="M558" s="298">
        <v>9260</v>
      </c>
      <c r="N558" s="299">
        <f t="shared" si="80"/>
        <v>260</v>
      </c>
      <c r="O558" s="483">
        <v>1</v>
      </c>
      <c r="P558" s="483">
        <v>1</v>
      </c>
      <c r="Q558" s="291">
        <f t="shared" si="81"/>
        <v>0</v>
      </c>
      <c r="R558" s="291">
        <f t="shared" si="82"/>
        <v>0</v>
      </c>
      <c r="S558" s="300">
        <f t="shared" si="77"/>
        <v>0</v>
      </c>
      <c r="T558" s="300">
        <f t="shared" si="78"/>
        <v>0</v>
      </c>
      <c r="U558" s="769" t="str">
        <f t="shared" si="79"/>
        <v>V</v>
      </c>
      <c r="V558" s="302"/>
      <c r="W558" s="303">
        <f>(Q558+R558)*'1.0-Contractblad'!$L$37</f>
        <v>0</v>
      </c>
      <c r="X558" s="303">
        <f ca="1">VLOOKUP(E558,'1.1a-Jaarprijzen'!$B$32:$Q$51,16,FALSE)*K558</f>
        <v>0</v>
      </c>
      <c r="Z558" s="771">
        <f t="shared" si="83"/>
        <v>2080</v>
      </c>
      <c r="AA558" s="491" t="str">
        <f t="shared" si="84"/>
        <v>9260-260</v>
      </c>
    </row>
    <row r="559" spans="2:27" s="489" customFormat="1" ht="15" hidden="1">
      <c r="B559" s="329"/>
      <c r="C559" s="330"/>
      <c r="D559" s="294">
        <f>VLOOKUP(E559,'1.1a-Jaarprijzen'!$B$13:$G$29,6,FALSE)</f>
        <v>3</v>
      </c>
      <c r="E559" s="768" t="s">
        <v>950</v>
      </c>
      <c r="F559" s="294" t="s">
        <v>261</v>
      </c>
      <c r="G559" s="294" t="s">
        <v>514</v>
      </c>
      <c r="H559" s="709" t="s">
        <v>388</v>
      </c>
      <c r="I559" s="296" t="str">
        <f t="shared" si="85"/>
        <v>entree, gang, hal, repro</v>
      </c>
      <c r="J559" s="294" t="s">
        <v>657</v>
      </c>
      <c r="K559" s="297">
        <v>32</v>
      </c>
      <c r="L559" s="297"/>
      <c r="M559" s="298">
        <v>3200</v>
      </c>
      <c r="N559" s="299">
        <f t="shared" si="80"/>
        <v>200</v>
      </c>
      <c r="O559" s="483">
        <v>1</v>
      </c>
      <c r="P559" s="483">
        <v>1</v>
      </c>
      <c r="Q559" s="291">
        <f t="shared" si="81"/>
        <v>0</v>
      </c>
      <c r="R559" s="291">
        <f t="shared" si="82"/>
        <v>0</v>
      </c>
      <c r="S559" s="300">
        <f t="shared" si="77"/>
        <v>0</v>
      </c>
      <c r="T559" s="300">
        <f t="shared" si="78"/>
        <v>0</v>
      </c>
      <c r="U559" s="769" t="str">
        <f t="shared" si="79"/>
        <v>V</v>
      </c>
      <c r="V559" s="302"/>
      <c r="W559" s="303">
        <f>(Q559+R559)*'1.0-Contractblad'!$L$37</f>
        <v>0</v>
      </c>
      <c r="X559" s="303">
        <f ca="1">VLOOKUP(E559,'1.1a-Jaarprijzen'!$B$32:$Q$51,16,FALSE)*K559</f>
        <v>0</v>
      </c>
      <c r="Z559" s="771">
        <f t="shared" si="83"/>
        <v>6400</v>
      </c>
      <c r="AA559" s="491" t="str">
        <f t="shared" si="84"/>
        <v>3200-200</v>
      </c>
    </row>
    <row r="560" spans="2:27" s="489" customFormat="1" ht="15" hidden="1">
      <c r="B560" s="329"/>
      <c r="C560" s="330"/>
      <c r="D560" s="294">
        <f>VLOOKUP(E560,'1.1a-Jaarprijzen'!$B$13:$G$29,6,FALSE)</f>
        <v>3</v>
      </c>
      <c r="E560" s="768" t="s">
        <v>950</v>
      </c>
      <c r="F560" s="294" t="s">
        <v>261</v>
      </c>
      <c r="G560" s="294" t="s">
        <v>515</v>
      </c>
      <c r="H560" s="709" t="s">
        <v>388</v>
      </c>
      <c r="I560" s="296" t="str">
        <f t="shared" si="85"/>
        <v>entree, gang, hal, repro</v>
      </c>
      <c r="J560" s="294" t="s">
        <v>657</v>
      </c>
      <c r="K560" s="297">
        <v>40</v>
      </c>
      <c r="L560" s="297"/>
      <c r="M560" s="298">
        <v>3260</v>
      </c>
      <c r="N560" s="299">
        <f t="shared" si="80"/>
        <v>260</v>
      </c>
      <c r="O560" s="483">
        <v>1</v>
      </c>
      <c r="P560" s="483">
        <v>1</v>
      </c>
      <c r="Q560" s="291">
        <f t="shared" si="81"/>
        <v>0</v>
      </c>
      <c r="R560" s="291">
        <f t="shared" si="82"/>
        <v>0</v>
      </c>
      <c r="S560" s="300">
        <f t="shared" si="77"/>
        <v>0</v>
      </c>
      <c r="T560" s="300">
        <f t="shared" si="78"/>
        <v>0</v>
      </c>
      <c r="U560" s="769" t="str">
        <f t="shared" si="79"/>
        <v>V</v>
      </c>
      <c r="V560" s="302"/>
      <c r="W560" s="303">
        <f>(Q560+R560)*'1.0-Contractblad'!$L$37</f>
        <v>0</v>
      </c>
      <c r="X560" s="303">
        <f ca="1">VLOOKUP(E560,'1.1a-Jaarprijzen'!$B$32:$Q$51,16,FALSE)*K560</f>
        <v>0</v>
      </c>
      <c r="Z560" s="771">
        <f t="shared" si="83"/>
        <v>10400</v>
      </c>
      <c r="AA560" s="491" t="str">
        <f t="shared" si="84"/>
        <v>3260-260</v>
      </c>
    </row>
    <row r="561" spans="2:27" s="489" customFormat="1" ht="15" hidden="1">
      <c r="B561" s="329"/>
      <c r="C561" s="330"/>
      <c r="D561" s="294">
        <f>VLOOKUP(E561,'1.1a-Jaarprijzen'!$B$13:$G$29,6,FALSE)</f>
        <v>3</v>
      </c>
      <c r="E561" s="768" t="s">
        <v>950</v>
      </c>
      <c r="F561" s="294" t="s">
        <v>261</v>
      </c>
      <c r="G561" s="294" t="s">
        <v>493</v>
      </c>
      <c r="H561" s="709" t="s">
        <v>646</v>
      </c>
      <c r="I561" s="296" t="str">
        <f t="shared" si="85"/>
        <v>leslokaal/leerplein groep 4 t/m 8</v>
      </c>
      <c r="J561" s="294" t="s">
        <v>657</v>
      </c>
      <c r="K561" s="297">
        <v>48</v>
      </c>
      <c r="L561" s="297"/>
      <c r="M561" s="298">
        <v>18200</v>
      </c>
      <c r="N561" s="299">
        <f t="shared" si="80"/>
        <v>200</v>
      </c>
      <c r="O561" s="483">
        <v>1</v>
      </c>
      <c r="P561" s="483">
        <v>1</v>
      </c>
      <c r="Q561" s="291">
        <f t="shared" si="81"/>
        <v>0</v>
      </c>
      <c r="R561" s="291">
        <f t="shared" si="82"/>
        <v>0</v>
      </c>
      <c r="S561" s="300">
        <f t="shared" si="77"/>
        <v>0</v>
      </c>
      <c r="T561" s="300">
        <f t="shared" si="78"/>
        <v>0</v>
      </c>
      <c r="U561" s="769" t="str">
        <f t="shared" si="79"/>
        <v>L</v>
      </c>
      <c r="V561" s="302"/>
      <c r="W561" s="303">
        <f>(Q561+R561)*'1.0-Contractblad'!$L$37</f>
        <v>0</v>
      </c>
      <c r="X561" s="303">
        <f ca="1">VLOOKUP(E561,'1.1a-Jaarprijzen'!$B$32:$Q$51,16,FALSE)*K561</f>
        <v>0</v>
      </c>
      <c r="Z561" s="771">
        <f t="shared" si="83"/>
        <v>9600</v>
      </c>
      <c r="AA561" s="491" t="str">
        <f t="shared" si="84"/>
        <v>18200-200</v>
      </c>
    </row>
    <row r="562" spans="2:27" s="489" customFormat="1" ht="15" hidden="1">
      <c r="B562" s="329"/>
      <c r="C562" s="330"/>
      <c r="D562" s="294">
        <f>VLOOKUP(E562,'1.1a-Jaarprijzen'!$B$13:$G$29,6,FALSE)</f>
        <v>3</v>
      </c>
      <c r="E562" s="768" t="s">
        <v>950</v>
      </c>
      <c r="F562" s="294" t="s">
        <v>261</v>
      </c>
      <c r="G562" s="294" t="s">
        <v>494</v>
      </c>
      <c r="H562" s="709" t="s">
        <v>646</v>
      </c>
      <c r="I562" s="296" t="str">
        <f t="shared" si="85"/>
        <v>leslokaal/leerplein groep 4 t/m 8</v>
      </c>
      <c r="J562" s="294" t="s">
        <v>657</v>
      </c>
      <c r="K562" s="297">
        <v>48</v>
      </c>
      <c r="L562" s="297"/>
      <c r="M562" s="298">
        <v>18200</v>
      </c>
      <c r="N562" s="299">
        <f t="shared" si="80"/>
        <v>200</v>
      </c>
      <c r="O562" s="483">
        <v>1</v>
      </c>
      <c r="P562" s="483">
        <v>1</v>
      </c>
      <c r="Q562" s="291">
        <f t="shared" si="81"/>
        <v>0</v>
      </c>
      <c r="R562" s="291">
        <f t="shared" si="82"/>
        <v>0</v>
      </c>
      <c r="S562" s="300">
        <f t="shared" si="77"/>
        <v>0</v>
      </c>
      <c r="T562" s="300">
        <f t="shared" si="78"/>
        <v>0</v>
      </c>
      <c r="U562" s="769" t="str">
        <f t="shared" si="79"/>
        <v>L</v>
      </c>
      <c r="V562" s="302"/>
      <c r="W562" s="303">
        <f>(Q562+R562)*'1.0-Contractblad'!$L$37</f>
        <v>0</v>
      </c>
      <c r="X562" s="303">
        <f ca="1">VLOOKUP(E562,'1.1a-Jaarprijzen'!$B$32:$Q$51,16,FALSE)*K562</f>
        <v>0</v>
      </c>
      <c r="Z562" s="771">
        <f t="shared" si="83"/>
        <v>9600</v>
      </c>
      <c r="AA562" s="491" t="str">
        <f t="shared" si="84"/>
        <v>18200-200</v>
      </c>
    </row>
    <row r="563" spans="2:27" s="489" customFormat="1" ht="15" hidden="1">
      <c r="B563" s="329"/>
      <c r="C563" s="330"/>
      <c r="D563" s="294">
        <f>VLOOKUP(E563,'1.1a-Jaarprijzen'!$B$13:$G$29,6,FALSE)</f>
        <v>3</v>
      </c>
      <c r="E563" s="768" t="s">
        <v>950</v>
      </c>
      <c r="F563" s="294" t="s">
        <v>261</v>
      </c>
      <c r="G563" s="294" t="s">
        <v>495</v>
      </c>
      <c r="H563" s="709" t="s">
        <v>646</v>
      </c>
      <c r="I563" s="296" t="str">
        <f t="shared" si="85"/>
        <v>speellokaal</v>
      </c>
      <c r="J563" s="294" t="s">
        <v>657</v>
      </c>
      <c r="K563" s="297">
        <v>48</v>
      </c>
      <c r="L563" s="297"/>
      <c r="M563" s="298">
        <v>8260</v>
      </c>
      <c r="N563" s="299">
        <f t="shared" si="80"/>
        <v>260</v>
      </c>
      <c r="O563" s="483">
        <v>1</v>
      </c>
      <c r="P563" s="483">
        <v>1</v>
      </c>
      <c r="Q563" s="291">
        <f t="shared" si="81"/>
        <v>0</v>
      </c>
      <c r="R563" s="291">
        <f t="shared" si="82"/>
        <v>0</v>
      </c>
      <c r="S563" s="300">
        <f t="shared" si="77"/>
        <v>0</v>
      </c>
      <c r="T563" s="300">
        <f t="shared" si="78"/>
        <v>0</v>
      </c>
      <c r="U563" s="769" t="str">
        <f t="shared" si="79"/>
        <v>L</v>
      </c>
      <c r="V563" s="302"/>
      <c r="W563" s="303">
        <f>(Q563+R563)*'1.0-Contractblad'!$L$37</f>
        <v>0</v>
      </c>
      <c r="X563" s="303">
        <f ca="1">VLOOKUP(E563,'1.1a-Jaarprijzen'!$B$32:$Q$51,16,FALSE)*K563</f>
        <v>0</v>
      </c>
      <c r="Z563" s="771">
        <f t="shared" si="83"/>
        <v>12480</v>
      </c>
      <c r="AA563" s="491" t="str">
        <f t="shared" si="84"/>
        <v>8260-260</v>
      </c>
    </row>
    <row r="564" spans="2:27" s="489" customFormat="1" ht="15" hidden="1">
      <c r="B564" s="329"/>
      <c r="C564" s="330"/>
      <c r="D564" s="294">
        <f>VLOOKUP(E564,'1.1a-Jaarprijzen'!$B$13:$G$29,6,FALSE)</f>
        <v>3</v>
      </c>
      <c r="E564" s="768" t="s">
        <v>950</v>
      </c>
      <c r="F564" s="294" t="s">
        <v>261</v>
      </c>
      <c r="G564" s="294" t="s">
        <v>496</v>
      </c>
      <c r="H564" s="709" t="s">
        <v>646</v>
      </c>
      <c r="I564" s="296" t="str">
        <f t="shared" si="85"/>
        <v>speellokaal</v>
      </c>
      <c r="J564" s="294" t="s">
        <v>657</v>
      </c>
      <c r="K564" s="297">
        <v>48</v>
      </c>
      <c r="L564" s="297"/>
      <c r="M564" s="298">
        <v>8260</v>
      </c>
      <c r="N564" s="299">
        <f t="shared" si="80"/>
        <v>260</v>
      </c>
      <c r="O564" s="483">
        <v>1</v>
      </c>
      <c r="P564" s="483">
        <v>1</v>
      </c>
      <c r="Q564" s="291">
        <f t="shared" si="81"/>
        <v>0</v>
      </c>
      <c r="R564" s="291">
        <f t="shared" si="82"/>
        <v>0</v>
      </c>
      <c r="S564" s="300">
        <f t="shared" si="77"/>
        <v>0</v>
      </c>
      <c r="T564" s="300">
        <f t="shared" si="78"/>
        <v>0</v>
      </c>
      <c r="U564" s="769" t="str">
        <f t="shared" si="79"/>
        <v>L</v>
      </c>
      <c r="V564" s="302"/>
      <c r="W564" s="303">
        <f>(Q564+R564)*'1.0-Contractblad'!$L$37</f>
        <v>0</v>
      </c>
      <c r="X564" s="303">
        <f ca="1">VLOOKUP(E564,'1.1a-Jaarprijzen'!$B$32:$Q$51,16,FALSE)*K564</f>
        <v>0</v>
      </c>
      <c r="Z564" s="771">
        <f t="shared" si="83"/>
        <v>12480</v>
      </c>
      <c r="AA564" s="491" t="str">
        <f t="shared" si="84"/>
        <v>8260-260</v>
      </c>
    </row>
    <row r="565" spans="2:27" s="489" customFormat="1" ht="15" hidden="1">
      <c r="B565" s="329"/>
      <c r="C565" s="330"/>
      <c r="D565" s="294">
        <f>VLOOKUP(E565,'1.1a-Jaarprijzen'!$B$13:$G$29,6,FALSE)</f>
        <v>3</v>
      </c>
      <c r="E565" s="768" t="s">
        <v>950</v>
      </c>
      <c r="F565" s="294" t="s">
        <v>261</v>
      </c>
      <c r="G565" s="294" t="s">
        <v>496</v>
      </c>
      <c r="H565" s="709" t="s">
        <v>403</v>
      </c>
      <c r="I565" s="296" t="str">
        <f t="shared" si="85"/>
        <v>niet van toepassing</v>
      </c>
      <c r="J565" s="294" t="s">
        <v>657</v>
      </c>
      <c r="K565" s="297"/>
      <c r="L565" s="297">
        <v>8.5</v>
      </c>
      <c r="M565" s="298" t="s">
        <v>17</v>
      </c>
      <c r="N565" s="299">
        <f t="shared" si="80"/>
        <v>0</v>
      </c>
      <c r="O565" s="483">
        <v>1</v>
      </c>
      <c r="P565" s="483">
        <v>1</v>
      </c>
      <c r="Q565" s="291">
        <f t="shared" si="81"/>
        <v>0</v>
      </c>
      <c r="R565" s="291">
        <f t="shared" si="82"/>
        <v>0</v>
      </c>
      <c r="S565" s="300">
        <f t="shared" si="77"/>
        <v>0</v>
      </c>
      <c r="T565" s="300">
        <f t="shared" si="78"/>
        <v>0</v>
      </c>
      <c r="U565" s="769">
        <f t="shared" si="79"/>
        <v>0</v>
      </c>
      <c r="V565" s="302"/>
      <c r="W565" s="303">
        <f>(Q565+R565)*'1.0-Contractblad'!$L$37</f>
        <v>0</v>
      </c>
      <c r="X565" s="303">
        <f ca="1">VLOOKUP(E565,'1.1a-Jaarprijzen'!$B$32:$Q$51,16,FALSE)*K565</f>
        <v>0</v>
      </c>
      <c r="Z565" s="771">
        <f t="shared" si="83"/>
        <v>0</v>
      </c>
      <c r="AA565" s="491" t="str">
        <f t="shared" si="84"/>
        <v>nvt-0</v>
      </c>
    </row>
    <row r="566" spans="2:27" s="489" customFormat="1" ht="15" hidden="1">
      <c r="B566" s="329"/>
      <c r="C566" s="330"/>
      <c r="D566" s="294">
        <f>VLOOKUP(E566,'1.1a-Jaarprijzen'!$B$13:$G$29,6,FALSE)</f>
        <v>3</v>
      </c>
      <c r="E566" s="768" t="s">
        <v>950</v>
      </c>
      <c r="F566" s="294" t="s">
        <v>261</v>
      </c>
      <c r="G566" s="294" t="s">
        <v>498</v>
      </c>
      <c r="H566" s="709" t="s">
        <v>1020</v>
      </c>
      <c r="I566" s="296" t="str">
        <f t="shared" si="85"/>
        <v>leslokaal/leerplein groep 4 t/m 8</v>
      </c>
      <c r="J566" s="294" t="s">
        <v>657</v>
      </c>
      <c r="K566" s="297">
        <v>8.5</v>
      </c>
      <c r="L566" s="297"/>
      <c r="M566" s="298">
        <v>18200</v>
      </c>
      <c r="N566" s="299">
        <f t="shared" si="80"/>
        <v>200</v>
      </c>
      <c r="O566" s="483">
        <v>1</v>
      </c>
      <c r="P566" s="483">
        <v>1</v>
      </c>
      <c r="Q566" s="291">
        <f t="shared" si="81"/>
        <v>0</v>
      </c>
      <c r="R566" s="291">
        <f t="shared" si="82"/>
        <v>0</v>
      </c>
      <c r="S566" s="300">
        <f t="shared" si="77"/>
        <v>0</v>
      </c>
      <c r="T566" s="300">
        <f t="shared" si="78"/>
        <v>0</v>
      </c>
      <c r="U566" s="769" t="str">
        <f t="shared" si="79"/>
        <v>L</v>
      </c>
      <c r="V566" s="302"/>
      <c r="W566" s="303">
        <f>(Q566+R566)*'1.0-Contractblad'!$L$37</f>
        <v>0</v>
      </c>
      <c r="X566" s="303">
        <f ca="1">VLOOKUP(E566,'1.1a-Jaarprijzen'!$B$32:$Q$51,16,FALSE)*K566</f>
        <v>0</v>
      </c>
      <c r="Z566" s="771">
        <f t="shared" si="83"/>
        <v>1700</v>
      </c>
      <c r="AA566" s="491" t="str">
        <f t="shared" si="84"/>
        <v>18200-200</v>
      </c>
    </row>
    <row r="567" spans="2:27" s="489" customFormat="1" ht="15" hidden="1">
      <c r="B567" s="329"/>
      <c r="C567" s="330"/>
      <c r="D567" s="294">
        <f>VLOOKUP(E567,'1.1a-Jaarprijzen'!$B$13:$G$29,6,FALSE)</f>
        <v>3</v>
      </c>
      <c r="E567" s="768" t="s">
        <v>950</v>
      </c>
      <c r="F567" s="294" t="s">
        <v>261</v>
      </c>
      <c r="G567" s="294" t="s">
        <v>547</v>
      </c>
      <c r="H567" s="709" t="s">
        <v>389</v>
      </c>
      <c r="I567" s="296" t="str">
        <f t="shared" si="85"/>
        <v>niet van toepassing</v>
      </c>
      <c r="J567" s="294" t="s">
        <v>657</v>
      </c>
      <c r="K567" s="297"/>
      <c r="L567" s="297">
        <v>3</v>
      </c>
      <c r="M567" s="298" t="s">
        <v>17</v>
      </c>
      <c r="N567" s="299">
        <f t="shared" si="80"/>
        <v>0</v>
      </c>
      <c r="O567" s="483">
        <v>1</v>
      </c>
      <c r="P567" s="483">
        <v>1</v>
      </c>
      <c r="Q567" s="291">
        <f t="shared" si="81"/>
        <v>0</v>
      </c>
      <c r="R567" s="291">
        <f t="shared" si="82"/>
        <v>0</v>
      </c>
      <c r="S567" s="300">
        <f t="shared" si="77"/>
        <v>0</v>
      </c>
      <c r="T567" s="300">
        <f t="shared" si="78"/>
        <v>0</v>
      </c>
      <c r="U567" s="769">
        <f t="shared" si="79"/>
        <v>0</v>
      </c>
      <c r="V567" s="302"/>
      <c r="W567" s="303">
        <f>(Q567+R567)*'1.0-Contractblad'!$L$37</f>
        <v>0</v>
      </c>
      <c r="X567" s="303">
        <f ca="1">VLOOKUP(E567,'1.1a-Jaarprijzen'!$B$32:$Q$51,16,FALSE)*K567</f>
        <v>0</v>
      </c>
      <c r="Z567" s="771">
        <f t="shared" si="83"/>
        <v>0</v>
      </c>
      <c r="AA567" s="491" t="str">
        <f t="shared" si="84"/>
        <v>nvt-0</v>
      </c>
    </row>
    <row r="568" spans="2:27" s="489" customFormat="1" ht="15" hidden="1">
      <c r="B568" s="329"/>
      <c r="C568" s="330"/>
      <c r="D568" s="294">
        <f>VLOOKUP(E568,'1.1a-Jaarprijzen'!$B$13:$G$29,6,FALSE)</f>
        <v>3</v>
      </c>
      <c r="E568" s="768" t="s">
        <v>950</v>
      </c>
      <c r="F568" s="294" t="s">
        <v>261</v>
      </c>
      <c r="G568" s="294" t="s">
        <v>523</v>
      </c>
      <c r="H568" s="709" t="s">
        <v>477</v>
      </c>
      <c r="I568" s="296" t="str">
        <f t="shared" si="85"/>
        <v>sanitaire ruimte (toilet-/doucheruimte)</v>
      </c>
      <c r="J568" s="294" t="s">
        <v>735</v>
      </c>
      <c r="K568" s="297">
        <v>7</v>
      </c>
      <c r="L568" s="297"/>
      <c r="M568" s="298">
        <v>4260</v>
      </c>
      <c r="N568" s="299">
        <f t="shared" si="80"/>
        <v>260</v>
      </c>
      <c r="O568" s="483">
        <v>1</v>
      </c>
      <c r="P568" s="483">
        <v>1</v>
      </c>
      <c r="Q568" s="291">
        <f t="shared" si="81"/>
        <v>0</v>
      </c>
      <c r="R568" s="291">
        <f t="shared" si="82"/>
        <v>0</v>
      </c>
      <c r="S568" s="300">
        <f t="shared" si="77"/>
        <v>0</v>
      </c>
      <c r="T568" s="300">
        <f t="shared" si="78"/>
        <v>0</v>
      </c>
      <c r="U568" s="769" t="str">
        <f t="shared" si="79"/>
        <v>S</v>
      </c>
      <c r="V568" s="302"/>
      <c r="W568" s="303">
        <f>(Q568+R568)*'1.0-Contractblad'!$L$37</f>
        <v>0</v>
      </c>
      <c r="X568" s="303">
        <f ca="1">VLOOKUP(E568,'1.1a-Jaarprijzen'!$B$32:$Q$51,16,FALSE)*K568</f>
        <v>0</v>
      </c>
      <c r="Z568" s="771">
        <f t="shared" si="83"/>
        <v>1820</v>
      </c>
      <c r="AA568" s="491" t="str">
        <f t="shared" si="84"/>
        <v>4260-260</v>
      </c>
    </row>
    <row r="569" spans="2:27" s="489" customFormat="1" ht="15" hidden="1">
      <c r="B569" s="329"/>
      <c r="C569" s="330"/>
      <c r="D569" s="294">
        <f>VLOOKUP(E569,'1.1a-Jaarprijzen'!$B$13:$G$29,6,FALSE)</f>
        <v>3</v>
      </c>
      <c r="E569" s="768" t="s">
        <v>950</v>
      </c>
      <c r="F569" s="294" t="s">
        <v>261</v>
      </c>
      <c r="G569" s="294" t="s">
        <v>524</v>
      </c>
      <c r="H569" s="709" t="s">
        <v>477</v>
      </c>
      <c r="I569" s="296" t="str">
        <f t="shared" si="85"/>
        <v>sanitaire ruimte (toilet-/doucheruimte)</v>
      </c>
      <c r="J569" s="294" t="s">
        <v>735</v>
      </c>
      <c r="K569" s="297">
        <v>3</v>
      </c>
      <c r="L569" s="297"/>
      <c r="M569" s="298">
        <v>4260</v>
      </c>
      <c r="N569" s="299">
        <f t="shared" si="80"/>
        <v>260</v>
      </c>
      <c r="O569" s="483">
        <v>1</v>
      </c>
      <c r="P569" s="483">
        <v>1</v>
      </c>
      <c r="Q569" s="291">
        <f t="shared" si="81"/>
        <v>0</v>
      </c>
      <c r="R569" s="291">
        <f t="shared" si="82"/>
        <v>0</v>
      </c>
      <c r="S569" s="300">
        <f t="shared" si="77"/>
        <v>0</v>
      </c>
      <c r="T569" s="300">
        <f t="shared" si="78"/>
        <v>0</v>
      </c>
      <c r="U569" s="769" t="str">
        <f t="shared" si="79"/>
        <v>S</v>
      </c>
      <c r="V569" s="302"/>
      <c r="W569" s="303">
        <f>(Q569+R569)*'1.0-Contractblad'!$L$37</f>
        <v>0</v>
      </c>
      <c r="X569" s="303">
        <f ca="1">VLOOKUP(E569,'1.1a-Jaarprijzen'!$B$32:$Q$51,16,FALSE)*K569</f>
        <v>0</v>
      </c>
      <c r="Z569" s="771">
        <f t="shared" si="83"/>
        <v>780</v>
      </c>
      <c r="AA569" s="491" t="str">
        <f t="shared" si="84"/>
        <v>4260-260</v>
      </c>
    </row>
    <row r="570" spans="2:27" s="489" customFormat="1" ht="15" hidden="1">
      <c r="B570" s="329"/>
      <c r="C570" s="330"/>
      <c r="D570" s="294">
        <f>VLOOKUP(E570,'1.1a-Jaarprijzen'!$B$13:$G$29,6,FALSE)</f>
        <v>3</v>
      </c>
      <c r="E570" s="768" t="s">
        <v>950</v>
      </c>
      <c r="F570" s="294" t="s">
        <v>261</v>
      </c>
      <c r="G570" s="294" t="s">
        <v>526</v>
      </c>
      <c r="H570" s="709" t="s">
        <v>477</v>
      </c>
      <c r="I570" s="296" t="str">
        <f t="shared" si="85"/>
        <v>sanitaire ruimte (toilet-/doucheruimte)</v>
      </c>
      <c r="J570" s="294" t="s">
        <v>735</v>
      </c>
      <c r="K570" s="297">
        <v>7</v>
      </c>
      <c r="L570" s="297"/>
      <c r="M570" s="298">
        <v>4260</v>
      </c>
      <c r="N570" s="299">
        <f t="shared" si="80"/>
        <v>260</v>
      </c>
      <c r="O570" s="483">
        <v>1</v>
      </c>
      <c r="P570" s="483">
        <v>1</v>
      </c>
      <c r="Q570" s="291">
        <f t="shared" si="81"/>
        <v>0</v>
      </c>
      <c r="R570" s="291">
        <f t="shared" si="82"/>
        <v>0</v>
      </c>
      <c r="S570" s="300">
        <f t="shared" si="77"/>
        <v>0</v>
      </c>
      <c r="T570" s="300">
        <f t="shared" si="78"/>
        <v>0</v>
      </c>
      <c r="U570" s="769" t="str">
        <f t="shared" si="79"/>
        <v>S</v>
      </c>
      <c r="V570" s="302"/>
      <c r="W570" s="303">
        <f>(Q570+R570)*'1.0-Contractblad'!$L$37</f>
        <v>0</v>
      </c>
      <c r="X570" s="303">
        <f ca="1">VLOOKUP(E570,'1.1a-Jaarprijzen'!$B$32:$Q$51,16,FALSE)*K570</f>
        <v>0</v>
      </c>
      <c r="Z570" s="771">
        <f t="shared" si="83"/>
        <v>1820</v>
      </c>
      <c r="AA570" s="491" t="str">
        <f t="shared" si="84"/>
        <v>4260-260</v>
      </c>
    </row>
    <row r="571" spans="2:27" s="489" customFormat="1" ht="15" hidden="1">
      <c r="B571" s="329"/>
      <c r="C571" s="330"/>
      <c r="D571" s="294">
        <f>VLOOKUP(E571,'1.1a-Jaarprijzen'!$B$13:$G$29,6,FALSE)</f>
        <v>3</v>
      </c>
      <c r="E571" s="768" t="s">
        <v>950</v>
      </c>
      <c r="F571" s="294" t="s">
        <v>261</v>
      </c>
      <c r="G571" s="294" t="s">
        <v>555</v>
      </c>
      <c r="H571" s="709" t="s">
        <v>1016</v>
      </c>
      <c r="I571" s="296" t="str">
        <f t="shared" si="85"/>
        <v>niet van toepassing</v>
      </c>
      <c r="J571" s="294" t="s">
        <v>657</v>
      </c>
      <c r="K571" s="297"/>
      <c r="L571" s="297">
        <v>8.5</v>
      </c>
      <c r="M571" s="298" t="s">
        <v>17</v>
      </c>
      <c r="N571" s="299">
        <f t="shared" si="80"/>
        <v>0</v>
      </c>
      <c r="O571" s="483">
        <v>1</v>
      </c>
      <c r="P571" s="483">
        <v>1</v>
      </c>
      <c r="Q571" s="291">
        <f t="shared" si="81"/>
        <v>0</v>
      </c>
      <c r="R571" s="291">
        <f t="shared" si="82"/>
        <v>0</v>
      </c>
      <c r="S571" s="300">
        <f t="shared" si="77"/>
        <v>0</v>
      </c>
      <c r="T571" s="300">
        <f t="shared" si="78"/>
        <v>0</v>
      </c>
      <c r="U571" s="769">
        <f t="shared" si="79"/>
        <v>0</v>
      </c>
      <c r="V571" s="302"/>
      <c r="W571" s="303">
        <f>(Q571+R571)*'1.0-Contractblad'!$L$37</f>
        <v>0</v>
      </c>
      <c r="X571" s="303">
        <f ca="1">VLOOKUP(E571,'1.1a-Jaarprijzen'!$B$32:$Q$51,16,FALSE)*K571</f>
        <v>0</v>
      </c>
      <c r="Z571" s="771">
        <f t="shared" si="83"/>
        <v>0</v>
      </c>
      <c r="AA571" s="491" t="str">
        <f t="shared" si="84"/>
        <v>nvt-0</v>
      </c>
    </row>
    <row r="572" spans="2:27" s="489" customFormat="1" ht="15" hidden="1">
      <c r="B572" s="329"/>
      <c r="C572" s="330"/>
      <c r="D572" s="294">
        <f>VLOOKUP(E572,'1.1a-Jaarprijzen'!$B$13:$G$29,6,FALSE)</f>
        <v>3</v>
      </c>
      <c r="E572" s="768" t="s">
        <v>950</v>
      </c>
      <c r="F572" s="294" t="s">
        <v>261</v>
      </c>
      <c r="G572" s="294" t="s">
        <v>557</v>
      </c>
      <c r="H572" s="709" t="s">
        <v>1016</v>
      </c>
      <c r="I572" s="296" t="str">
        <f t="shared" si="85"/>
        <v>niet van toepassing</v>
      </c>
      <c r="J572" s="294" t="s">
        <v>657</v>
      </c>
      <c r="K572" s="297"/>
      <c r="L572" s="297">
        <v>4</v>
      </c>
      <c r="M572" s="298" t="s">
        <v>17</v>
      </c>
      <c r="N572" s="299">
        <f t="shared" si="80"/>
        <v>0</v>
      </c>
      <c r="O572" s="483">
        <v>1</v>
      </c>
      <c r="P572" s="483">
        <v>1</v>
      </c>
      <c r="Q572" s="291">
        <f t="shared" si="81"/>
        <v>0</v>
      </c>
      <c r="R572" s="291">
        <f t="shared" si="82"/>
        <v>0</v>
      </c>
      <c r="S572" s="300">
        <f t="shared" si="77"/>
        <v>0</v>
      </c>
      <c r="T572" s="300">
        <f t="shared" si="78"/>
        <v>0</v>
      </c>
      <c r="U572" s="769">
        <f t="shared" si="79"/>
        <v>0</v>
      </c>
      <c r="V572" s="302"/>
      <c r="W572" s="303">
        <f>(Q572+R572)*'1.0-Contractblad'!$L$37</f>
        <v>0</v>
      </c>
      <c r="X572" s="303">
        <f ca="1">VLOOKUP(E572,'1.1a-Jaarprijzen'!$B$32:$Q$51,16,FALSE)*K572</f>
        <v>0</v>
      </c>
      <c r="Z572" s="771">
        <f t="shared" si="83"/>
        <v>0</v>
      </c>
      <c r="AA572" s="491" t="str">
        <f t="shared" si="84"/>
        <v>nvt-0</v>
      </c>
    </row>
    <row r="573" spans="2:27" s="489" customFormat="1" ht="15" hidden="1">
      <c r="B573" s="329"/>
      <c r="C573" s="330"/>
      <c r="D573" s="294">
        <f>VLOOKUP(E573,'1.1a-Jaarprijzen'!$B$13:$G$29,6,FALSE)</f>
        <v>3</v>
      </c>
      <c r="E573" s="293" t="s">
        <v>955</v>
      </c>
      <c r="F573" s="294" t="s">
        <v>632</v>
      </c>
      <c r="G573" s="294">
        <v>1</v>
      </c>
      <c r="H573" s="709" t="s">
        <v>956</v>
      </c>
      <c r="I573" s="296" t="str">
        <f t="shared" si="85"/>
        <v>administratieve -,  vergaderruimte</v>
      </c>
      <c r="J573" s="294" t="s">
        <v>462</v>
      </c>
      <c r="K573" s="297">
        <v>259</v>
      </c>
      <c r="L573" s="297"/>
      <c r="M573" s="298">
        <v>1260</v>
      </c>
      <c r="N573" s="299">
        <f t="shared" si="80"/>
        <v>260</v>
      </c>
      <c r="O573" s="483">
        <v>1</v>
      </c>
      <c r="P573" s="483">
        <v>1</v>
      </c>
      <c r="Q573" s="291">
        <f t="shared" si="81"/>
        <v>0</v>
      </c>
      <c r="R573" s="291">
        <f t="shared" si="82"/>
        <v>0</v>
      </c>
      <c r="S573" s="300">
        <f t="shared" si="77"/>
        <v>0</v>
      </c>
      <c r="T573" s="300">
        <f t="shared" si="78"/>
        <v>0</v>
      </c>
      <c r="U573" s="769" t="str">
        <f t="shared" si="79"/>
        <v>V</v>
      </c>
      <c r="V573" s="302"/>
      <c r="W573" s="303">
        <f>(Q573+R573)*'1.0-Contractblad'!$L$37</f>
        <v>0</v>
      </c>
      <c r="X573" s="303">
        <f ca="1">VLOOKUP(E573,'1.1a-Jaarprijzen'!$B$32:$Q$51,16,FALSE)*K573</f>
        <v>0</v>
      </c>
      <c r="Z573" s="771">
        <f t="shared" si="83"/>
        <v>67340</v>
      </c>
      <c r="AA573" s="491" t="str">
        <f t="shared" si="84"/>
        <v>1260-260</v>
      </c>
    </row>
    <row r="574" spans="2:27" s="489" customFormat="1" ht="15" hidden="1">
      <c r="B574" s="329"/>
      <c r="C574" s="330"/>
      <c r="D574" s="294">
        <f>VLOOKUP(E574,'1.1a-Jaarprijzen'!$B$13:$G$29,6,FALSE)</f>
        <v>3</v>
      </c>
      <c r="E574" s="293" t="s">
        <v>955</v>
      </c>
      <c r="F574" s="294" t="s">
        <v>632</v>
      </c>
      <c r="G574" s="294">
        <v>2</v>
      </c>
      <c r="H574" s="709" t="s">
        <v>396</v>
      </c>
      <c r="I574" s="296" t="str">
        <f t="shared" si="85"/>
        <v>pantry/keuken</v>
      </c>
      <c r="J574" s="294" t="s">
        <v>476</v>
      </c>
      <c r="K574" s="297">
        <v>7.2</v>
      </c>
      <c r="L574" s="297"/>
      <c r="M574" s="298">
        <v>5260</v>
      </c>
      <c r="N574" s="299">
        <f t="shared" si="80"/>
        <v>260</v>
      </c>
      <c r="O574" s="483">
        <v>1</v>
      </c>
      <c r="P574" s="483">
        <v>1</v>
      </c>
      <c r="Q574" s="291">
        <f t="shared" si="81"/>
        <v>0</v>
      </c>
      <c r="R574" s="291">
        <f t="shared" si="82"/>
        <v>0</v>
      </c>
      <c r="S574" s="300">
        <f t="shared" si="77"/>
        <v>0</v>
      </c>
      <c r="T574" s="300">
        <f t="shared" si="78"/>
        <v>0</v>
      </c>
      <c r="U574" s="769" t="str">
        <f t="shared" si="79"/>
        <v>V</v>
      </c>
      <c r="V574" s="302"/>
      <c r="W574" s="303">
        <f>(Q574+R574)*'1.0-Contractblad'!$L$37</f>
        <v>0</v>
      </c>
      <c r="X574" s="303">
        <f ca="1">VLOOKUP(E574,'1.1a-Jaarprijzen'!$B$32:$Q$51,16,FALSE)*K574</f>
        <v>0</v>
      </c>
      <c r="Z574" s="771">
        <f t="shared" si="83"/>
        <v>1872</v>
      </c>
      <c r="AA574" s="491" t="str">
        <f t="shared" si="84"/>
        <v>5260-260</v>
      </c>
    </row>
    <row r="575" spans="2:27" s="489" customFormat="1" ht="15" hidden="1">
      <c r="B575" s="329"/>
      <c r="C575" s="330"/>
      <c r="D575" s="294">
        <f>VLOOKUP(E575,'1.1a-Jaarprijzen'!$B$13:$G$29,6,FALSE)</f>
        <v>3</v>
      </c>
      <c r="E575" s="293" t="s">
        <v>955</v>
      </c>
      <c r="F575" s="294" t="s">
        <v>632</v>
      </c>
      <c r="G575" s="294">
        <v>3</v>
      </c>
      <c r="H575" s="709" t="s">
        <v>477</v>
      </c>
      <c r="I575" s="296" t="str">
        <f t="shared" si="85"/>
        <v>sanitaire ruimte (toilet-/doucheruimte)</v>
      </c>
      <c r="J575" s="294" t="s">
        <v>476</v>
      </c>
      <c r="K575" s="297">
        <v>6.7200000000000006</v>
      </c>
      <c r="L575" s="297"/>
      <c r="M575" s="298">
        <v>4260</v>
      </c>
      <c r="N575" s="299">
        <f t="shared" si="80"/>
        <v>260</v>
      </c>
      <c r="O575" s="483">
        <v>1</v>
      </c>
      <c r="P575" s="483">
        <v>1</v>
      </c>
      <c r="Q575" s="291">
        <f t="shared" si="81"/>
        <v>0</v>
      </c>
      <c r="R575" s="291">
        <f t="shared" si="82"/>
        <v>0</v>
      </c>
      <c r="S575" s="300">
        <f t="shared" si="77"/>
        <v>0</v>
      </c>
      <c r="T575" s="300">
        <f t="shared" si="78"/>
        <v>0</v>
      </c>
      <c r="U575" s="769" t="str">
        <f t="shared" si="79"/>
        <v>S</v>
      </c>
      <c r="V575" s="302"/>
      <c r="W575" s="303">
        <f>(Q575+R575)*'1.0-Contractblad'!$L$37</f>
        <v>0</v>
      </c>
      <c r="X575" s="303">
        <f ca="1">VLOOKUP(E575,'1.1a-Jaarprijzen'!$B$32:$Q$51,16,FALSE)*K575</f>
        <v>0</v>
      </c>
      <c r="Z575" s="771">
        <f t="shared" si="83"/>
        <v>1747.2000000000003</v>
      </c>
      <c r="AA575" s="491" t="str">
        <f t="shared" si="84"/>
        <v>4260-260</v>
      </c>
    </row>
    <row r="576" spans="2:27" s="489" customFormat="1" ht="15" hidden="1">
      <c r="B576" s="329"/>
      <c r="C576" s="330"/>
      <c r="D576" s="294">
        <f>VLOOKUP(E576,'1.1a-Jaarprijzen'!$B$13:$G$29,6,FALSE)</f>
        <v>3</v>
      </c>
      <c r="E576" s="293" t="s">
        <v>955</v>
      </c>
      <c r="F576" s="294" t="s">
        <v>957</v>
      </c>
      <c r="G576" s="294">
        <v>4</v>
      </c>
      <c r="H576" s="709" t="s">
        <v>956</v>
      </c>
      <c r="I576" s="296" t="str">
        <f t="shared" si="85"/>
        <v>administratieve -,  vergaderruimte</v>
      </c>
      <c r="J576" s="294" t="s">
        <v>462</v>
      </c>
      <c r="K576" s="297">
        <v>259</v>
      </c>
      <c r="L576" s="297"/>
      <c r="M576" s="298">
        <v>1260</v>
      </c>
      <c r="N576" s="299">
        <f t="shared" si="80"/>
        <v>260</v>
      </c>
      <c r="O576" s="483">
        <v>1</v>
      </c>
      <c r="P576" s="483">
        <v>1</v>
      </c>
      <c r="Q576" s="291">
        <f t="shared" si="81"/>
        <v>0</v>
      </c>
      <c r="R576" s="291">
        <f t="shared" si="82"/>
        <v>0</v>
      </c>
      <c r="S576" s="300">
        <f t="shared" si="77"/>
        <v>0</v>
      </c>
      <c r="T576" s="300">
        <f t="shared" si="78"/>
        <v>0</v>
      </c>
      <c r="U576" s="769" t="str">
        <f t="shared" si="79"/>
        <v>V</v>
      </c>
      <c r="V576" s="302"/>
      <c r="W576" s="303">
        <f>(Q576+R576)*'1.0-Contractblad'!$L$37</f>
        <v>0</v>
      </c>
      <c r="X576" s="303">
        <f ca="1">VLOOKUP(E576,'1.1a-Jaarprijzen'!$B$32:$Q$51,16,FALSE)*K576</f>
        <v>0</v>
      </c>
      <c r="Z576" s="771">
        <f t="shared" si="83"/>
        <v>67340</v>
      </c>
      <c r="AA576" s="491" t="str">
        <f t="shared" si="84"/>
        <v>1260-260</v>
      </c>
    </row>
    <row r="577" spans="2:27" s="489" customFormat="1" ht="15" hidden="1">
      <c r="B577" s="329"/>
      <c r="C577" s="330"/>
      <c r="D577" s="294">
        <f>VLOOKUP(E577,'1.1a-Jaarprijzen'!$B$13:$G$29,6,FALSE)</f>
        <v>3</v>
      </c>
      <c r="E577" s="293" t="s">
        <v>955</v>
      </c>
      <c r="F577" s="294" t="s">
        <v>957</v>
      </c>
      <c r="G577" s="294">
        <v>5</v>
      </c>
      <c r="H577" s="709" t="s">
        <v>396</v>
      </c>
      <c r="I577" s="296" t="str">
        <f t="shared" si="85"/>
        <v>pantry/keuken</v>
      </c>
      <c r="J577" s="294" t="s">
        <v>476</v>
      </c>
      <c r="K577" s="297">
        <v>14.4</v>
      </c>
      <c r="L577" s="297"/>
      <c r="M577" s="298">
        <v>5260</v>
      </c>
      <c r="N577" s="299">
        <f t="shared" si="80"/>
        <v>260</v>
      </c>
      <c r="O577" s="483">
        <v>1</v>
      </c>
      <c r="P577" s="483">
        <v>1</v>
      </c>
      <c r="Q577" s="291">
        <f t="shared" si="81"/>
        <v>0</v>
      </c>
      <c r="R577" s="291">
        <f t="shared" si="82"/>
        <v>0</v>
      </c>
      <c r="S577" s="300">
        <f t="shared" si="77"/>
        <v>0</v>
      </c>
      <c r="T577" s="300">
        <f t="shared" si="78"/>
        <v>0</v>
      </c>
      <c r="U577" s="769" t="str">
        <f t="shared" si="79"/>
        <v>V</v>
      </c>
      <c r="V577" s="302"/>
      <c r="W577" s="303">
        <f>(Q577+R577)*'1.0-Contractblad'!$L$37</f>
        <v>0</v>
      </c>
      <c r="X577" s="303">
        <f ca="1">VLOOKUP(E577,'1.1a-Jaarprijzen'!$B$32:$Q$51,16,FALSE)*K577</f>
        <v>0</v>
      </c>
      <c r="Z577" s="771">
        <f t="shared" si="83"/>
        <v>3744</v>
      </c>
      <c r="AA577" s="491" t="str">
        <f t="shared" si="84"/>
        <v>5260-260</v>
      </c>
    </row>
    <row r="578" spans="2:27" s="489" customFormat="1" ht="15" hidden="1">
      <c r="B578" s="329"/>
      <c r="C578" s="330"/>
      <c r="D578" s="294">
        <f>VLOOKUP(E578,'1.1a-Jaarprijzen'!$B$13:$G$29,6,FALSE)</f>
        <v>3</v>
      </c>
      <c r="E578" s="293" t="s">
        <v>955</v>
      </c>
      <c r="F578" s="294" t="s">
        <v>957</v>
      </c>
      <c r="G578" s="294">
        <v>6</v>
      </c>
      <c r="H578" s="709" t="s">
        <v>477</v>
      </c>
      <c r="I578" s="296" t="str">
        <f t="shared" si="85"/>
        <v>sanitaire ruimte (toilet-/doucheruimte)</v>
      </c>
      <c r="J578" s="294" t="s">
        <v>476</v>
      </c>
      <c r="K578" s="297">
        <v>6.7200000000000006</v>
      </c>
      <c r="L578" s="297"/>
      <c r="M578" s="298">
        <v>4260</v>
      </c>
      <c r="N578" s="299">
        <f t="shared" si="80"/>
        <v>260</v>
      </c>
      <c r="O578" s="483">
        <v>1</v>
      </c>
      <c r="P578" s="483">
        <v>1</v>
      </c>
      <c r="Q578" s="291">
        <f t="shared" si="81"/>
        <v>0</v>
      </c>
      <c r="R578" s="291">
        <f t="shared" si="82"/>
        <v>0</v>
      </c>
      <c r="S578" s="300">
        <f t="shared" si="77"/>
        <v>0</v>
      </c>
      <c r="T578" s="300">
        <f t="shared" si="78"/>
        <v>0</v>
      </c>
      <c r="U578" s="769" t="str">
        <f t="shared" si="79"/>
        <v>S</v>
      </c>
      <c r="V578" s="302"/>
      <c r="W578" s="303">
        <f>(Q578+R578)*'1.0-Contractblad'!$L$37</f>
        <v>0</v>
      </c>
      <c r="X578" s="303">
        <f ca="1">VLOOKUP(E578,'1.1a-Jaarprijzen'!$B$32:$Q$51,16,FALSE)*K578</f>
        <v>0</v>
      </c>
      <c r="Z578" s="771">
        <f t="shared" si="83"/>
        <v>1747.2000000000003</v>
      </c>
      <c r="AA578" s="491" t="str">
        <f t="shared" si="84"/>
        <v>4260-260</v>
      </c>
    </row>
    <row r="579" spans="2:27" s="489" customFormat="1" ht="15" hidden="1">
      <c r="B579" s="329"/>
      <c r="C579" s="330"/>
      <c r="D579" s="294">
        <f>VLOOKUP(E579,'1.1a-Jaarprijzen'!$B$13:$G$29,6,FALSE)</f>
        <v>3</v>
      </c>
      <c r="E579" s="293" t="s">
        <v>955</v>
      </c>
      <c r="F579" s="294" t="s">
        <v>957</v>
      </c>
      <c r="G579" s="294">
        <v>7</v>
      </c>
      <c r="H579" s="709" t="s">
        <v>477</v>
      </c>
      <c r="I579" s="296" t="str">
        <f t="shared" si="85"/>
        <v>sanitaire ruimte (toilet-/doucheruimte)</v>
      </c>
      <c r="J579" s="294" t="s">
        <v>476</v>
      </c>
      <c r="K579" s="297">
        <v>6.7200000000000006</v>
      </c>
      <c r="L579" s="297"/>
      <c r="M579" s="298">
        <v>4260</v>
      </c>
      <c r="N579" s="299">
        <f t="shared" si="80"/>
        <v>260</v>
      </c>
      <c r="O579" s="483">
        <v>1</v>
      </c>
      <c r="P579" s="483">
        <v>1</v>
      </c>
      <c r="Q579" s="291">
        <f t="shared" si="81"/>
        <v>0</v>
      </c>
      <c r="R579" s="291">
        <f t="shared" si="82"/>
        <v>0</v>
      </c>
      <c r="S579" s="300">
        <f t="shared" si="77"/>
        <v>0</v>
      </c>
      <c r="T579" s="300">
        <f t="shared" si="78"/>
        <v>0</v>
      </c>
      <c r="U579" s="769" t="str">
        <f t="shared" si="79"/>
        <v>S</v>
      </c>
      <c r="V579" s="302"/>
      <c r="W579" s="303">
        <f>(Q579+R579)*'1.0-Contractblad'!$L$37</f>
        <v>0</v>
      </c>
      <c r="X579" s="303">
        <f ca="1">VLOOKUP(E579,'1.1a-Jaarprijzen'!$B$32:$Q$51,16,FALSE)*K579</f>
        <v>0</v>
      </c>
      <c r="Z579" s="771">
        <f t="shared" si="83"/>
        <v>1747.2000000000003</v>
      </c>
      <c r="AA579" s="491" t="str">
        <f t="shared" si="84"/>
        <v>4260-260</v>
      </c>
    </row>
    <row r="580" spans="2:27" s="489" customFormat="1" ht="15" hidden="1">
      <c r="B580" s="329"/>
      <c r="C580" s="330"/>
      <c r="D580" s="294">
        <f>VLOOKUP(E580,'1.1a-Jaarprijzen'!$B$13:$G$29,6,FALSE)</f>
        <v>3</v>
      </c>
      <c r="E580" s="293" t="s">
        <v>955</v>
      </c>
      <c r="F580" s="294" t="s">
        <v>957</v>
      </c>
      <c r="G580" s="294">
        <v>8</v>
      </c>
      <c r="H580" s="709" t="s">
        <v>956</v>
      </c>
      <c r="I580" s="296" t="str">
        <f t="shared" si="85"/>
        <v>administratieve -,  vergaderruimte</v>
      </c>
      <c r="J580" s="294" t="s">
        <v>462</v>
      </c>
      <c r="K580" s="297">
        <v>286</v>
      </c>
      <c r="L580" s="297"/>
      <c r="M580" s="298">
        <v>1260</v>
      </c>
      <c r="N580" s="299">
        <f t="shared" si="80"/>
        <v>260</v>
      </c>
      <c r="O580" s="483">
        <v>1</v>
      </c>
      <c r="P580" s="483">
        <v>1</v>
      </c>
      <c r="Q580" s="291">
        <f t="shared" si="81"/>
        <v>0</v>
      </c>
      <c r="R580" s="291">
        <f t="shared" si="82"/>
        <v>0</v>
      </c>
      <c r="S580" s="300">
        <f t="shared" si="77"/>
        <v>0</v>
      </c>
      <c r="T580" s="300">
        <f t="shared" si="78"/>
        <v>0</v>
      </c>
      <c r="U580" s="769" t="str">
        <f t="shared" si="79"/>
        <v>V</v>
      </c>
      <c r="V580" s="302"/>
      <c r="W580" s="303">
        <f>(Q580+R580)*'1.0-Contractblad'!$L$37</f>
        <v>0</v>
      </c>
      <c r="X580" s="303">
        <f ca="1">VLOOKUP(E580,'1.1a-Jaarprijzen'!$B$32:$Q$51,16,FALSE)*K580</f>
        <v>0</v>
      </c>
      <c r="Z580" s="771">
        <f t="shared" si="83"/>
        <v>74360</v>
      </c>
      <c r="AA580" s="491" t="str">
        <f t="shared" si="84"/>
        <v>1260-260</v>
      </c>
    </row>
  </sheetData>
  <autoFilter ref="B12:X580" xr:uid="{00000000-0001-0000-0500-000000000000}">
    <filterColumn colId="11">
      <filters>
        <filter val="Periodiek"/>
      </filters>
    </filterColumn>
    <sortState xmlns:xlrd2="http://schemas.microsoft.com/office/spreadsheetml/2017/richdata2" ref="B15:X580">
      <sortCondition sortBy="cellColor" ref="H12:H580" dxfId="180"/>
    </sortState>
  </autoFilter>
  <mergeCells count="1">
    <mergeCell ref="G10:H10"/>
  </mergeCells>
  <phoneticPr fontId="10" type="noConversion"/>
  <conditionalFormatting sqref="B136:B170">
    <cfRule type="notContainsBlanks" dxfId="150" priority="11">
      <formula>LEN(TRIM(B136))&gt;0</formula>
    </cfRule>
  </conditionalFormatting>
  <conditionalFormatting sqref="B401:B435">
    <cfRule type="notContainsBlanks" dxfId="149" priority="27">
      <formula>LEN(TRIM(B401))&gt;0</formula>
    </cfRule>
  </conditionalFormatting>
  <conditionalFormatting sqref="B14:C580">
    <cfRule type="notContainsBlanks" dxfId="148" priority="15">
      <formula>LEN(TRIM(B14))&gt;0</formula>
    </cfRule>
  </conditionalFormatting>
  <conditionalFormatting sqref="C62">
    <cfRule type="notContainsBlanks" dxfId="147" priority="9">
      <formula>LEN(TRIM(C62))&gt;0</formula>
    </cfRule>
  </conditionalFormatting>
  <conditionalFormatting sqref="C90">
    <cfRule type="notContainsBlanks" dxfId="146" priority="12">
      <formula>LEN(TRIM(C90))&gt;0</formula>
    </cfRule>
  </conditionalFormatting>
  <conditionalFormatting sqref="C223">
    <cfRule type="notContainsBlanks" dxfId="145" priority="10">
      <formula>LEN(TRIM(C223))&gt;0</formula>
    </cfRule>
  </conditionalFormatting>
  <conditionalFormatting sqref="C327">
    <cfRule type="notContainsBlanks" dxfId="144" priority="13">
      <formula>LEN(TRIM(C327))&gt;0</formula>
    </cfRule>
  </conditionalFormatting>
  <conditionalFormatting sqref="C355">
    <cfRule type="notContainsBlanks" dxfId="143" priority="28">
      <formula>LEN(TRIM(C355))&gt;0</formula>
    </cfRule>
  </conditionalFormatting>
  <conditionalFormatting sqref="C488">
    <cfRule type="notContainsBlanks" dxfId="142" priority="26">
      <formula>LEN(TRIM(C488))&gt;0</formula>
    </cfRule>
  </conditionalFormatting>
  <conditionalFormatting sqref="O14:P580">
    <cfRule type="cellIs" dxfId="141" priority="40" operator="lessThan">
      <formula>1</formula>
    </cfRule>
    <cfRule type="cellIs" dxfId="140" priority="41" operator="greaterThan">
      <formula>1</formula>
    </cfRule>
  </conditionalFormatting>
  <conditionalFormatting sqref="Q9:R9 Q14:T580 W14:X580">
    <cfRule type="cellIs" dxfId="139" priority="496" operator="greaterThan">
      <formula>0</formula>
    </cfRule>
  </conditionalFormatting>
  <dataValidations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00000000-0002-0000-0500-000000000000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6" max="1048575" man="1"/>
  </colBreaks>
  <picture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baseColWidth="10" defaultColWidth="10.796875" defaultRowHeight="13"/>
  <cols>
    <col min="1" max="2" width="10.796875" style="1"/>
    <col min="3" max="4" width="11.19921875" style="1" customWidth="1"/>
    <col min="5" max="5" width="8.19921875" style="1" customWidth="1"/>
    <col min="6" max="6" width="16.796875" style="1" customWidth="1"/>
    <col min="7" max="7" width="12.19921875" style="1" customWidth="1"/>
    <col min="8" max="8" width="13" style="18" bestFit="1" customWidth="1"/>
    <col min="9" max="9" width="14" style="1" bestFit="1" customWidth="1"/>
    <col min="10" max="10" width="15.19921875" style="1" bestFit="1" customWidth="1"/>
    <col min="11" max="16384" width="10.796875" style="1"/>
  </cols>
  <sheetData>
    <row r="7" spans="3:10" ht="48" customHeight="1">
      <c r="C7" s="9" t="s">
        <v>138</v>
      </c>
      <c r="D7" s="9" t="s">
        <v>139</v>
      </c>
      <c r="E7" s="9" t="s">
        <v>125</v>
      </c>
      <c r="F7" s="9" t="s">
        <v>108</v>
      </c>
      <c r="G7" s="9" t="s">
        <v>154</v>
      </c>
      <c r="H7" s="9" t="s">
        <v>155</v>
      </c>
      <c r="I7" s="9" t="s">
        <v>156</v>
      </c>
      <c r="J7" s="16" t="s">
        <v>157</v>
      </c>
    </row>
    <row r="8" spans="3:10" s="2" customFormat="1" ht="24" customHeight="1">
      <c r="C8" s="10"/>
      <c r="D8" s="11"/>
      <c r="E8" s="12"/>
      <c r="F8" s="7"/>
      <c r="G8" s="13"/>
      <c r="H8" s="17">
        <f>D8-G8</f>
        <v>0</v>
      </c>
      <c r="I8" s="14"/>
      <c r="J8" s="15"/>
    </row>
    <row r="9" spans="3:10" s="2" customFormat="1" ht="24" customHeight="1">
      <c r="C9" s="10"/>
      <c r="D9" s="11"/>
      <c r="E9" s="12"/>
      <c r="F9" s="7"/>
      <c r="G9" s="13"/>
      <c r="H9" s="17">
        <f>G9-D9</f>
        <v>0</v>
      </c>
      <c r="I9" s="14"/>
      <c r="J9" s="15"/>
    </row>
    <row r="10" spans="3:10" s="2" customFormat="1" ht="24" customHeight="1">
      <c r="C10" s="10"/>
      <c r="D10" s="11"/>
      <c r="E10" s="12"/>
      <c r="F10" s="7"/>
      <c r="G10" s="13"/>
      <c r="H10" s="17">
        <f>G10-D10</f>
        <v>0</v>
      </c>
      <c r="I10" s="14"/>
      <c r="J10" s="15"/>
    </row>
    <row r="16" spans="3:10">
      <c r="J16" s="19"/>
    </row>
    <row r="17" spans="10:10">
      <c r="J17" s="19"/>
    </row>
  </sheetData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FABA-8550-994A-A4A4-105AE10EB4EF}">
  <dimension ref="A1:AE37"/>
  <sheetViews>
    <sheetView showGridLines="0" showRowColHeaders="0" showZeros="0" showOutlineSymbols="0" topLeftCell="A4" zoomScaleNormal="100" zoomScaleSheetLayoutView="65" zoomScalePageLayoutView="90" workbookViewId="0">
      <pane ySplit="10" topLeftCell="A14" activePane="bottomLeft" state="frozen"/>
      <selection activeCell="S9" sqref="S9"/>
      <selection pane="bottomLeft"/>
    </sheetView>
  </sheetViews>
  <sheetFormatPr baseColWidth="10" defaultColWidth="8.796875" defaultRowHeight="16" customHeight="1"/>
  <cols>
    <col min="1" max="1" width="8.59765625" style="236" customWidth="1"/>
    <col min="2" max="2" width="20.59765625" style="266" customWidth="1"/>
    <col min="3" max="3" width="13" style="304" customWidth="1"/>
    <col min="4" max="4" width="9.3984375" style="266" customWidth="1"/>
    <col min="5" max="5" width="37.19921875" style="305" customWidth="1"/>
    <col min="6" max="6" width="13.3984375" style="266" bestFit="1" customWidth="1"/>
    <col min="7" max="7" width="8.19921875" style="306" customWidth="1"/>
    <col min="8" max="8" width="23.3984375" style="236" bestFit="1" customWidth="1"/>
    <col min="9" max="9" width="44.19921875" style="285" bestFit="1" customWidth="1"/>
    <col min="10" max="10" width="16" style="266" customWidth="1"/>
    <col min="11" max="12" width="10.796875" style="287" customWidth="1"/>
    <col min="13" max="13" width="21.796875" style="288" bestFit="1" customWidth="1"/>
    <col min="14" max="14" width="21.796875" style="266" bestFit="1" customWidth="1"/>
    <col min="15" max="15" width="16.59765625" style="266" bestFit="1" customWidth="1"/>
    <col min="16" max="17" width="11" style="288" customWidth="1"/>
    <col min="18" max="18" width="12" style="289" customWidth="1"/>
    <col min="19" max="19" width="18.19921875" style="289" bestFit="1" customWidth="1"/>
    <col min="20" max="20" width="18.19921875" style="236" bestFit="1" customWidth="1"/>
    <col min="21" max="22" width="18.59765625" style="266" bestFit="1" customWidth="1"/>
    <col min="23" max="23" width="18.59765625" style="236" bestFit="1" customWidth="1"/>
    <col min="24" max="24" width="13.59765625" style="236" bestFit="1" customWidth="1"/>
    <col min="25" max="25" width="27.3984375" style="307" bestFit="1" customWidth="1"/>
    <col min="26" max="26" width="17" style="266" customWidth="1"/>
    <col min="27" max="27" width="20.3984375" style="266" customWidth="1"/>
    <col min="28" max="28" width="15.59765625" style="236" customWidth="1"/>
    <col min="29" max="29" width="9.796875" style="236" hidden="1" customWidth="1"/>
    <col min="30" max="30" width="11.59765625" style="236" hidden="1" customWidth="1"/>
    <col min="31" max="31" width="22.796875" style="236" hidden="1" customWidth="1"/>
    <col min="32" max="32" width="12" style="236" customWidth="1"/>
    <col min="33" max="33" width="20" style="236" customWidth="1"/>
    <col min="34" max="16384" width="8.796875" style="236"/>
  </cols>
  <sheetData>
    <row r="1" spans="1:31" s="3" customFormat="1" ht="9" customHeight="1" thickBot="1">
      <c r="A1" s="6"/>
      <c r="B1" s="30"/>
      <c r="C1" s="30"/>
      <c r="D1" s="530"/>
      <c r="E1" s="30"/>
      <c r="F1" s="30"/>
      <c r="G1" s="30"/>
      <c r="H1" s="30"/>
      <c r="I1" s="30"/>
      <c r="J1" s="524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99"/>
      <c r="X1" s="99"/>
      <c r="Y1" s="99"/>
      <c r="Z1" s="99"/>
      <c r="AA1" s="99"/>
    </row>
    <row r="2" spans="1:31" s="3" customFormat="1" ht="8" customHeight="1">
      <c r="A2" s="6"/>
      <c r="B2" s="102"/>
      <c r="C2" s="102"/>
      <c r="D2" s="531"/>
      <c r="E2" s="102"/>
      <c r="F2" s="102"/>
      <c r="G2" s="102"/>
      <c r="H2" s="102"/>
      <c r="I2" s="102"/>
      <c r="J2" s="525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99"/>
      <c r="X2" s="99"/>
      <c r="Y2" s="99"/>
      <c r="Z2" s="99"/>
      <c r="AA2" s="99"/>
    </row>
    <row r="3" spans="1:31" s="186" customFormat="1" ht="15">
      <c r="C3" s="187"/>
      <c r="D3" s="187"/>
      <c r="E3" s="187"/>
      <c r="F3" s="188"/>
      <c r="G3" s="189"/>
      <c r="H3" s="190"/>
      <c r="I3" s="527"/>
      <c r="J3" s="191"/>
      <c r="K3" s="192"/>
      <c r="L3" s="193"/>
      <c r="M3" s="189"/>
      <c r="N3" s="194"/>
    </row>
    <row r="4" spans="1:31" ht="18" customHeight="1">
      <c r="A4" s="266"/>
      <c r="C4" s="267"/>
      <c r="E4" s="279" t="str">
        <f>'1.2-Kengetal'!C4</f>
        <v>Omschrijving blad</v>
      </c>
      <c r="F4" s="280"/>
      <c r="G4" s="332" t="s">
        <v>341</v>
      </c>
      <c r="H4" s="281"/>
      <c r="I4" s="528"/>
      <c r="J4" s="270"/>
      <c r="K4" s="273"/>
      <c r="L4" s="273"/>
      <c r="M4" s="274"/>
      <c r="N4" s="270"/>
      <c r="O4" s="273"/>
      <c r="P4" s="273"/>
      <c r="Q4" s="273"/>
      <c r="R4" s="275"/>
      <c r="S4" s="276"/>
      <c r="T4" s="277"/>
      <c r="U4" s="278"/>
      <c r="V4" s="278"/>
      <c r="W4" s="277"/>
      <c r="X4" s="282"/>
      <c r="Y4" s="283"/>
      <c r="Z4" s="270"/>
    </row>
    <row r="5" spans="1:31" ht="18" customHeight="1">
      <c r="A5" s="266"/>
      <c r="C5" s="267"/>
      <c r="E5" s="196" t="s">
        <v>85</v>
      </c>
      <c r="G5" s="331" t="str">
        <f>Voorblad!$E$16</f>
        <v>Stichting Opspoor</v>
      </c>
      <c r="H5" s="281"/>
      <c r="I5" s="529"/>
      <c r="J5" s="270"/>
      <c r="K5" s="273"/>
      <c r="L5" s="273"/>
      <c r="M5" s="274"/>
      <c r="N5" s="270"/>
      <c r="O5" s="270"/>
      <c r="P5" s="274"/>
      <c r="Q5" s="274"/>
      <c r="R5" s="275"/>
      <c r="S5" s="276"/>
      <c r="T5" s="277"/>
      <c r="U5" s="278"/>
      <c r="V5" s="278"/>
      <c r="W5" s="284"/>
      <c r="X5" s="282"/>
      <c r="Y5" s="283"/>
      <c r="Z5" s="270"/>
    </row>
    <row r="6" spans="1:31" ht="18" customHeight="1">
      <c r="A6" s="266"/>
      <c r="C6" s="267"/>
      <c r="E6" s="196" t="s">
        <v>33</v>
      </c>
      <c r="G6" s="331" t="str">
        <f>'1.0-Contractblad'!$E$7</f>
        <v>Purmerend e.o.</v>
      </c>
      <c r="H6" s="281"/>
      <c r="J6" s="506" t="s">
        <v>161</v>
      </c>
      <c r="K6" s="286"/>
      <c r="M6" s="274"/>
      <c r="N6" s="270"/>
      <c r="O6" s="270"/>
      <c r="S6" s="276"/>
      <c r="T6" s="277"/>
      <c r="U6" s="278"/>
      <c r="V6" s="278"/>
      <c r="W6" s="277"/>
      <c r="X6" s="282"/>
      <c r="Y6" s="283"/>
      <c r="Z6" s="270"/>
    </row>
    <row r="7" spans="1:31" ht="18" customHeight="1" thickBot="1">
      <c r="A7" s="266"/>
      <c r="C7" s="267"/>
      <c r="E7" s="196" t="s">
        <v>114</v>
      </c>
      <c r="G7" s="206" t="str">
        <f>Voorblad!$E$24</f>
        <v>1501-102-2026</v>
      </c>
      <c r="H7" s="281"/>
      <c r="J7" s="526"/>
      <c r="K7" s="544" t="s">
        <v>342</v>
      </c>
      <c r="L7" s="273"/>
      <c r="M7" s="274"/>
      <c r="N7" s="270"/>
      <c r="O7" s="270"/>
      <c r="S7" s="276"/>
      <c r="T7" s="277"/>
      <c r="U7" s="278"/>
      <c r="V7" s="278"/>
      <c r="W7" s="277"/>
      <c r="X7" s="282"/>
      <c r="Y7" s="283"/>
      <c r="Z7" s="270"/>
    </row>
    <row r="8" spans="1:31" ht="18" customHeight="1">
      <c r="A8" s="266"/>
      <c r="C8" s="267"/>
      <c r="E8" s="196" t="s">
        <v>145</v>
      </c>
      <c r="G8" s="211" t="str">
        <f ca="1">Voorblad!$E$26</f>
        <v>Calculatiemodule Opspoor Perceel 3 V1.1 | 01-jan-27 Wijziging bijgehouden</v>
      </c>
      <c r="H8" s="281"/>
      <c r="J8" s="285"/>
      <c r="K8" s="285"/>
      <c r="L8" s="285"/>
      <c r="M8" s="285"/>
      <c r="N8" s="285"/>
      <c r="O8" s="270"/>
      <c r="S8" s="276"/>
      <c r="T8" s="277"/>
      <c r="U8" s="278"/>
      <c r="V8" s="278"/>
      <c r="W8" s="277"/>
      <c r="X8" s="282"/>
      <c r="Y8" s="283"/>
      <c r="Z8" s="270"/>
    </row>
    <row r="9" spans="1:31" ht="18" customHeight="1">
      <c r="A9" s="266"/>
      <c r="C9" s="267"/>
      <c r="E9" s="196" t="s">
        <v>83</v>
      </c>
      <c r="G9" s="333" t="str">
        <f>Voorblad!$E$19</f>
        <v>Naam organisatie</v>
      </c>
      <c r="H9" s="290"/>
      <c r="J9" s="285"/>
      <c r="K9" s="285"/>
      <c r="L9" s="285"/>
      <c r="M9" s="285"/>
      <c r="N9" s="285"/>
      <c r="O9" s="270"/>
      <c r="R9" s="291"/>
      <c r="S9" s="291"/>
      <c r="T9" s="291"/>
      <c r="U9" s="278"/>
      <c r="V9" s="278"/>
      <c r="W9" s="277"/>
      <c r="X9" s="282"/>
      <c r="Y9" s="283"/>
      <c r="Z9" s="270"/>
    </row>
    <row r="10" spans="1:31" ht="18" customHeight="1">
      <c r="A10" s="266"/>
      <c r="C10" s="267"/>
      <c r="E10" s="196" t="s">
        <v>6</v>
      </c>
      <c r="G10" s="823">
        <f>Voorblad!$E$22</f>
        <v>46388</v>
      </c>
      <c r="H10" s="823"/>
      <c r="I10" s="292"/>
      <c r="J10" s="292"/>
      <c r="K10" s="292"/>
      <c r="L10" s="292"/>
      <c r="M10" s="292"/>
      <c r="N10" s="292"/>
      <c r="O10" s="270"/>
      <c r="S10" s="276"/>
      <c r="T10" s="277"/>
      <c r="U10" s="278"/>
      <c r="V10" s="278"/>
      <c r="W10" s="277"/>
      <c r="Y10" s="283"/>
      <c r="Z10" s="270"/>
    </row>
    <row r="11" spans="1:31" ht="15">
      <c r="A11" s="266"/>
      <c r="C11" s="267"/>
      <c r="E11" s="268"/>
      <c r="F11" s="269"/>
      <c r="G11" s="270"/>
      <c r="H11" s="271"/>
      <c r="I11" s="272"/>
      <c r="J11" s="270"/>
      <c r="K11" s="273"/>
      <c r="L11" s="273"/>
      <c r="M11" s="274"/>
      <c r="N11" s="270"/>
      <c r="O11" s="270"/>
      <c r="S11" s="276"/>
      <c r="T11" s="277"/>
      <c r="U11" s="278"/>
      <c r="V11" s="278"/>
      <c r="W11" s="277"/>
      <c r="X11" s="271"/>
      <c r="Y11" s="283"/>
      <c r="Z11" s="270"/>
    </row>
    <row r="12" spans="1:31" s="317" customFormat="1" ht="53" customHeight="1">
      <c r="A12" s="308"/>
      <c r="B12" s="174" t="s">
        <v>327</v>
      </c>
      <c r="C12" s="309" t="s">
        <v>328</v>
      </c>
      <c r="D12" s="173" t="s">
        <v>245</v>
      </c>
      <c r="E12" s="172" t="s">
        <v>270</v>
      </c>
      <c r="F12" s="173" t="s">
        <v>25</v>
      </c>
      <c r="G12" s="310" t="s">
        <v>296</v>
      </c>
      <c r="H12" s="172" t="s">
        <v>118</v>
      </c>
      <c r="I12" s="311" t="s">
        <v>53</v>
      </c>
      <c r="J12" s="174" t="s">
        <v>96</v>
      </c>
      <c r="K12" s="247" t="s">
        <v>78</v>
      </c>
      <c r="L12" s="247" t="s">
        <v>50</v>
      </c>
      <c r="M12" s="312" t="s">
        <v>237</v>
      </c>
      <c r="N12" s="312" t="s">
        <v>238</v>
      </c>
      <c r="O12" s="313" t="s">
        <v>24</v>
      </c>
      <c r="P12" s="312" t="s">
        <v>244</v>
      </c>
      <c r="Q12" s="312" t="s">
        <v>214</v>
      </c>
      <c r="R12" s="314" t="s">
        <v>234</v>
      </c>
      <c r="S12" s="314" t="s">
        <v>233</v>
      </c>
      <c r="T12" s="314" t="s">
        <v>246</v>
      </c>
      <c r="U12" s="315" t="s">
        <v>235</v>
      </c>
      <c r="V12" s="313" t="s">
        <v>232</v>
      </c>
      <c r="W12" s="313" t="s">
        <v>239</v>
      </c>
      <c r="X12" s="173" t="s">
        <v>67</v>
      </c>
      <c r="Y12" s="316" t="s">
        <v>51</v>
      </c>
      <c r="Z12" s="174" t="s">
        <v>236</v>
      </c>
      <c r="AA12" s="174" t="s">
        <v>329</v>
      </c>
    </row>
    <row r="13" spans="1:31" s="317" customFormat="1">
      <c r="A13" s="308"/>
      <c r="B13" s="326" t="s">
        <v>338</v>
      </c>
      <c r="C13" s="327"/>
      <c r="D13" s="532"/>
      <c r="E13" s="328"/>
      <c r="F13" s="179"/>
      <c r="G13" s="318"/>
      <c r="H13" s="178"/>
      <c r="I13" s="319"/>
      <c r="J13" s="180"/>
      <c r="K13" s="320"/>
      <c r="L13" s="320"/>
      <c r="M13" s="321"/>
      <c r="N13" s="321"/>
      <c r="O13" s="322"/>
      <c r="P13" s="321"/>
      <c r="Q13" s="321"/>
      <c r="R13" s="323"/>
      <c r="S13" s="323"/>
      <c r="T13" s="323"/>
      <c r="U13" s="324"/>
      <c r="V13" s="322"/>
      <c r="W13" s="322"/>
      <c r="X13" s="179"/>
      <c r="Y13" s="325"/>
      <c r="Z13" s="180"/>
      <c r="AA13" s="180"/>
    </row>
    <row r="14" spans="1:31" ht="15">
      <c r="B14" s="693"/>
      <c r="C14" s="330"/>
      <c r="D14" s="294"/>
      <c r="E14" s="293"/>
      <c r="F14" s="294"/>
      <c r="G14" s="295"/>
      <c r="H14" s="293"/>
      <c r="I14" s="296">
        <f t="shared" ref="I14:I36" si="0">IF($M14="",0,VLOOKUP($M14,Kengetal,4,FALSE))</f>
        <v>0</v>
      </c>
      <c r="J14" s="294"/>
      <c r="K14" s="297"/>
      <c r="L14" s="297"/>
      <c r="M14" s="298"/>
      <c r="N14" s="298"/>
      <c r="O14" s="299">
        <f t="shared" ref="O14:O36" si="1">VLOOKUP(M14,Kengetal,3,FALSE)+VLOOKUP(N14,Kengetal,3,FALSE)</f>
        <v>0</v>
      </c>
      <c r="P14" s="483">
        <v>1</v>
      </c>
      <c r="Q14" s="483">
        <v>1</v>
      </c>
      <c r="R14" s="291">
        <f t="shared" ref="R14:R36" si="2">U14*K14*P14</f>
        <v>0</v>
      </c>
      <c r="S14" s="291">
        <f t="shared" ref="S14:S36" si="3">V14*K14*Q14</f>
        <v>0</v>
      </c>
      <c r="T14" s="291">
        <f t="shared" ref="T14:T36" si="4">W14*K14*P14</f>
        <v>0</v>
      </c>
      <c r="U14" s="300">
        <f t="shared" ref="U14:U36" si="5">IF($M14=0,0,VLOOKUP($M14,Kengetal,6,FALSE))</f>
        <v>0</v>
      </c>
      <c r="V14" s="300">
        <f t="shared" ref="V14:V36" si="6">IF($M14=0,0,VLOOKUP($M14,Kengetal,7,FALSE))</f>
        <v>0</v>
      </c>
      <c r="W14" s="300">
        <f t="shared" ref="W14:W36" si="7">IF($N14=0,0,VLOOKUP($N14,Kengetal,6,FALSE))</f>
        <v>0</v>
      </c>
      <c r="X14" s="301" t="str">
        <f t="shared" ref="X14:X36" si="8">IF(M14="","",VLOOKUP(M14,Kengetal,13,FALSE))</f>
        <v/>
      </c>
      <c r="Y14" s="302"/>
      <c r="Z14" s="303"/>
      <c r="AA14" s="303"/>
      <c r="AD14" s="236">
        <f>K14*P14</f>
        <v>0</v>
      </c>
      <c r="AE14" s="236" t="str">
        <f>CONCATENATE(M14,"-",P14)</f>
        <v>-1</v>
      </c>
    </row>
    <row r="15" spans="1:31" ht="15">
      <c r="B15" s="693"/>
      <c r="C15" s="330"/>
      <c r="D15" s="294"/>
      <c r="E15" s="293"/>
      <c r="F15" s="294"/>
      <c r="G15" s="295"/>
      <c r="H15" s="293"/>
      <c r="I15" s="296">
        <f t="shared" si="0"/>
        <v>0</v>
      </c>
      <c r="J15" s="294"/>
      <c r="K15" s="297"/>
      <c r="L15" s="297"/>
      <c r="M15" s="298"/>
      <c r="N15" s="298"/>
      <c r="O15" s="299">
        <f t="shared" si="1"/>
        <v>0</v>
      </c>
      <c r="P15" s="483">
        <v>1</v>
      </c>
      <c r="Q15" s="483">
        <v>1</v>
      </c>
      <c r="R15" s="291">
        <f t="shared" si="2"/>
        <v>0</v>
      </c>
      <c r="S15" s="291">
        <f t="shared" si="3"/>
        <v>0</v>
      </c>
      <c r="T15" s="291">
        <f t="shared" si="4"/>
        <v>0</v>
      </c>
      <c r="U15" s="300">
        <f t="shared" si="5"/>
        <v>0</v>
      </c>
      <c r="V15" s="300">
        <f t="shared" si="6"/>
        <v>0</v>
      </c>
      <c r="W15" s="300">
        <f t="shared" si="7"/>
        <v>0</v>
      </c>
      <c r="X15" s="301" t="str">
        <f t="shared" si="8"/>
        <v/>
      </c>
      <c r="Y15" s="302"/>
      <c r="Z15" s="303"/>
      <c r="AA15" s="303"/>
    </row>
    <row r="16" spans="1:31" ht="15">
      <c r="B16" s="693"/>
      <c r="C16" s="330"/>
      <c r="D16" s="294"/>
      <c r="E16" s="293"/>
      <c r="F16" s="294"/>
      <c r="G16" s="295"/>
      <c r="H16" s="293"/>
      <c r="I16" s="296">
        <f t="shared" si="0"/>
        <v>0</v>
      </c>
      <c r="J16" s="294"/>
      <c r="K16" s="297"/>
      <c r="L16" s="297"/>
      <c r="M16" s="298"/>
      <c r="N16" s="298"/>
      <c r="O16" s="299">
        <f t="shared" si="1"/>
        <v>0</v>
      </c>
      <c r="P16" s="483">
        <v>1</v>
      </c>
      <c r="Q16" s="483">
        <v>1</v>
      </c>
      <c r="R16" s="291">
        <f t="shared" si="2"/>
        <v>0</v>
      </c>
      <c r="S16" s="291">
        <f t="shared" si="3"/>
        <v>0</v>
      </c>
      <c r="T16" s="291">
        <f t="shared" si="4"/>
        <v>0</v>
      </c>
      <c r="U16" s="300">
        <f t="shared" si="5"/>
        <v>0</v>
      </c>
      <c r="V16" s="300">
        <f t="shared" si="6"/>
        <v>0</v>
      </c>
      <c r="W16" s="300">
        <f t="shared" si="7"/>
        <v>0</v>
      </c>
      <c r="X16" s="301" t="str">
        <f t="shared" si="8"/>
        <v/>
      </c>
      <c r="Y16" s="302"/>
      <c r="Z16" s="303"/>
      <c r="AA16" s="303"/>
    </row>
    <row r="17" spans="2:30" ht="15">
      <c r="B17" s="693"/>
      <c r="C17" s="330"/>
      <c r="D17" s="294"/>
      <c r="E17" s="293"/>
      <c r="F17" s="294"/>
      <c r="G17" s="295"/>
      <c r="H17" s="293"/>
      <c r="I17" s="296">
        <f t="shared" si="0"/>
        <v>0</v>
      </c>
      <c r="J17" s="294"/>
      <c r="K17" s="297"/>
      <c r="L17" s="297"/>
      <c r="M17" s="298"/>
      <c r="N17" s="298"/>
      <c r="O17" s="299">
        <f t="shared" si="1"/>
        <v>0</v>
      </c>
      <c r="P17" s="483">
        <v>1</v>
      </c>
      <c r="Q17" s="483">
        <v>1</v>
      </c>
      <c r="R17" s="291">
        <f t="shared" si="2"/>
        <v>0</v>
      </c>
      <c r="S17" s="291">
        <f t="shared" si="3"/>
        <v>0</v>
      </c>
      <c r="T17" s="291">
        <f t="shared" si="4"/>
        <v>0</v>
      </c>
      <c r="U17" s="300">
        <f t="shared" si="5"/>
        <v>0</v>
      </c>
      <c r="V17" s="300">
        <f t="shared" si="6"/>
        <v>0</v>
      </c>
      <c r="W17" s="300">
        <f t="shared" si="7"/>
        <v>0</v>
      </c>
      <c r="X17" s="301" t="str">
        <f t="shared" si="8"/>
        <v/>
      </c>
      <c r="Y17" s="302"/>
      <c r="Z17" s="303"/>
      <c r="AA17" s="303"/>
    </row>
    <row r="18" spans="2:30" ht="15">
      <c r="B18" s="693"/>
      <c r="C18" s="330"/>
      <c r="D18" s="294"/>
      <c r="E18" s="293"/>
      <c r="F18" s="294"/>
      <c r="G18" s="295"/>
      <c r="H18" s="293"/>
      <c r="I18" s="296">
        <f t="shared" si="0"/>
        <v>0</v>
      </c>
      <c r="J18" s="294"/>
      <c r="K18" s="297"/>
      <c r="L18" s="297"/>
      <c r="M18" s="298"/>
      <c r="N18" s="298"/>
      <c r="O18" s="299">
        <f t="shared" si="1"/>
        <v>0</v>
      </c>
      <c r="P18" s="483">
        <v>1</v>
      </c>
      <c r="Q18" s="483">
        <v>1</v>
      </c>
      <c r="R18" s="291">
        <f t="shared" si="2"/>
        <v>0</v>
      </c>
      <c r="S18" s="291">
        <f t="shared" si="3"/>
        <v>0</v>
      </c>
      <c r="T18" s="291">
        <f t="shared" si="4"/>
        <v>0</v>
      </c>
      <c r="U18" s="300">
        <f t="shared" si="5"/>
        <v>0</v>
      </c>
      <c r="V18" s="300">
        <f t="shared" si="6"/>
        <v>0</v>
      </c>
      <c r="W18" s="300">
        <f t="shared" si="7"/>
        <v>0</v>
      </c>
      <c r="X18" s="301" t="str">
        <f t="shared" si="8"/>
        <v/>
      </c>
      <c r="Y18" s="302"/>
      <c r="Z18" s="303"/>
      <c r="AA18" s="303"/>
    </row>
    <row r="19" spans="2:30" ht="15">
      <c r="B19" s="693"/>
      <c r="C19" s="330"/>
      <c r="D19" s="294"/>
      <c r="E19" s="293"/>
      <c r="F19" s="294"/>
      <c r="G19" s="295"/>
      <c r="H19" s="293"/>
      <c r="I19" s="296">
        <f t="shared" si="0"/>
        <v>0</v>
      </c>
      <c r="J19" s="294"/>
      <c r="K19" s="297"/>
      <c r="L19" s="297"/>
      <c r="M19" s="298"/>
      <c r="N19" s="298"/>
      <c r="O19" s="299">
        <f t="shared" si="1"/>
        <v>0</v>
      </c>
      <c r="P19" s="483">
        <v>1</v>
      </c>
      <c r="Q19" s="483">
        <v>1</v>
      </c>
      <c r="R19" s="291">
        <f t="shared" si="2"/>
        <v>0</v>
      </c>
      <c r="S19" s="291">
        <f t="shared" si="3"/>
        <v>0</v>
      </c>
      <c r="T19" s="291">
        <f t="shared" si="4"/>
        <v>0</v>
      </c>
      <c r="U19" s="300">
        <f t="shared" si="5"/>
        <v>0</v>
      </c>
      <c r="V19" s="300">
        <f t="shared" si="6"/>
        <v>0</v>
      </c>
      <c r="W19" s="300">
        <f t="shared" si="7"/>
        <v>0</v>
      </c>
      <c r="X19" s="301" t="str">
        <f t="shared" si="8"/>
        <v/>
      </c>
      <c r="Y19" s="302"/>
      <c r="Z19" s="303"/>
      <c r="AA19" s="303"/>
    </row>
    <row r="20" spans="2:30" ht="15">
      <c r="B20" s="693"/>
      <c r="C20" s="330"/>
      <c r="D20" s="294"/>
      <c r="E20" s="293"/>
      <c r="F20" s="294"/>
      <c r="G20" s="295"/>
      <c r="H20" s="293"/>
      <c r="I20" s="296">
        <f t="shared" si="0"/>
        <v>0</v>
      </c>
      <c r="J20" s="294"/>
      <c r="K20" s="297"/>
      <c r="L20" s="297"/>
      <c r="M20" s="298"/>
      <c r="N20" s="298"/>
      <c r="O20" s="299">
        <f t="shared" si="1"/>
        <v>0</v>
      </c>
      <c r="P20" s="483">
        <v>1</v>
      </c>
      <c r="Q20" s="483">
        <v>1</v>
      </c>
      <c r="R20" s="291">
        <f t="shared" si="2"/>
        <v>0</v>
      </c>
      <c r="S20" s="291">
        <f t="shared" si="3"/>
        <v>0</v>
      </c>
      <c r="T20" s="291">
        <f t="shared" si="4"/>
        <v>0</v>
      </c>
      <c r="U20" s="300">
        <f t="shared" si="5"/>
        <v>0</v>
      </c>
      <c r="V20" s="300">
        <f t="shared" si="6"/>
        <v>0</v>
      </c>
      <c r="W20" s="300">
        <f t="shared" si="7"/>
        <v>0</v>
      </c>
      <c r="X20" s="301" t="str">
        <f t="shared" si="8"/>
        <v/>
      </c>
      <c r="Y20" s="302"/>
      <c r="Z20" s="303"/>
      <c r="AA20" s="303"/>
    </row>
    <row r="21" spans="2:30" ht="15">
      <c r="B21" s="693"/>
      <c r="C21" s="330"/>
      <c r="D21" s="294"/>
      <c r="E21" s="293"/>
      <c r="F21" s="294"/>
      <c r="G21" s="295"/>
      <c r="H21" s="293"/>
      <c r="I21" s="296">
        <f t="shared" si="0"/>
        <v>0</v>
      </c>
      <c r="J21" s="294"/>
      <c r="K21" s="297"/>
      <c r="L21" s="297"/>
      <c r="M21" s="298"/>
      <c r="N21" s="298"/>
      <c r="O21" s="299">
        <f t="shared" si="1"/>
        <v>0</v>
      </c>
      <c r="P21" s="483">
        <v>1</v>
      </c>
      <c r="Q21" s="483">
        <v>1</v>
      </c>
      <c r="R21" s="291">
        <f t="shared" si="2"/>
        <v>0</v>
      </c>
      <c r="S21" s="291">
        <f t="shared" si="3"/>
        <v>0</v>
      </c>
      <c r="T21" s="291">
        <f t="shared" si="4"/>
        <v>0</v>
      </c>
      <c r="U21" s="300">
        <f t="shared" si="5"/>
        <v>0</v>
      </c>
      <c r="V21" s="300">
        <f t="shared" si="6"/>
        <v>0</v>
      </c>
      <c r="W21" s="300">
        <f t="shared" si="7"/>
        <v>0</v>
      </c>
      <c r="X21" s="301" t="str">
        <f t="shared" si="8"/>
        <v/>
      </c>
      <c r="Y21" s="302"/>
      <c r="Z21" s="303"/>
      <c r="AA21" s="303"/>
    </row>
    <row r="22" spans="2:30" ht="15">
      <c r="B22" s="693"/>
      <c r="C22" s="330"/>
      <c r="D22" s="294"/>
      <c r="E22" s="293"/>
      <c r="F22" s="294"/>
      <c r="G22" s="295"/>
      <c r="H22" s="293"/>
      <c r="I22" s="296">
        <f t="shared" si="0"/>
        <v>0</v>
      </c>
      <c r="J22" s="294"/>
      <c r="K22" s="297"/>
      <c r="L22" s="297"/>
      <c r="M22" s="298"/>
      <c r="N22" s="298"/>
      <c r="O22" s="299">
        <f t="shared" si="1"/>
        <v>0</v>
      </c>
      <c r="P22" s="483">
        <v>1</v>
      </c>
      <c r="Q22" s="483">
        <v>1</v>
      </c>
      <c r="R22" s="291">
        <f t="shared" si="2"/>
        <v>0</v>
      </c>
      <c r="S22" s="291">
        <f t="shared" si="3"/>
        <v>0</v>
      </c>
      <c r="T22" s="291">
        <f t="shared" si="4"/>
        <v>0</v>
      </c>
      <c r="U22" s="300">
        <f t="shared" si="5"/>
        <v>0</v>
      </c>
      <c r="V22" s="300">
        <f t="shared" si="6"/>
        <v>0</v>
      </c>
      <c r="W22" s="300">
        <f t="shared" si="7"/>
        <v>0</v>
      </c>
      <c r="X22" s="301" t="str">
        <f t="shared" si="8"/>
        <v/>
      </c>
      <c r="Y22" s="302"/>
      <c r="Z22" s="303"/>
      <c r="AA22" s="303"/>
    </row>
    <row r="23" spans="2:30" ht="15">
      <c r="B23" s="693"/>
      <c r="C23" s="330"/>
      <c r="D23" s="294"/>
      <c r="E23" s="293"/>
      <c r="F23" s="294"/>
      <c r="G23" s="295"/>
      <c r="H23" s="293"/>
      <c r="I23" s="296">
        <f t="shared" si="0"/>
        <v>0</v>
      </c>
      <c r="J23" s="294"/>
      <c r="K23" s="297"/>
      <c r="L23" s="297"/>
      <c r="M23" s="298"/>
      <c r="N23" s="298"/>
      <c r="O23" s="299">
        <f t="shared" si="1"/>
        <v>0</v>
      </c>
      <c r="P23" s="483">
        <v>1</v>
      </c>
      <c r="Q23" s="483">
        <v>1</v>
      </c>
      <c r="R23" s="291">
        <f t="shared" si="2"/>
        <v>0</v>
      </c>
      <c r="S23" s="291">
        <f t="shared" si="3"/>
        <v>0</v>
      </c>
      <c r="T23" s="291">
        <f t="shared" si="4"/>
        <v>0</v>
      </c>
      <c r="U23" s="300">
        <f t="shared" si="5"/>
        <v>0</v>
      </c>
      <c r="V23" s="300">
        <f t="shared" si="6"/>
        <v>0</v>
      </c>
      <c r="W23" s="300">
        <f t="shared" si="7"/>
        <v>0</v>
      </c>
      <c r="X23" s="301" t="str">
        <f t="shared" si="8"/>
        <v/>
      </c>
      <c r="Y23" s="302"/>
      <c r="Z23" s="303"/>
      <c r="AA23" s="303"/>
    </row>
    <row r="24" spans="2:30" ht="15">
      <c r="B24" s="693"/>
      <c r="C24" s="330"/>
      <c r="D24" s="294"/>
      <c r="E24" s="293"/>
      <c r="F24" s="294"/>
      <c r="G24" s="295"/>
      <c r="H24" s="293"/>
      <c r="I24" s="296">
        <f t="shared" si="0"/>
        <v>0</v>
      </c>
      <c r="J24" s="294"/>
      <c r="K24" s="297"/>
      <c r="L24" s="297"/>
      <c r="M24" s="298"/>
      <c r="N24" s="298"/>
      <c r="O24" s="299">
        <f t="shared" si="1"/>
        <v>0</v>
      </c>
      <c r="P24" s="483">
        <v>1</v>
      </c>
      <c r="Q24" s="483">
        <v>1</v>
      </c>
      <c r="R24" s="291">
        <f t="shared" si="2"/>
        <v>0</v>
      </c>
      <c r="S24" s="291">
        <f t="shared" si="3"/>
        <v>0</v>
      </c>
      <c r="T24" s="291">
        <f t="shared" si="4"/>
        <v>0</v>
      </c>
      <c r="U24" s="300">
        <f t="shared" si="5"/>
        <v>0</v>
      </c>
      <c r="V24" s="300">
        <f t="shared" si="6"/>
        <v>0</v>
      </c>
      <c r="W24" s="300">
        <f t="shared" si="7"/>
        <v>0</v>
      </c>
      <c r="X24" s="301" t="str">
        <f t="shared" si="8"/>
        <v/>
      </c>
      <c r="Y24" s="302"/>
      <c r="Z24" s="303"/>
      <c r="AA24" s="303"/>
    </row>
    <row r="25" spans="2:30" ht="15">
      <c r="B25" s="693"/>
      <c r="C25" s="330"/>
      <c r="D25" s="294"/>
      <c r="E25" s="293"/>
      <c r="F25" s="294"/>
      <c r="G25" s="295"/>
      <c r="H25" s="293"/>
      <c r="I25" s="296">
        <f t="shared" si="0"/>
        <v>0</v>
      </c>
      <c r="J25" s="294"/>
      <c r="K25" s="297"/>
      <c r="L25" s="297"/>
      <c r="M25" s="298"/>
      <c r="N25" s="298"/>
      <c r="O25" s="299">
        <f t="shared" si="1"/>
        <v>0</v>
      </c>
      <c r="P25" s="483">
        <v>1</v>
      </c>
      <c r="Q25" s="483">
        <v>1</v>
      </c>
      <c r="R25" s="291">
        <f t="shared" si="2"/>
        <v>0</v>
      </c>
      <c r="S25" s="291">
        <f t="shared" si="3"/>
        <v>0</v>
      </c>
      <c r="T25" s="291">
        <f t="shared" si="4"/>
        <v>0</v>
      </c>
      <c r="U25" s="300">
        <f t="shared" si="5"/>
        <v>0</v>
      </c>
      <c r="V25" s="300">
        <f t="shared" si="6"/>
        <v>0</v>
      </c>
      <c r="W25" s="300">
        <f t="shared" si="7"/>
        <v>0</v>
      </c>
      <c r="X25" s="301" t="str">
        <f t="shared" si="8"/>
        <v/>
      </c>
      <c r="Y25" s="302"/>
      <c r="Z25" s="303"/>
      <c r="AA25" s="303"/>
      <c r="AC25" s="236">
        <f>K25*P25</f>
        <v>0</v>
      </c>
      <c r="AD25" s="236" t="str">
        <f>CONCATENATE(M25,"-",P25)</f>
        <v>-1</v>
      </c>
    </row>
    <row r="26" spans="2:30" ht="15">
      <c r="B26" s="693"/>
      <c r="C26" s="330"/>
      <c r="D26" s="294"/>
      <c r="E26" s="293"/>
      <c r="F26" s="294"/>
      <c r="G26" s="295"/>
      <c r="H26" s="293"/>
      <c r="I26" s="296">
        <f t="shared" si="0"/>
        <v>0</v>
      </c>
      <c r="J26" s="294"/>
      <c r="K26" s="297"/>
      <c r="L26" s="297"/>
      <c r="M26" s="298"/>
      <c r="N26" s="298"/>
      <c r="O26" s="299">
        <f t="shared" si="1"/>
        <v>0</v>
      </c>
      <c r="P26" s="483">
        <v>1</v>
      </c>
      <c r="Q26" s="483">
        <v>1</v>
      </c>
      <c r="R26" s="291">
        <f t="shared" si="2"/>
        <v>0</v>
      </c>
      <c r="S26" s="291">
        <f t="shared" si="3"/>
        <v>0</v>
      </c>
      <c r="T26" s="291">
        <f t="shared" si="4"/>
        <v>0</v>
      </c>
      <c r="U26" s="300">
        <f t="shared" si="5"/>
        <v>0</v>
      </c>
      <c r="V26" s="300">
        <f t="shared" si="6"/>
        <v>0</v>
      </c>
      <c r="W26" s="300">
        <f t="shared" si="7"/>
        <v>0</v>
      </c>
      <c r="X26" s="301" t="str">
        <f t="shared" si="8"/>
        <v/>
      </c>
      <c r="Y26" s="302"/>
      <c r="Z26" s="303"/>
      <c r="AA26" s="303"/>
    </row>
    <row r="27" spans="2:30" ht="15">
      <c r="B27" s="693"/>
      <c r="C27" s="330"/>
      <c r="D27" s="294"/>
      <c r="E27" s="293"/>
      <c r="F27" s="294"/>
      <c r="G27" s="295"/>
      <c r="H27" s="293"/>
      <c r="I27" s="296">
        <f t="shared" si="0"/>
        <v>0</v>
      </c>
      <c r="J27" s="294"/>
      <c r="K27" s="297"/>
      <c r="L27" s="297"/>
      <c r="M27" s="298"/>
      <c r="N27" s="298"/>
      <c r="O27" s="299">
        <f t="shared" si="1"/>
        <v>0</v>
      </c>
      <c r="P27" s="483">
        <v>1</v>
      </c>
      <c r="Q27" s="483">
        <v>1</v>
      </c>
      <c r="R27" s="291">
        <f t="shared" si="2"/>
        <v>0</v>
      </c>
      <c r="S27" s="291">
        <f t="shared" si="3"/>
        <v>0</v>
      </c>
      <c r="T27" s="291">
        <f t="shared" si="4"/>
        <v>0</v>
      </c>
      <c r="U27" s="300">
        <f t="shared" si="5"/>
        <v>0</v>
      </c>
      <c r="V27" s="300">
        <f t="shared" si="6"/>
        <v>0</v>
      </c>
      <c r="W27" s="300">
        <f t="shared" si="7"/>
        <v>0</v>
      </c>
      <c r="X27" s="301" t="str">
        <f t="shared" si="8"/>
        <v/>
      </c>
      <c r="Y27" s="302"/>
      <c r="Z27" s="303"/>
      <c r="AA27" s="303"/>
      <c r="AC27" s="236">
        <f t="shared" ref="AC27:AC29" si="9">K27*O27</f>
        <v>0</v>
      </c>
      <c r="AD27" s="236" t="str">
        <f t="shared" ref="AD27:AD29" si="10">CONCATENATE(M27,"-",O27)</f>
        <v>-0</v>
      </c>
    </row>
    <row r="28" spans="2:30" ht="15">
      <c r="B28" s="693"/>
      <c r="C28" s="330"/>
      <c r="D28" s="294"/>
      <c r="E28" s="293"/>
      <c r="F28" s="294"/>
      <c r="G28" s="295"/>
      <c r="H28" s="293"/>
      <c r="I28" s="296">
        <f t="shared" si="0"/>
        <v>0</v>
      </c>
      <c r="J28" s="294"/>
      <c r="K28" s="297"/>
      <c r="L28" s="297"/>
      <c r="M28" s="298"/>
      <c r="N28" s="298"/>
      <c r="O28" s="299">
        <f t="shared" si="1"/>
        <v>0</v>
      </c>
      <c r="P28" s="483">
        <v>1</v>
      </c>
      <c r="Q28" s="483">
        <v>1</v>
      </c>
      <c r="R28" s="291">
        <f t="shared" si="2"/>
        <v>0</v>
      </c>
      <c r="S28" s="291">
        <f t="shared" si="3"/>
        <v>0</v>
      </c>
      <c r="T28" s="291">
        <f t="shared" si="4"/>
        <v>0</v>
      </c>
      <c r="U28" s="300">
        <f t="shared" si="5"/>
        <v>0</v>
      </c>
      <c r="V28" s="300">
        <f t="shared" si="6"/>
        <v>0</v>
      </c>
      <c r="W28" s="300">
        <f t="shared" si="7"/>
        <v>0</v>
      </c>
      <c r="X28" s="301" t="str">
        <f t="shared" si="8"/>
        <v/>
      </c>
      <c r="Y28" s="302"/>
      <c r="Z28" s="303"/>
      <c r="AA28" s="303"/>
      <c r="AC28" s="236">
        <f t="shared" si="9"/>
        <v>0</v>
      </c>
      <c r="AD28" s="236" t="str">
        <f t="shared" si="10"/>
        <v>-0</v>
      </c>
    </row>
    <row r="29" spans="2:30" ht="15">
      <c r="B29" s="693"/>
      <c r="C29" s="330"/>
      <c r="D29" s="294"/>
      <c r="E29" s="293"/>
      <c r="F29" s="294"/>
      <c r="G29" s="295"/>
      <c r="H29" s="293"/>
      <c r="I29" s="296">
        <f t="shared" si="0"/>
        <v>0</v>
      </c>
      <c r="J29" s="294"/>
      <c r="K29" s="297"/>
      <c r="L29" s="297"/>
      <c r="M29" s="298"/>
      <c r="N29" s="298"/>
      <c r="O29" s="299">
        <f t="shared" si="1"/>
        <v>0</v>
      </c>
      <c r="P29" s="483">
        <v>1</v>
      </c>
      <c r="Q29" s="483">
        <v>1</v>
      </c>
      <c r="R29" s="291">
        <f t="shared" si="2"/>
        <v>0</v>
      </c>
      <c r="S29" s="291">
        <f t="shared" si="3"/>
        <v>0</v>
      </c>
      <c r="T29" s="291">
        <f t="shared" si="4"/>
        <v>0</v>
      </c>
      <c r="U29" s="300">
        <f t="shared" si="5"/>
        <v>0</v>
      </c>
      <c r="V29" s="300">
        <f t="shared" si="6"/>
        <v>0</v>
      </c>
      <c r="W29" s="300">
        <f t="shared" si="7"/>
        <v>0</v>
      </c>
      <c r="X29" s="301" t="str">
        <f t="shared" si="8"/>
        <v/>
      </c>
      <c r="Y29" s="302"/>
      <c r="Z29" s="303"/>
      <c r="AA29" s="303"/>
      <c r="AC29" s="236">
        <f t="shared" si="9"/>
        <v>0</v>
      </c>
      <c r="AD29" s="236" t="str">
        <f t="shared" si="10"/>
        <v>-0</v>
      </c>
    </row>
    <row r="30" spans="2:30" ht="15">
      <c r="B30" s="693"/>
      <c r="C30" s="330"/>
      <c r="D30" s="294"/>
      <c r="E30" s="293"/>
      <c r="F30" s="294"/>
      <c r="G30" s="295"/>
      <c r="H30" s="293"/>
      <c r="I30" s="296">
        <f t="shared" si="0"/>
        <v>0</v>
      </c>
      <c r="J30" s="294"/>
      <c r="K30" s="297"/>
      <c r="L30" s="297"/>
      <c r="M30" s="298"/>
      <c r="N30" s="298"/>
      <c r="O30" s="299">
        <f t="shared" si="1"/>
        <v>0</v>
      </c>
      <c r="P30" s="483">
        <v>1</v>
      </c>
      <c r="Q30" s="483">
        <v>1</v>
      </c>
      <c r="R30" s="291">
        <f t="shared" si="2"/>
        <v>0</v>
      </c>
      <c r="S30" s="291">
        <f t="shared" si="3"/>
        <v>0</v>
      </c>
      <c r="T30" s="291">
        <f t="shared" si="4"/>
        <v>0</v>
      </c>
      <c r="U30" s="300">
        <f t="shared" si="5"/>
        <v>0</v>
      </c>
      <c r="V30" s="300">
        <f t="shared" si="6"/>
        <v>0</v>
      </c>
      <c r="W30" s="300">
        <f t="shared" si="7"/>
        <v>0</v>
      </c>
      <c r="X30" s="301" t="str">
        <f t="shared" si="8"/>
        <v/>
      </c>
      <c r="Y30" s="302"/>
      <c r="Z30" s="303"/>
      <c r="AA30" s="303"/>
      <c r="AC30" s="236">
        <f>K30*P30</f>
        <v>0</v>
      </c>
      <c r="AD30" s="236" t="str">
        <f>CONCATENATE(M30,"-",P30)</f>
        <v>-1</v>
      </c>
    </row>
    <row r="31" spans="2:30" ht="15">
      <c r="B31" s="693"/>
      <c r="C31" s="330"/>
      <c r="D31" s="294"/>
      <c r="E31" s="293"/>
      <c r="F31" s="294"/>
      <c r="G31" s="295"/>
      <c r="H31" s="293"/>
      <c r="I31" s="296">
        <f t="shared" si="0"/>
        <v>0</v>
      </c>
      <c r="J31" s="294"/>
      <c r="K31" s="297"/>
      <c r="L31" s="297"/>
      <c r="M31" s="298"/>
      <c r="N31" s="298"/>
      <c r="O31" s="299">
        <f t="shared" si="1"/>
        <v>0</v>
      </c>
      <c r="P31" s="483">
        <v>1</v>
      </c>
      <c r="Q31" s="483">
        <v>1</v>
      </c>
      <c r="R31" s="291">
        <f t="shared" si="2"/>
        <v>0</v>
      </c>
      <c r="S31" s="291">
        <f t="shared" si="3"/>
        <v>0</v>
      </c>
      <c r="T31" s="291">
        <f t="shared" si="4"/>
        <v>0</v>
      </c>
      <c r="U31" s="300">
        <f t="shared" si="5"/>
        <v>0</v>
      </c>
      <c r="V31" s="300">
        <f t="shared" si="6"/>
        <v>0</v>
      </c>
      <c r="W31" s="300">
        <f t="shared" si="7"/>
        <v>0</v>
      </c>
      <c r="X31" s="301" t="str">
        <f t="shared" si="8"/>
        <v/>
      </c>
      <c r="Y31" s="302"/>
      <c r="Z31" s="303"/>
      <c r="AA31" s="303"/>
    </row>
    <row r="32" spans="2:30" ht="15">
      <c r="B32" s="693"/>
      <c r="C32" s="330"/>
      <c r="D32" s="294"/>
      <c r="E32" s="293"/>
      <c r="F32" s="294"/>
      <c r="G32" s="295"/>
      <c r="H32" s="293"/>
      <c r="I32" s="296">
        <f t="shared" si="0"/>
        <v>0</v>
      </c>
      <c r="J32" s="294"/>
      <c r="K32" s="297"/>
      <c r="L32" s="297"/>
      <c r="M32" s="298"/>
      <c r="N32" s="298"/>
      <c r="O32" s="299">
        <f t="shared" si="1"/>
        <v>0</v>
      </c>
      <c r="P32" s="483">
        <v>1</v>
      </c>
      <c r="Q32" s="483">
        <v>1</v>
      </c>
      <c r="R32" s="291">
        <f t="shared" si="2"/>
        <v>0</v>
      </c>
      <c r="S32" s="291">
        <f t="shared" si="3"/>
        <v>0</v>
      </c>
      <c r="T32" s="291">
        <f t="shared" si="4"/>
        <v>0</v>
      </c>
      <c r="U32" s="300">
        <f t="shared" si="5"/>
        <v>0</v>
      </c>
      <c r="V32" s="300">
        <f t="shared" si="6"/>
        <v>0</v>
      </c>
      <c r="W32" s="300">
        <f t="shared" si="7"/>
        <v>0</v>
      </c>
      <c r="X32" s="301" t="str">
        <f t="shared" si="8"/>
        <v/>
      </c>
      <c r="Y32" s="302"/>
      <c r="Z32" s="303"/>
      <c r="AA32" s="303"/>
      <c r="AC32" s="236">
        <f t="shared" ref="AC32:AC34" si="11">K32*O32</f>
        <v>0</v>
      </c>
      <c r="AD32" s="236" t="str">
        <f t="shared" ref="AD32:AD34" si="12">CONCATENATE(M32,"-",O32)</f>
        <v>-0</v>
      </c>
    </row>
    <row r="33" spans="2:30" ht="15">
      <c r="B33" s="693"/>
      <c r="C33" s="330"/>
      <c r="D33" s="294"/>
      <c r="E33" s="293"/>
      <c r="F33" s="294"/>
      <c r="G33" s="295"/>
      <c r="H33" s="293"/>
      <c r="I33" s="296">
        <f t="shared" si="0"/>
        <v>0</v>
      </c>
      <c r="J33" s="294"/>
      <c r="K33" s="297"/>
      <c r="L33" s="297"/>
      <c r="M33" s="298"/>
      <c r="N33" s="298"/>
      <c r="O33" s="299">
        <f t="shared" si="1"/>
        <v>0</v>
      </c>
      <c r="P33" s="483">
        <v>1</v>
      </c>
      <c r="Q33" s="483">
        <v>1</v>
      </c>
      <c r="R33" s="291">
        <f t="shared" si="2"/>
        <v>0</v>
      </c>
      <c r="S33" s="291">
        <f t="shared" si="3"/>
        <v>0</v>
      </c>
      <c r="T33" s="291">
        <f t="shared" si="4"/>
        <v>0</v>
      </c>
      <c r="U33" s="300">
        <f t="shared" si="5"/>
        <v>0</v>
      </c>
      <c r="V33" s="300">
        <f t="shared" si="6"/>
        <v>0</v>
      </c>
      <c r="W33" s="300">
        <f t="shared" si="7"/>
        <v>0</v>
      </c>
      <c r="X33" s="301" t="str">
        <f t="shared" si="8"/>
        <v/>
      </c>
      <c r="Y33" s="302"/>
      <c r="Z33" s="303"/>
      <c r="AA33" s="303"/>
      <c r="AC33" s="236">
        <f t="shared" si="11"/>
        <v>0</v>
      </c>
      <c r="AD33" s="236" t="str">
        <f t="shared" si="12"/>
        <v>-0</v>
      </c>
    </row>
    <row r="34" spans="2:30" ht="15">
      <c r="B34" s="693"/>
      <c r="C34" s="330"/>
      <c r="D34" s="294"/>
      <c r="E34" s="293"/>
      <c r="F34" s="294"/>
      <c r="G34" s="295"/>
      <c r="H34" s="293"/>
      <c r="I34" s="296">
        <f t="shared" si="0"/>
        <v>0</v>
      </c>
      <c r="J34" s="294"/>
      <c r="K34" s="297"/>
      <c r="L34" s="297"/>
      <c r="M34" s="298"/>
      <c r="N34" s="298"/>
      <c r="O34" s="299">
        <f t="shared" si="1"/>
        <v>0</v>
      </c>
      <c r="P34" s="483">
        <v>1</v>
      </c>
      <c r="Q34" s="483">
        <v>1</v>
      </c>
      <c r="R34" s="291">
        <f t="shared" si="2"/>
        <v>0</v>
      </c>
      <c r="S34" s="291">
        <f t="shared" si="3"/>
        <v>0</v>
      </c>
      <c r="T34" s="291">
        <f t="shared" si="4"/>
        <v>0</v>
      </c>
      <c r="U34" s="300">
        <f t="shared" si="5"/>
        <v>0</v>
      </c>
      <c r="V34" s="300">
        <f t="shared" si="6"/>
        <v>0</v>
      </c>
      <c r="W34" s="300">
        <f t="shared" si="7"/>
        <v>0</v>
      </c>
      <c r="X34" s="301" t="str">
        <f t="shared" si="8"/>
        <v/>
      </c>
      <c r="Y34" s="302"/>
      <c r="Z34" s="303"/>
      <c r="AA34" s="303"/>
      <c r="AC34" s="236">
        <f t="shared" si="11"/>
        <v>0</v>
      </c>
      <c r="AD34" s="236" t="str">
        <f t="shared" si="12"/>
        <v>-0</v>
      </c>
    </row>
    <row r="35" spans="2:30" ht="15">
      <c r="B35" s="693"/>
      <c r="C35" s="330"/>
      <c r="D35" s="294"/>
      <c r="E35" s="293"/>
      <c r="F35" s="294"/>
      <c r="G35" s="295"/>
      <c r="H35" s="293"/>
      <c r="I35" s="296">
        <f t="shared" si="0"/>
        <v>0</v>
      </c>
      <c r="J35" s="294"/>
      <c r="K35" s="297"/>
      <c r="L35" s="297"/>
      <c r="M35" s="298"/>
      <c r="N35" s="298"/>
      <c r="O35" s="299">
        <f t="shared" si="1"/>
        <v>0</v>
      </c>
      <c r="P35" s="483">
        <v>1</v>
      </c>
      <c r="Q35" s="483">
        <v>1</v>
      </c>
      <c r="R35" s="291">
        <f t="shared" si="2"/>
        <v>0</v>
      </c>
      <c r="S35" s="291">
        <f t="shared" si="3"/>
        <v>0</v>
      </c>
      <c r="T35" s="291">
        <f t="shared" si="4"/>
        <v>0</v>
      </c>
      <c r="U35" s="300">
        <f t="shared" si="5"/>
        <v>0</v>
      </c>
      <c r="V35" s="300">
        <f t="shared" si="6"/>
        <v>0</v>
      </c>
      <c r="W35" s="300">
        <f t="shared" si="7"/>
        <v>0</v>
      </c>
      <c r="X35" s="301" t="str">
        <f t="shared" si="8"/>
        <v/>
      </c>
      <c r="Y35" s="302"/>
      <c r="Z35" s="303"/>
      <c r="AA35" s="303"/>
      <c r="AC35" s="236">
        <f t="shared" ref="AC35:AC37" si="13">K35*O35</f>
        <v>0</v>
      </c>
      <c r="AD35" s="236" t="str">
        <f t="shared" ref="AD35:AD37" si="14">CONCATENATE(M35,"-",O35)</f>
        <v>-0</v>
      </c>
    </row>
    <row r="36" spans="2:30" ht="15">
      <c r="B36" s="693"/>
      <c r="C36" s="330"/>
      <c r="D36" s="294"/>
      <c r="E36" s="293"/>
      <c r="F36" s="294"/>
      <c r="G36" s="295"/>
      <c r="H36" s="293"/>
      <c r="I36" s="296">
        <f t="shared" si="0"/>
        <v>0</v>
      </c>
      <c r="J36" s="294"/>
      <c r="K36" s="297"/>
      <c r="L36" s="297"/>
      <c r="M36" s="298"/>
      <c r="N36" s="298"/>
      <c r="O36" s="299">
        <f t="shared" si="1"/>
        <v>0</v>
      </c>
      <c r="P36" s="483">
        <v>1</v>
      </c>
      <c r="Q36" s="483">
        <v>1</v>
      </c>
      <c r="R36" s="291">
        <f t="shared" si="2"/>
        <v>0</v>
      </c>
      <c r="S36" s="291">
        <f t="shared" si="3"/>
        <v>0</v>
      </c>
      <c r="T36" s="291">
        <f t="shared" si="4"/>
        <v>0</v>
      </c>
      <c r="U36" s="300">
        <f t="shared" si="5"/>
        <v>0</v>
      </c>
      <c r="V36" s="300">
        <f t="shared" si="6"/>
        <v>0</v>
      </c>
      <c r="W36" s="300">
        <f t="shared" si="7"/>
        <v>0</v>
      </c>
      <c r="X36" s="301" t="str">
        <f t="shared" si="8"/>
        <v/>
      </c>
      <c r="Y36" s="302"/>
      <c r="Z36" s="303"/>
      <c r="AA36" s="303"/>
      <c r="AC36" s="236">
        <f t="shared" si="13"/>
        <v>0</v>
      </c>
      <c r="AD36" s="236" t="str">
        <f t="shared" si="14"/>
        <v>-0</v>
      </c>
    </row>
    <row r="37" spans="2:30" ht="5" customHeight="1">
      <c r="B37" s="572"/>
      <c r="C37" s="573"/>
      <c r="D37" s="572"/>
      <c r="E37" s="574"/>
      <c r="F37" s="572"/>
      <c r="G37" s="575"/>
      <c r="H37" s="576"/>
      <c r="I37" s="577"/>
      <c r="J37" s="572"/>
      <c r="K37" s="578"/>
      <c r="L37" s="578"/>
      <c r="M37" s="579"/>
      <c r="N37" s="572"/>
      <c r="O37" s="572"/>
      <c r="P37" s="579"/>
      <c r="Q37" s="579"/>
      <c r="R37" s="580"/>
      <c r="S37" s="580"/>
      <c r="T37" s="576"/>
      <c r="U37" s="572"/>
      <c r="V37" s="572"/>
      <c r="W37" s="576"/>
      <c r="X37" s="576"/>
      <c r="Y37" s="581"/>
      <c r="Z37" s="572"/>
      <c r="AA37" s="572"/>
      <c r="AC37" s="236">
        <f t="shared" si="13"/>
        <v>0</v>
      </c>
      <c r="AD37" s="236" t="str">
        <f t="shared" si="14"/>
        <v>-</v>
      </c>
    </row>
  </sheetData>
  <autoFilter ref="B12:AA37" xr:uid="{00000000-0001-0000-0500-000000000000}"/>
  <mergeCells count="1">
    <mergeCell ref="G10:H10"/>
  </mergeCells>
  <conditionalFormatting sqref="B14:C36">
    <cfRule type="notContainsBlanks" dxfId="138" priority="82">
      <formula>LEN(TRIM(B14))&gt;0</formula>
    </cfRule>
  </conditionalFormatting>
  <conditionalFormatting sqref="P14:Q36">
    <cfRule type="cellIs" dxfId="137" priority="83" operator="lessThan">
      <formula>1</formula>
    </cfRule>
    <cfRule type="cellIs" dxfId="136" priority="84" operator="greaterThan">
      <formula>1</formula>
    </cfRule>
  </conditionalFormatting>
  <conditionalFormatting sqref="R9:T9 R14:W36 Z14:AA36">
    <cfRule type="cellIs" dxfId="135" priority="340" operator="greaterThan">
      <formula>0</formula>
    </cfRule>
  </conditionalFormatting>
  <dataValidations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BCE6ECF5-C312-9A4C-97E9-065F8EACDEBB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7" max="1048575" man="1"/>
  </colBreaks>
  <picture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9B52-20D2-9249-966E-47B14BFC5C9F}">
  <sheetPr>
    <pageSetUpPr fitToPage="1"/>
  </sheetPr>
  <dimension ref="A1:AG161"/>
  <sheetViews>
    <sheetView showGridLines="0" showRowColHeaders="0" showZeros="0" showOutlineSymbols="0" zoomScaleNormal="100" zoomScaleSheetLayoutView="75" workbookViewId="0">
      <pane ySplit="11" topLeftCell="A13" activePane="bottomLeft" state="frozenSplit"/>
      <selection activeCell="S9" sqref="S9"/>
      <selection pane="bottomLeft"/>
    </sheetView>
  </sheetViews>
  <sheetFormatPr baseColWidth="10" defaultColWidth="0" defaultRowHeight="15" zeroHeight="1"/>
  <cols>
    <col min="1" max="1" width="7.59765625" style="334" customWidth="1"/>
    <col min="2" max="2" width="13.19921875" style="334" customWidth="1"/>
    <col min="3" max="3" width="16" style="334" customWidth="1"/>
    <col min="4" max="4" width="6.59765625" style="334" customWidth="1"/>
    <col min="5" max="5" width="40.3984375" style="334" customWidth="1"/>
    <col min="6" max="6" width="16.3984375" style="334" customWidth="1"/>
    <col min="7" max="7" width="14" style="334" customWidth="1"/>
    <col min="8" max="8" width="3.59765625" style="334" customWidth="1"/>
    <col min="9" max="9" width="10" style="334" customWidth="1"/>
    <col min="10" max="10" width="8.796875" style="334" customWidth="1"/>
    <col min="11" max="11" width="33" style="334" customWidth="1"/>
    <col min="12" max="12" width="4.59765625" style="334" customWidth="1"/>
    <col min="13" max="13" width="13.19921875" style="334" customWidth="1"/>
    <col min="14" max="16" width="15.59765625" style="334" customWidth="1"/>
    <col min="17" max="17" width="1" style="334" customWidth="1"/>
    <col min="18" max="18" width="14.796875" style="334" hidden="1" customWidth="1"/>
    <col min="19" max="19" width="1.3984375" style="334" customWidth="1"/>
    <col min="20" max="22" width="15.59765625" style="334" customWidth="1"/>
    <col min="23" max="23" width="0.19921875" style="334" customWidth="1"/>
    <col min="24" max="24" width="0.19921875" style="334" hidden="1" customWidth="1"/>
    <col min="25" max="25" width="16" style="334" hidden="1" customWidth="1"/>
    <col min="26" max="26" width="20" style="334" bestFit="1" customWidth="1"/>
    <col min="27" max="33" width="0" style="334" hidden="1" customWidth="1"/>
    <col min="34" max="16384" width="10.59765625" style="334" hidden="1"/>
  </cols>
  <sheetData>
    <row r="1" spans="1:27" s="3" customFormat="1" ht="9" customHeight="1" thickBot="1">
      <c r="B1" s="6"/>
      <c r="C1" s="6"/>
      <c r="D1" s="6"/>
      <c r="E1" s="30"/>
      <c r="F1" s="30"/>
      <c r="G1" s="49"/>
      <c r="H1" s="30"/>
      <c r="I1" s="30"/>
      <c r="J1" s="30"/>
      <c r="K1" s="30"/>
      <c r="L1" s="30"/>
      <c r="M1" s="30"/>
      <c r="N1" s="30"/>
      <c r="O1" s="30"/>
      <c r="P1" s="30"/>
      <c r="Q1" s="30"/>
      <c r="R1" s="100"/>
      <c r="S1" s="30"/>
      <c r="T1" s="99"/>
      <c r="U1" s="99"/>
      <c r="V1" s="99"/>
    </row>
    <row r="2" spans="1:27" s="3" customFormat="1" ht="8" customHeight="1">
      <c r="B2" s="6"/>
      <c r="C2" s="6"/>
      <c r="D2" s="6"/>
      <c r="E2" s="102"/>
      <c r="F2" s="102"/>
      <c r="G2" s="101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99"/>
      <c r="U2" s="99"/>
      <c r="V2" s="99"/>
    </row>
    <row r="3" spans="1:27" ht="7.25" customHeight="1">
      <c r="K3" s="335"/>
      <c r="L3" s="336"/>
    </row>
    <row r="4" spans="1:27" ht="17">
      <c r="E4" s="337" t="s">
        <v>27</v>
      </c>
      <c r="F4" s="36" t="s">
        <v>210</v>
      </c>
      <c r="G4" s="338"/>
      <c r="H4" s="339"/>
      <c r="I4" s="339"/>
      <c r="J4" s="339"/>
      <c r="K4" s="339"/>
      <c r="L4" s="336"/>
      <c r="N4" s="340"/>
      <c r="O4" s="341"/>
      <c r="P4" s="341"/>
      <c r="Q4" s="341"/>
      <c r="R4" s="341"/>
      <c r="S4" s="342"/>
    </row>
    <row r="5" spans="1:27" ht="17">
      <c r="E5" s="196" t="s">
        <v>85</v>
      </c>
      <c r="F5" s="200" t="str">
        <f>Voorblad!$E$16</f>
        <v>Stichting Opspoor</v>
      </c>
      <c r="G5" s="343"/>
      <c r="I5" s="339"/>
      <c r="J5" s="339"/>
      <c r="K5" s="339"/>
      <c r="L5" s="336"/>
      <c r="N5" s="340"/>
      <c r="O5" s="341"/>
      <c r="P5" s="341"/>
      <c r="Q5" s="341"/>
      <c r="R5" s="341"/>
      <c r="S5" s="342"/>
    </row>
    <row r="6" spans="1:27" ht="18" thickBot="1">
      <c r="A6" s="523"/>
      <c r="B6" s="505" t="s">
        <v>153</v>
      </c>
      <c r="E6" s="196" t="s">
        <v>33</v>
      </c>
      <c r="F6" s="200" t="str">
        <f>'1.0-Contractblad'!$E$7</f>
        <v>Purmerend e.o.</v>
      </c>
      <c r="G6" s="36"/>
      <c r="H6" s="344"/>
      <c r="I6" s="345"/>
      <c r="J6" s="346"/>
      <c r="K6" s="198"/>
      <c r="L6" s="336"/>
      <c r="M6" s="336"/>
      <c r="P6" s="336"/>
      <c r="Q6" s="336"/>
      <c r="R6" s="336"/>
      <c r="S6" s="336"/>
      <c r="T6" s="336"/>
      <c r="U6" s="336"/>
      <c r="V6" s="336"/>
      <c r="W6" s="336"/>
      <c r="X6" s="336"/>
      <c r="Y6" s="336"/>
    </row>
    <row r="7" spans="1:27" ht="19" thickTop="1" thickBot="1">
      <c r="A7" s="631"/>
      <c r="B7" s="505" t="s">
        <v>384</v>
      </c>
      <c r="E7" s="196" t="s">
        <v>114</v>
      </c>
      <c r="F7" s="206" t="str">
        <f>Voorblad!$E$24</f>
        <v>1501-102-2026</v>
      </c>
      <c r="G7" s="347"/>
      <c r="H7" s="344"/>
      <c r="I7" s="345"/>
      <c r="J7" s="346"/>
      <c r="K7" s="207"/>
      <c r="L7" s="336"/>
      <c r="N7" s="817" t="s">
        <v>385</v>
      </c>
      <c r="O7" s="818"/>
      <c r="P7" s="336"/>
      <c r="Q7" s="336"/>
      <c r="R7" s="336"/>
      <c r="S7" s="336"/>
      <c r="T7" s="817" t="s">
        <v>385</v>
      </c>
      <c r="U7" s="818"/>
      <c r="V7" s="336"/>
      <c r="W7" s="336"/>
      <c r="X7" s="336"/>
      <c r="Y7" s="336"/>
    </row>
    <row r="8" spans="1:27" ht="18" thickBot="1">
      <c r="A8" s="533"/>
      <c r="B8" s="505" t="s">
        <v>272</v>
      </c>
      <c r="C8" s="336"/>
      <c r="E8" s="196" t="s">
        <v>145</v>
      </c>
      <c r="F8" s="211" t="str">
        <f ca="1">Voorblad!$E$26</f>
        <v>Calculatiemodule Opspoor Perceel 3 V1.1 | 01-jan-27 Wijziging bijgehouden</v>
      </c>
      <c r="G8" s="347"/>
      <c r="H8" s="348"/>
      <c r="I8" s="345"/>
      <c r="J8" s="346"/>
      <c r="K8" s="207"/>
      <c r="L8" s="336"/>
      <c r="N8" s="819"/>
      <c r="O8" s="820"/>
      <c r="P8" s="336"/>
      <c r="Q8" s="336"/>
      <c r="R8" s="336"/>
      <c r="S8" s="336"/>
      <c r="T8" s="819"/>
      <c r="U8" s="820"/>
      <c r="V8" s="336"/>
      <c r="W8" s="336"/>
      <c r="X8" s="336"/>
      <c r="Y8" s="336"/>
    </row>
    <row r="9" spans="1:27" ht="17">
      <c r="A9" s="689"/>
      <c r="B9" s="505" t="s">
        <v>479</v>
      </c>
      <c r="E9" s="196" t="s">
        <v>83</v>
      </c>
      <c r="F9" s="215" t="str">
        <f>Voorblad!$E$19</f>
        <v>Naam organisatie</v>
      </c>
      <c r="G9" s="345"/>
      <c r="H9" s="348"/>
      <c r="I9" s="345"/>
      <c r="J9" s="346"/>
      <c r="K9" s="207"/>
      <c r="L9" s="336"/>
      <c r="N9" s="819"/>
      <c r="O9" s="820"/>
      <c r="P9" s="336"/>
      <c r="Q9" s="336"/>
      <c r="R9" s="336"/>
      <c r="S9" s="336"/>
      <c r="T9" s="819"/>
      <c r="U9" s="820"/>
      <c r="V9" s="336"/>
      <c r="W9" s="336"/>
      <c r="X9" s="336"/>
      <c r="Y9" s="336"/>
    </row>
    <row r="10" spans="1:27" ht="18" thickBot="1">
      <c r="E10" s="196" t="s">
        <v>6</v>
      </c>
      <c r="F10" s="824">
        <f>Voorblad!$E$22</f>
        <v>46388</v>
      </c>
      <c r="G10" s="824"/>
      <c r="H10" s="348"/>
      <c r="I10" s="345"/>
      <c r="J10" s="346"/>
      <c r="K10" s="198"/>
      <c r="L10" s="336"/>
      <c r="M10" s="336"/>
      <c r="N10" s="821"/>
      <c r="O10" s="822"/>
      <c r="P10" s="336"/>
      <c r="Q10" s="336"/>
      <c r="R10" s="336"/>
      <c r="S10" s="336"/>
      <c r="T10" s="821"/>
      <c r="U10" s="822"/>
      <c r="V10" s="336"/>
      <c r="W10" s="336"/>
      <c r="X10" s="336"/>
      <c r="Y10" s="336"/>
    </row>
    <row r="11" spans="1:27" ht="37" customHeight="1" thickTop="1" thickBot="1">
      <c r="E11" s="337"/>
      <c r="F11" s="350"/>
      <c r="G11" s="345"/>
      <c r="H11" s="345"/>
      <c r="M11" s="43"/>
      <c r="N11" s="825" t="s">
        <v>274</v>
      </c>
      <c r="O11" s="825"/>
      <c r="P11" s="825"/>
      <c r="Q11" s="43"/>
      <c r="R11" s="351"/>
      <c r="S11" s="349"/>
      <c r="T11" s="825" t="s">
        <v>273</v>
      </c>
      <c r="U11" s="825"/>
      <c r="V11" s="825"/>
      <c r="W11" s="43"/>
      <c r="X11" s="826" t="s">
        <v>271</v>
      </c>
      <c r="Y11" s="827"/>
    </row>
    <row r="12" spans="1:27" ht="16" hidden="1" customHeight="1">
      <c r="E12" s="337"/>
      <c r="F12" s="45"/>
      <c r="G12" s="345"/>
      <c r="H12" s="345"/>
      <c r="I12" s="345"/>
      <c r="J12" s="346"/>
      <c r="K12" s="43"/>
      <c r="L12" s="43"/>
      <c r="M12" s="43"/>
      <c r="N12" s="43"/>
      <c r="O12" s="43"/>
      <c r="P12" s="43"/>
      <c r="Q12" s="43"/>
      <c r="R12" s="43"/>
      <c r="S12" s="349"/>
      <c r="T12" s="43"/>
      <c r="U12" s="43"/>
      <c r="V12" s="43"/>
      <c r="W12" s="43"/>
      <c r="X12" s="43"/>
      <c r="Y12" s="43"/>
    </row>
    <row r="13" spans="1:27" ht="49.25" customHeight="1">
      <c r="H13" s="352"/>
      <c r="I13" s="352"/>
      <c r="J13" s="346"/>
      <c r="K13" s="353"/>
      <c r="L13" s="122"/>
      <c r="M13" s="341"/>
      <c r="N13" s="425" t="s">
        <v>160</v>
      </c>
      <c r="O13" s="425" t="s">
        <v>160</v>
      </c>
      <c r="P13" s="425" t="s">
        <v>160</v>
      </c>
      <c r="Q13" s="43"/>
      <c r="R13" s="354" t="s">
        <v>160</v>
      </c>
      <c r="S13" s="349"/>
      <c r="T13" s="425" t="s">
        <v>160</v>
      </c>
      <c r="U13" s="425" t="s">
        <v>160</v>
      </c>
      <c r="V13" s="425" t="s">
        <v>160</v>
      </c>
      <c r="W13" s="43"/>
      <c r="X13" s="354" t="s">
        <v>160</v>
      </c>
      <c r="Y13" s="354" t="s">
        <v>160</v>
      </c>
    </row>
    <row r="14" spans="1:27" ht="8" customHeight="1">
      <c r="H14" s="352"/>
      <c r="I14" s="352"/>
      <c r="J14" s="346"/>
      <c r="K14" s="353"/>
      <c r="L14" s="122"/>
      <c r="M14" s="122"/>
      <c r="N14" s="122"/>
      <c r="O14" s="122"/>
      <c r="P14" s="122"/>
      <c r="Q14" s="43"/>
      <c r="R14" s="122"/>
      <c r="S14" s="349"/>
      <c r="T14" s="122"/>
      <c r="U14" s="122"/>
      <c r="V14" s="122"/>
      <c r="W14" s="43"/>
      <c r="X14" s="122"/>
      <c r="Y14" s="122"/>
    </row>
    <row r="15" spans="1:27" s="341" customFormat="1" ht="44" customHeight="1">
      <c r="E15" s="334"/>
      <c r="H15" s="355"/>
      <c r="I15" s="355"/>
      <c r="J15" s="356"/>
      <c r="K15" s="357"/>
      <c r="L15" s="358"/>
      <c r="M15" s="357"/>
      <c r="N15" s="426" t="s">
        <v>181</v>
      </c>
      <c r="O15" s="426" t="s">
        <v>181</v>
      </c>
      <c r="P15" s="426" t="s">
        <v>181</v>
      </c>
      <c r="Q15" s="43"/>
      <c r="R15" s="359" t="s">
        <v>181</v>
      </c>
      <c r="S15" s="349"/>
      <c r="T15" s="426" t="s">
        <v>181</v>
      </c>
      <c r="U15" s="426" t="s">
        <v>181</v>
      </c>
      <c r="V15" s="426" t="s">
        <v>181</v>
      </c>
      <c r="W15" s="43"/>
      <c r="X15" s="359" t="s">
        <v>181</v>
      </c>
      <c r="Y15" s="359" t="s">
        <v>181</v>
      </c>
      <c r="Z15" s="334"/>
      <c r="AA15" s="360"/>
    </row>
    <row r="16" spans="1:27" hidden="1">
      <c r="F16" s="361"/>
      <c r="G16" s="361"/>
      <c r="H16" s="361"/>
      <c r="I16" s="361"/>
      <c r="J16" s="361"/>
      <c r="K16" s="362"/>
      <c r="L16" s="363"/>
      <c r="M16" s="364" t="s">
        <v>251</v>
      </c>
      <c r="N16" s="365" t="str">
        <f>IF(N17=0,"Selecteer cel",CONCATENATE(N13," Dienstjaar ",N15))</f>
        <v>Selecteer cel</v>
      </c>
      <c r="O16" s="365" t="str">
        <f>IF(O17=0,"Selecteer cel",CONCATENATE(O13," Dienstjaar ",O15))</f>
        <v>Selecteer cel</v>
      </c>
      <c r="P16" s="365" t="str">
        <f>IF(P17=0,"Selecteer cel",CONCATENATE(P13," Dienstjaar ",P15))</f>
        <v>Selecteer cel</v>
      </c>
      <c r="Q16" s="43"/>
      <c r="R16" s="365" t="str">
        <f>IF(R17=0,"Selecteer cel",CONCATENATE(R13," Dienstjaar ",R15))</f>
        <v>Selecteer cel</v>
      </c>
      <c r="S16" s="364" t="s">
        <v>250</v>
      </c>
      <c r="T16" s="365" t="str">
        <f>IF(T17=0,"Selecteer cel",CONCATENATE(T13," Dienstjaar ",T15))</f>
        <v>Selecteer cel</v>
      </c>
      <c r="U16" s="365" t="str">
        <f>IF(U17=0,"Selecteer cel",CONCATENATE(U13," Dienstjaar ",U15))</f>
        <v>Selecteer cel</v>
      </c>
      <c r="V16" s="365" t="str">
        <f>IF(V17=0,"Selecteer cel",CONCATENATE(V13," Dienstjaar ",V15))</f>
        <v>Selecteer cel</v>
      </c>
      <c r="W16" s="364" t="s">
        <v>256</v>
      </c>
      <c r="X16" s="365" t="str">
        <f>IF(X17=0,"Selecteer cel",CONCATENATE(X13," Dienstjaar ",X15))</f>
        <v>Selecteer cel</v>
      </c>
      <c r="Y16" s="365" t="str">
        <f>IF(Y17=0,"Selecteer cel",CONCATENATE(Y13," Dienstjaar ",Y15))</f>
        <v>Selecteer cel</v>
      </c>
      <c r="AA16" s="366"/>
    </row>
    <row r="17" spans="5:25" ht="17">
      <c r="E17" s="367" t="s">
        <v>330</v>
      </c>
      <c r="G17" s="368" t="s">
        <v>255</v>
      </c>
      <c r="H17" s="369"/>
      <c r="I17" s="346"/>
      <c r="J17" s="370"/>
      <c r="K17" s="358"/>
      <c r="L17" s="371"/>
      <c r="M17" s="150"/>
      <c r="N17" s="484"/>
      <c r="O17" s="484"/>
      <c r="P17" s="484"/>
      <c r="Q17" s="43"/>
      <c r="R17" s="44"/>
      <c r="S17" s="372"/>
      <c r="T17" s="484"/>
      <c r="U17" s="484"/>
      <c r="V17" s="484"/>
      <c r="W17" s="43"/>
      <c r="X17" s="42"/>
      <c r="Y17" s="42"/>
    </row>
    <row r="18" spans="5:25" hidden="1">
      <c r="G18" s="373">
        <f>IF(F18="x",F82,0)</f>
        <v>0</v>
      </c>
      <c r="H18" s="369"/>
      <c r="I18" s="346"/>
      <c r="J18" s="370"/>
      <c r="K18" s="358"/>
      <c r="L18" s="374"/>
      <c r="M18" s="122"/>
      <c r="N18" s="122">
        <v>0</v>
      </c>
      <c r="O18" s="122"/>
      <c r="P18" s="122"/>
      <c r="Q18" s="43"/>
      <c r="R18" s="122"/>
      <c r="S18" s="122"/>
      <c r="T18" s="122"/>
      <c r="U18" s="122"/>
      <c r="V18" s="122"/>
      <c r="W18" s="122"/>
      <c r="X18" s="122"/>
      <c r="Y18" s="122"/>
    </row>
    <row r="19" spans="5:25">
      <c r="E19" s="696" t="s">
        <v>482</v>
      </c>
      <c r="F19" s="697"/>
      <c r="G19" s="488"/>
      <c r="H19" s="375"/>
      <c r="I19" s="346"/>
      <c r="J19" s="370"/>
      <c r="K19" s="358"/>
      <c r="L19" s="371"/>
      <c r="M19" s="122"/>
      <c r="N19" s="122"/>
      <c r="O19" s="122"/>
      <c r="P19" s="122"/>
      <c r="Q19" s="43"/>
      <c r="R19" s="122"/>
      <c r="S19" s="122"/>
      <c r="T19" s="122"/>
      <c r="U19" s="122"/>
      <c r="V19" s="122"/>
      <c r="W19" s="122"/>
      <c r="X19" s="122"/>
      <c r="Y19" s="122"/>
    </row>
    <row r="20" spans="5:25" ht="16">
      <c r="E20" s="698" t="s">
        <v>252</v>
      </c>
      <c r="F20" s="699"/>
      <c r="G20" s="488"/>
      <c r="H20" s="369"/>
      <c r="I20" s="346"/>
      <c r="J20" s="370"/>
      <c r="K20" s="353"/>
      <c r="L20" s="353"/>
      <c r="M20" s="377" t="s">
        <v>158</v>
      </c>
      <c r="N20" s="353"/>
      <c r="O20" s="353"/>
      <c r="P20" s="353"/>
      <c r="Q20" s="43"/>
      <c r="R20" s="353"/>
      <c r="S20" s="349"/>
      <c r="T20" s="378"/>
      <c r="U20" s="353"/>
      <c r="V20" s="353"/>
      <c r="W20" s="43"/>
      <c r="X20" s="353"/>
      <c r="Y20" s="353"/>
    </row>
    <row r="21" spans="5:25" ht="16">
      <c r="E21" s="700" t="s">
        <v>253</v>
      </c>
      <c r="F21" s="699"/>
      <c r="G21" s="488"/>
      <c r="H21" s="369" t="s">
        <v>339</v>
      </c>
      <c r="I21" s="346"/>
      <c r="J21" s="370"/>
      <c r="K21" s="122"/>
      <c r="L21" s="379" t="s">
        <v>177</v>
      </c>
      <c r="M21" s="377"/>
      <c r="N21" s="484"/>
      <c r="O21" s="484"/>
      <c r="P21" s="484"/>
      <c r="Q21" s="43"/>
      <c r="R21" s="44">
        <v>0</v>
      </c>
      <c r="S21" s="349"/>
      <c r="T21" s="484"/>
      <c r="U21" s="484"/>
      <c r="V21" s="484"/>
      <c r="W21" s="43"/>
      <c r="X21" s="44">
        <v>0</v>
      </c>
      <c r="Y21" s="44">
        <v>0</v>
      </c>
    </row>
    <row r="22" spans="5:25" ht="16">
      <c r="E22" s="701"/>
      <c r="F22" s="702" t="s">
        <v>254</v>
      </c>
      <c r="G22" s="706">
        <f>SUM(G19:G21)</f>
        <v>0</v>
      </c>
      <c r="H22" s="369"/>
      <c r="I22" s="346"/>
      <c r="J22" s="370"/>
      <c r="K22" s="353"/>
      <c r="L22" s="380" t="s">
        <v>159</v>
      </c>
      <c r="M22" s="377"/>
      <c r="N22" s="484"/>
      <c r="O22" s="484"/>
      <c r="P22" s="484"/>
      <c r="Q22" s="43"/>
      <c r="R22" s="44">
        <v>0</v>
      </c>
      <c r="S22" s="349"/>
      <c r="T22" s="484"/>
      <c r="U22" s="484"/>
      <c r="V22" s="484"/>
      <c r="W22" s="43"/>
      <c r="X22" s="44">
        <v>0</v>
      </c>
      <c r="Y22" s="44">
        <v>0</v>
      </c>
    </row>
    <row r="23" spans="5:25" ht="16">
      <c r="E23" s="701"/>
      <c r="F23" s="703"/>
      <c r="G23" s="703"/>
      <c r="H23" s="375"/>
      <c r="I23" s="381"/>
      <c r="J23" s="370"/>
      <c r="K23" s="353"/>
      <c r="L23" s="371" t="s">
        <v>212</v>
      </c>
      <c r="M23" s="377"/>
      <c r="N23" s="484"/>
      <c r="O23" s="484"/>
      <c r="P23" s="484"/>
      <c r="Q23" s="43"/>
      <c r="R23" s="44">
        <v>0</v>
      </c>
      <c r="S23" s="349"/>
      <c r="T23" s="484"/>
      <c r="U23" s="484"/>
      <c r="V23" s="484"/>
      <c r="W23" s="43"/>
      <c r="X23" s="44">
        <v>0</v>
      </c>
      <c r="Y23" s="44">
        <v>0</v>
      </c>
    </row>
    <row r="24" spans="5:25" ht="19" customHeight="1">
      <c r="E24" s="704"/>
      <c r="F24" s="699"/>
      <c r="G24" s="699"/>
      <c r="I24" s="346"/>
      <c r="J24" s="370"/>
      <c r="K24" s="353"/>
      <c r="L24" s="380" t="s">
        <v>119</v>
      </c>
      <c r="M24" s="782">
        <v>0.05</v>
      </c>
      <c r="N24" s="382">
        <f>N17*$M$24</f>
        <v>0</v>
      </c>
      <c r="O24" s="382">
        <f>O17*$M$24</f>
        <v>0</v>
      </c>
      <c r="P24" s="382">
        <f>P17*$M$24</f>
        <v>0</v>
      </c>
      <c r="Q24" s="43"/>
      <c r="R24" s="382">
        <f>R17*$M$24</f>
        <v>0</v>
      </c>
      <c r="S24" s="349"/>
      <c r="T24" s="382">
        <f>T17*$M$24</f>
        <v>0</v>
      </c>
      <c r="U24" s="382">
        <f>U17*$M$24</f>
        <v>0</v>
      </c>
      <c r="V24" s="382">
        <f>V17*$M$24</f>
        <v>0</v>
      </c>
      <c r="W24" s="43"/>
      <c r="X24" s="382">
        <f>X17*$M$24</f>
        <v>0</v>
      </c>
      <c r="Y24" s="382">
        <f>Y17*$M$24</f>
        <v>0</v>
      </c>
    </row>
    <row r="25" spans="5:25" ht="18" customHeight="1">
      <c r="E25" s="700" t="s">
        <v>483</v>
      </c>
      <c r="F25" s="703"/>
      <c r="G25" s="488"/>
      <c r="H25" s="369"/>
      <c r="I25" s="346"/>
      <c r="J25" s="370"/>
      <c r="K25" s="353"/>
      <c r="L25" s="380"/>
      <c r="M25" s="383"/>
      <c r="N25" s="384"/>
      <c r="O25" s="384"/>
      <c r="P25" s="384"/>
      <c r="Q25" s="43"/>
      <c r="R25" s="353"/>
      <c r="S25" s="353"/>
      <c r="T25" s="353"/>
      <c r="U25" s="353"/>
      <c r="V25" s="353"/>
      <c r="W25" s="43"/>
      <c r="X25" s="353"/>
      <c r="Y25" s="353"/>
    </row>
    <row r="26" spans="5:25">
      <c r="E26" s="704" t="s">
        <v>278</v>
      </c>
      <c r="F26" s="699"/>
      <c r="G26" s="488"/>
      <c r="H26" s="369"/>
      <c r="I26" s="346"/>
      <c r="J26" s="370"/>
      <c r="K26" s="370"/>
      <c r="L26" s="380"/>
      <c r="M26" s="383"/>
      <c r="N26" s="353"/>
      <c r="O26" s="353"/>
      <c r="P26" s="353"/>
      <c r="Q26" s="43"/>
      <c r="R26" s="353"/>
      <c r="S26" s="353"/>
      <c r="T26" s="353"/>
      <c r="U26" s="353"/>
      <c r="V26" s="353"/>
      <c r="W26" s="43"/>
      <c r="X26" s="353"/>
      <c r="Y26" s="353"/>
    </row>
    <row r="27" spans="5:25">
      <c r="E27" s="704" t="s">
        <v>484</v>
      </c>
      <c r="F27" s="699"/>
      <c r="G27" s="488"/>
      <c r="H27" s="369"/>
      <c r="I27" s="346"/>
      <c r="J27" s="370"/>
      <c r="K27" s="353"/>
      <c r="L27" s="370" t="s">
        <v>22</v>
      </c>
      <c r="M27" s="377"/>
      <c r="N27" s="385">
        <f>SUM(N17:N25)</f>
        <v>0</v>
      </c>
      <c r="O27" s="385">
        <f>SUM(O17:O25)</f>
        <v>0</v>
      </c>
      <c r="P27" s="385">
        <f>SUM(P17:P25)</f>
        <v>0</v>
      </c>
      <c r="Q27" s="43"/>
      <c r="R27" s="385">
        <f>SUM(R17:R25)</f>
        <v>0</v>
      </c>
      <c r="S27" s="385"/>
      <c r="T27" s="385">
        <f>SUM(T17:T25)</f>
        <v>0</v>
      </c>
      <c r="U27" s="385">
        <f>SUM(U17:U25)</f>
        <v>0</v>
      </c>
      <c r="V27" s="385">
        <f>SUM(V17:V25)</f>
        <v>0</v>
      </c>
      <c r="W27" s="43"/>
      <c r="X27" s="385">
        <f>SUM(X17:X25)</f>
        <v>0</v>
      </c>
      <c r="Y27" s="385">
        <f>SUM(Y17:Y25)</f>
        <v>0</v>
      </c>
    </row>
    <row r="28" spans="5:25">
      <c r="E28" s="698" t="s">
        <v>140</v>
      </c>
      <c r="F28" s="699"/>
      <c r="G28" s="706">
        <f>G43</f>
        <v>0</v>
      </c>
      <c r="H28" s="369"/>
      <c r="I28" s="346"/>
      <c r="J28" s="370"/>
      <c r="K28" s="353"/>
      <c r="L28" s="122"/>
      <c r="M28" s="386"/>
      <c r="N28" s="353"/>
      <c r="O28" s="353"/>
      <c r="P28" s="353"/>
      <c r="Q28" s="43"/>
      <c r="R28" s="353"/>
      <c r="S28" s="353"/>
      <c r="T28" s="353"/>
      <c r="U28" s="353"/>
      <c r="V28" s="353"/>
      <c r="W28" s="43"/>
      <c r="X28" s="353"/>
      <c r="Y28" s="353"/>
    </row>
    <row r="29" spans="5:25">
      <c r="E29" s="698" t="s">
        <v>73</v>
      </c>
      <c r="F29" s="699"/>
      <c r="G29" s="488"/>
      <c r="H29" s="369"/>
      <c r="I29" s="346"/>
      <c r="J29" s="370"/>
      <c r="K29" s="353"/>
      <c r="L29" s="380" t="s">
        <v>1</v>
      </c>
      <c r="M29" s="782">
        <v>0.08</v>
      </c>
      <c r="N29" s="382">
        <f>N27*$M$29</f>
        <v>0</v>
      </c>
      <c r="O29" s="382">
        <f>O27*$M$29</f>
        <v>0</v>
      </c>
      <c r="P29" s="382">
        <f>P27*$M$29</f>
        <v>0</v>
      </c>
      <c r="Q29" s="43"/>
      <c r="R29" s="382">
        <f>R27*$M$29</f>
        <v>0</v>
      </c>
      <c r="S29" s="382"/>
      <c r="T29" s="382">
        <f>T27*$M$29</f>
        <v>0</v>
      </c>
      <c r="U29" s="382">
        <f>U27*$M$29</f>
        <v>0</v>
      </c>
      <c r="V29" s="382">
        <f>V27*$M$29</f>
        <v>0</v>
      </c>
      <c r="W29" s="43"/>
      <c r="X29" s="382">
        <f>X27*$M$29</f>
        <v>0</v>
      </c>
      <c r="Y29" s="382">
        <f>Y27*$M$29</f>
        <v>0</v>
      </c>
    </row>
    <row r="30" spans="5:25">
      <c r="E30" s="698" t="s">
        <v>86</v>
      </c>
      <c r="F30" s="699"/>
      <c r="G30" s="488"/>
      <c r="H30" s="369"/>
      <c r="I30" s="346"/>
      <c r="J30" s="370"/>
      <c r="K30" s="353"/>
      <c r="L30" s="122"/>
      <c r="M30" s="386"/>
      <c r="N30" s="353"/>
      <c r="O30" s="353"/>
      <c r="P30" s="353"/>
      <c r="Q30" s="43"/>
      <c r="R30" s="353"/>
      <c r="S30" s="353"/>
      <c r="T30" s="353"/>
      <c r="U30" s="353"/>
      <c r="V30" s="353"/>
      <c r="W30" s="43"/>
      <c r="X30" s="353"/>
      <c r="Y30" s="353"/>
    </row>
    <row r="31" spans="5:25">
      <c r="E31" s="376"/>
      <c r="F31" s="376"/>
      <c r="G31" s="376"/>
      <c r="H31" s="369"/>
      <c r="I31" s="346"/>
      <c r="J31" s="370"/>
      <c r="K31" s="353"/>
      <c r="L31" s="370" t="s">
        <v>52</v>
      </c>
      <c r="M31" s="377"/>
      <c r="N31" s="385">
        <f>SUM(N27:N29)</f>
        <v>0</v>
      </c>
      <c r="O31" s="385">
        <f>SUM(O27:O29)</f>
        <v>0</v>
      </c>
      <c r="P31" s="385">
        <f>SUM(P27:P29)</f>
        <v>0</v>
      </c>
      <c r="Q31" s="43"/>
      <c r="R31" s="385">
        <f>SUM(R27:R29)</f>
        <v>0</v>
      </c>
      <c r="S31" s="385"/>
      <c r="T31" s="385">
        <f>SUM(T27:T29)</f>
        <v>0</v>
      </c>
      <c r="U31" s="385">
        <f>SUM(U27:U29)</f>
        <v>0</v>
      </c>
      <c r="V31" s="385">
        <f>SUM(V27:V29)</f>
        <v>0</v>
      </c>
      <c r="W31" s="43"/>
      <c r="X31" s="385">
        <f>SUM(X27:X29)</f>
        <v>0</v>
      </c>
      <c r="Y31" s="385">
        <f>SUM(Y27:Y29)</f>
        <v>0</v>
      </c>
    </row>
    <row r="32" spans="5:25">
      <c r="E32" s="376"/>
      <c r="G32" s="387"/>
      <c r="H32" s="369" t="s">
        <v>339</v>
      </c>
      <c r="I32" s="346"/>
      <c r="J32" s="370"/>
      <c r="K32" s="353"/>
      <c r="L32" s="122"/>
      <c r="M32" s="386"/>
      <c r="N32" s="353"/>
      <c r="O32" s="353"/>
      <c r="P32" s="353"/>
      <c r="Q32" s="43"/>
      <c r="R32" s="353"/>
      <c r="S32" s="353"/>
      <c r="T32" s="353"/>
      <c r="U32" s="353"/>
      <c r="V32" s="353"/>
      <c r="W32" s="43"/>
      <c r="X32" s="353"/>
      <c r="Y32" s="353"/>
    </row>
    <row r="33" spans="5:25">
      <c r="E33" s="370"/>
      <c r="F33" s="370" t="s">
        <v>211</v>
      </c>
      <c r="G33" s="707">
        <f>SUM(G22:G32)</f>
        <v>0</v>
      </c>
      <c r="H33" s="369"/>
      <c r="I33" s="346"/>
      <c r="J33" s="370"/>
      <c r="K33" s="353"/>
      <c r="L33" s="388" t="s">
        <v>112</v>
      </c>
      <c r="M33" s="377"/>
      <c r="N33" s="389">
        <f>N31*0.995</f>
        <v>0</v>
      </c>
      <c r="O33" s="389">
        <f>O31*0.995</f>
        <v>0</v>
      </c>
      <c r="P33" s="389">
        <f>P31*0.995</f>
        <v>0</v>
      </c>
      <c r="Q33" s="43"/>
      <c r="R33" s="389">
        <f>R31*0.995</f>
        <v>0</v>
      </c>
      <c r="S33" s="389"/>
      <c r="T33" s="389">
        <f>T31*0.995</f>
        <v>0</v>
      </c>
      <c r="U33" s="389">
        <f>U31*0.995</f>
        <v>0</v>
      </c>
      <c r="V33" s="389">
        <f>V31*0.995</f>
        <v>0</v>
      </c>
      <c r="W33" s="43"/>
      <c r="X33" s="389">
        <f>X31*0.995</f>
        <v>0</v>
      </c>
      <c r="Y33" s="389">
        <f>Y31*0.995</f>
        <v>0</v>
      </c>
    </row>
    <row r="34" spans="5:25">
      <c r="H34" s="375"/>
      <c r="I34" s="346"/>
      <c r="J34" s="370"/>
      <c r="K34" s="353"/>
      <c r="L34" s="380" t="s">
        <v>102</v>
      </c>
      <c r="M34" s="642">
        <f>G33</f>
        <v>0</v>
      </c>
      <c r="N34" s="382">
        <f>IF(N33=0,0,N33*'1.4-Opbouw uurtarieven'!$G$33)</f>
        <v>0</v>
      </c>
      <c r="O34" s="382">
        <f>IF(O33=0,0,O33*'1.4-Opbouw uurtarieven'!$G$33)</f>
        <v>0</v>
      </c>
      <c r="P34" s="382">
        <f>IF(P33=0,0,P33*'1.4-Opbouw uurtarieven'!$G$33)</f>
        <v>0</v>
      </c>
      <c r="Q34" s="43"/>
      <c r="R34" s="382">
        <f>IF(R33=0,0,R33*'1.4-Opbouw uurtarieven'!$G$33)</f>
        <v>0</v>
      </c>
      <c r="S34" s="382"/>
      <c r="T34" s="382">
        <f>IF(T33=0,0,T33*'1.4-Opbouw uurtarieven'!$G$33)</f>
        <v>0</v>
      </c>
      <c r="U34" s="382">
        <f>IF(U33=0,0,U33*'1.4-Opbouw uurtarieven'!$G$33)</f>
        <v>0</v>
      </c>
      <c r="V34" s="382">
        <f>IF(V33=0,0,V33*'1.4-Opbouw uurtarieven'!$G$33)</f>
        <v>0</v>
      </c>
      <c r="W34" s="43"/>
      <c r="X34" s="382">
        <f>IF(X33=0,0,X33*'1.4-Opbouw uurtarieven'!$G$33)</f>
        <v>0</v>
      </c>
      <c r="Y34" s="382">
        <f>IF(Y33=0,0,Y33*'1.4-Opbouw uurtarieven'!$G$33)</f>
        <v>0</v>
      </c>
    </row>
    <row r="35" spans="5:25" ht="17">
      <c r="E35" s="367" t="s">
        <v>331</v>
      </c>
      <c r="F35" s="352"/>
      <c r="G35" s="390"/>
      <c r="H35" s="369"/>
      <c r="I35" s="346"/>
      <c r="J35" s="370"/>
      <c r="K35" s="353"/>
      <c r="L35" s="122"/>
      <c r="M35" s="391"/>
      <c r="N35" s="353"/>
      <c r="O35" s="353"/>
      <c r="P35" s="353"/>
      <c r="Q35" s="43"/>
      <c r="R35" s="353"/>
      <c r="S35" s="353"/>
      <c r="T35" s="353"/>
      <c r="U35" s="353"/>
      <c r="V35" s="353"/>
      <c r="W35" s="43"/>
      <c r="X35" s="353"/>
      <c r="Y35" s="353"/>
    </row>
    <row r="36" spans="5:25">
      <c r="E36" s="369"/>
      <c r="F36" s="369"/>
      <c r="G36" s="392"/>
      <c r="H36" s="369"/>
      <c r="I36" s="346"/>
      <c r="J36" s="370"/>
      <c r="K36" s="353"/>
      <c r="L36" s="370" t="s">
        <v>2</v>
      </c>
      <c r="M36" s="393"/>
      <c r="N36" s="385">
        <f>N34+N31</f>
        <v>0</v>
      </c>
      <c r="O36" s="385">
        <f>O34+O31</f>
        <v>0</v>
      </c>
      <c r="P36" s="385">
        <f>P34+P31</f>
        <v>0</v>
      </c>
      <c r="Q36" s="43"/>
      <c r="R36" s="385">
        <f>R34+R31</f>
        <v>0</v>
      </c>
      <c r="S36" s="385"/>
      <c r="T36" s="385">
        <f>T34+T31</f>
        <v>0</v>
      </c>
      <c r="U36" s="385">
        <f>U34+U31</f>
        <v>0</v>
      </c>
      <c r="V36" s="385">
        <f>V34+V31</f>
        <v>0</v>
      </c>
      <c r="W36" s="43"/>
      <c r="X36" s="385">
        <f>X34+X31</f>
        <v>0</v>
      </c>
      <c r="Y36" s="385">
        <f>Y34+Y31</f>
        <v>0</v>
      </c>
    </row>
    <row r="37" spans="5:25">
      <c r="E37" s="369"/>
      <c r="F37" s="369"/>
      <c r="G37" s="368" t="s">
        <v>74</v>
      </c>
      <c r="H37" s="369"/>
      <c r="I37" s="346"/>
      <c r="J37" s="370"/>
      <c r="K37" s="353"/>
      <c r="L37" s="122"/>
      <c r="M37" s="391"/>
      <c r="N37" s="353"/>
      <c r="O37" s="353"/>
      <c r="P37" s="353"/>
      <c r="Q37" s="43"/>
      <c r="R37" s="353"/>
      <c r="S37" s="353"/>
      <c r="T37" s="353"/>
      <c r="U37" s="353"/>
      <c r="V37" s="353"/>
      <c r="W37" s="43"/>
      <c r="X37" s="353"/>
      <c r="Y37" s="353"/>
    </row>
    <row r="38" spans="5:25">
      <c r="E38" s="334" t="s">
        <v>75</v>
      </c>
      <c r="G38" s="534">
        <f>O78</f>
        <v>0</v>
      </c>
      <c r="H38" s="369"/>
      <c r="I38" s="346"/>
      <c r="J38" s="370"/>
      <c r="K38" s="353"/>
      <c r="L38" s="380" t="s">
        <v>3</v>
      </c>
      <c r="M38" s="642">
        <f>$G$63</f>
        <v>0</v>
      </c>
      <c r="N38" s="382">
        <f>N36*'1.4-Opbouw uurtarieven'!$G$63</f>
        <v>0</v>
      </c>
      <c r="O38" s="382">
        <f>O36*'1.4-Opbouw uurtarieven'!$G$63</f>
        <v>0</v>
      </c>
      <c r="P38" s="382">
        <f>P36*'1.4-Opbouw uurtarieven'!$G$63</f>
        <v>0</v>
      </c>
      <c r="Q38" s="43"/>
      <c r="R38" s="382">
        <f>R36*'1.4-Opbouw uurtarieven'!$G$63</f>
        <v>0</v>
      </c>
      <c r="S38" s="382"/>
      <c r="T38" s="382">
        <f>T36*'1.4-Opbouw uurtarieven'!$G$63</f>
        <v>0</v>
      </c>
      <c r="U38" s="382">
        <f>U36*'1.4-Opbouw uurtarieven'!$G$63</f>
        <v>0</v>
      </c>
      <c r="V38" s="382">
        <f>V36*'1.4-Opbouw uurtarieven'!$G$63</f>
        <v>0</v>
      </c>
      <c r="W38" s="43"/>
      <c r="X38" s="382">
        <f>X36*'1.4-Opbouw uurtarieven'!$G$63</f>
        <v>0</v>
      </c>
      <c r="Y38" s="382">
        <f>Y36*'1.4-Opbouw uurtarieven'!$G$63</f>
        <v>0</v>
      </c>
    </row>
    <row r="39" spans="5:25">
      <c r="E39" s="334" t="s">
        <v>64</v>
      </c>
      <c r="F39" s="394"/>
      <c r="G39" s="780"/>
      <c r="H39" s="536" t="s">
        <v>338</v>
      </c>
      <c r="I39" s="395"/>
      <c r="J39" s="370"/>
      <c r="K39" s="353"/>
      <c r="L39" s="370" t="s">
        <v>45</v>
      </c>
      <c r="M39" s="377"/>
      <c r="N39" s="385">
        <f>SUM(N36:N38)</f>
        <v>0</v>
      </c>
      <c r="O39" s="385">
        <f>SUM(O36:O38)</f>
        <v>0</v>
      </c>
      <c r="P39" s="385">
        <f>SUM(P36:P38)</f>
        <v>0</v>
      </c>
      <c r="Q39" s="43"/>
      <c r="R39" s="385">
        <f>SUM(R36:R38)</f>
        <v>0</v>
      </c>
      <c r="S39" s="385"/>
      <c r="T39" s="385">
        <f>SUM(T36:T38)</f>
        <v>0</v>
      </c>
      <c r="U39" s="385">
        <f>SUM(U36:U38)</f>
        <v>0</v>
      </c>
      <c r="V39" s="385">
        <f>SUM(V36:V38)</f>
        <v>0</v>
      </c>
      <c r="W39" s="43"/>
      <c r="X39" s="385">
        <f>SUM(X36:X38)</f>
        <v>0</v>
      </c>
      <c r="Y39" s="385">
        <f>SUM(Y36:Y38)</f>
        <v>0</v>
      </c>
    </row>
    <row r="40" spans="5:25">
      <c r="E40" s="334" t="s">
        <v>19</v>
      </c>
      <c r="G40" s="535">
        <f>G38-G39</f>
        <v>0</v>
      </c>
      <c r="H40" s="369"/>
      <c r="I40" s="346"/>
      <c r="J40" s="396"/>
      <c r="K40" s="353"/>
      <c r="L40" s="122"/>
      <c r="M40" s="386"/>
      <c r="N40" s="353"/>
      <c r="O40" s="353"/>
      <c r="P40" s="353"/>
      <c r="Q40" s="43"/>
      <c r="R40" s="353"/>
      <c r="S40" s="385"/>
      <c r="T40" s="353"/>
      <c r="U40" s="353"/>
      <c r="V40" s="353"/>
      <c r="W40" s="43"/>
      <c r="X40" s="353"/>
      <c r="Y40" s="353"/>
    </row>
    <row r="41" spans="5:25">
      <c r="E41" s="376" t="s">
        <v>20</v>
      </c>
      <c r="G41" s="781"/>
      <c r="H41" s="345"/>
      <c r="I41" s="345"/>
      <c r="J41" s="370"/>
      <c r="K41" s="353"/>
      <c r="L41" s="380" t="s">
        <v>89</v>
      </c>
      <c r="M41" s="377"/>
      <c r="N41" s="484"/>
      <c r="O41" s="484"/>
      <c r="P41" s="484"/>
      <c r="Q41" s="43"/>
      <c r="R41" s="44"/>
      <c r="S41" s="385"/>
      <c r="T41" s="353"/>
      <c r="U41" s="353"/>
      <c r="V41" s="353"/>
      <c r="W41" s="43"/>
      <c r="X41" s="353"/>
      <c r="Y41" s="353"/>
    </row>
    <row r="42" spans="5:25">
      <c r="E42" s="369"/>
      <c r="G42" s="392"/>
      <c r="H42" s="345"/>
      <c r="I42" s="345"/>
      <c r="J42" s="370"/>
      <c r="K42" s="353"/>
      <c r="L42" s="380" t="s">
        <v>16</v>
      </c>
      <c r="M42" s="377"/>
      <c r="N42" s="484"/>
      <c r="O42" s="484"/>
      <c r="P42" s="484"/>
      <c r="Q42" s="43"/>
      <c r="R42" s="44"/>
      <c r="S42" s="385"/>
      <c r="T42" s="484"/>
      <c r="U42" s="484"/>
      <c r="V42" s="484"/>
      <c r="W42" s="43"/>
      <c r="X42" s="44"/>
      <c r="Y42" s="44"/>
    </row>
    <row r="43" spans="5:25">
      <c r="E43" s="370"/>
      <c r="F43" s="427" t="s">
        <v>65</v>
      </c>
      <c r="G43" s="688">
        <f>IF(G38=0,0,(G40/G38)*G41)</f>
        <v>0</v>
      </c>
      <c r="H43" s="345"/>
      <c r="I43" s="397">
        <f>IF(I38=0,0,(I40/I38)*I41)</f>
        <v>0</v>
      </c>
      <c r="J43" s="370"/>
      <c r="K43" s="353"/>
      <c r="L43" s="122"/>
      <c r="M43" s="386"/>
      <c r="N43" s="353"/>
      <c r="O43" s="353"/>
      <c r="P43" s="353"/>
      <c r="Q43" s="43"/>
      <c r="R43" s="353"/>
      <c r="S43" s="385"/>
      <c r="T43" s="353"/>
      <c r="U43" s="353"/>
      <c r="V43" s="353"/>
      <c r="W43" s="43"/>
      <c r="X43" s="353"/>
      <c r="Y43" s="353"/>
    </row>
    <row r="44" spans="5:25">
      <c r="E44" s="398"/>
      <c r="G44" s="399"/>
      <c r="H44" s="345"/>
      <c r="I44" s="345"/>
      <c r="J44" s="346"/>
      <c r="K44" s="353"/>
      <c r="L44" s="370" t="s">
        <v>90</v>
      </c>
      <c r="M44" s="377"/>
      <c r="N44" s="385">
        <f>SUM(N39:N42)</f>
        <v>0</v>
      </c>
      <c r="O44" s="385">
        <f>SUM(O39:O42)</f>
        <v>0</v>
      </c>
      <c r="P44" s="385">
        <f>SUM(P39:P42)</f>
        <v>0</v>
      </c>
      <c r="Q44" s="43"/>
      <c r="R44" s="385">
        <f>SUM(R39:R42)</f>
        <v>0</v>
      </c>
      <c r="S44" s="385"/>
      <c r="T44" s="385">
        <f>SUM(T39:T42)</f>
        <v>0</v>
      </c>
      <c r="U44" s="385">
        <f>SUM(U39:U42)</f>
        <v>0</v>
      </c>
      <c r="V44" s="385">
        <f>SUM(V39:V42)</f>
        <v>0</v>
      </c>
      <c r="W44" s="43"/>
      <c r="X44" s="385">
        <f>SUM(X39:X42)</f>
        <v>0</v>
      </c>
      <c r="Y44" s="385">
        <f>SUM(Y39:Y42)</f>
        <v>0</v>
      </c>
    </row>
    <row r="45" spans="5:25">
      <c r="J45" s="339"/>
      <c r="K45" s="353"/>
      <c r="L45" s="122"/>
      <c r="M45" s="386"/>
      <c r="N45" s="353"/>
      <c r="O45" s="353"/>
      <c r="P45" s="353"/>
      <c r="Q45" s="43"/>
      <c r="R45" s="353"/>
      <c r="S45" s="385"/>
      <c r="T45" s="353"/>
      <c r="U45" s="353"/>
      <c r="V45" s="353"/>
      <c r="W45" s="43"/>
      <c r="X45" s="353"/>
      <c r="Y45" s="353"/>
    </row>
    <row r="46" spans="5:25" ht="17">
      <c r="F46" s="400"/>
      <c r="G46" s="401"/>
      <c r="H46" s="345"/>
      <c r="J46" s="339"/>
      <c r="K46" s="353"/>
      <c r="L46" s="380" t="s">
        <v>97</v>
      </c>
      <c r="M46" s="402"/>
      <c r="N46" s="484"/>
      <c r="O46" s="484"/>
      <c r="P46" s="484"/>
      <c r="Q46" s="43"/>
      <c r="R46" s="44"/>
      <c r="S46" s="385"/>
      <c r="T46" s="484"/>
      <c r="U46" s="484"/>
      <c r="V46" s="484"/>
      <c r="W46" s="43"/>
      <c r="X46" s="44"/>
      <c r="Y46" s="44"/>
    </row>
    <row r="47" spans="5:25" ht="17">
      <c r="E47" s="367" t="s">
        <v>332</v>
      </c>
      <c r="G47" s="403"/>
      <c r="H47" s="345"/>
      <c r="J47" s="339"/>
      <c r="K47" s="353"/>
      <c r="L47" s="380" t="s">
        <v>81</v>
      </c>
      <c r="M47" s="402"/>
      <c r="N47" s="484"/>
      <c r="O47" s="484"/>
      <c r="P47" s="484"/>
      <c r="Q47" s="43"/>
      <c r="R47" s="44"/>
      <c r="S47" s="385"/>
      <c r="T47" s="484"/>
      <c r="U47" s="484"/>
      <c r="V47" s="484"/>
      <c r="W47" s="43"/>
      <c r="X47" s="44"/>
      <c r="Y47" s="44"/>
    </row>
    <row r="48" spans="5:25">
      <c r="E48" s="403"/>
      <c r="F48" s="346" t="s">
        <v>144</v>
      </c>
      <c r="G48" s="403"/>
      <c r="H48" s="345"/>
      <c r="J48" s="339"/>
      <c r="K48" s="353"/>
      <c r="L48" s="380" t="s">
        <v>55</v>
      </c>
      <c r="M48" s="402"/>
      <c r="N48" s="484"/>
      <c r="O48" s="484"/>
      <c r="P48" s="484"/>
      <c r="Q48" s="43"/>
      <c r="R48" s="44"/>
      <c r="S48" s="385"/>
      <c r="T48" s="484"/>
      <c r="U48" s="484"/>
      <c r="V48" s="484"/>
      <c r="W48" s="43"/>
      <c r="X48" s="44"/>
      <c r="Y48" s="44"/>
    </row>
    <row r="49" spans="5:25">
      <c r="E49" s="404" t="s">
        <v>9</v>
      </c>
      <c r="F49" s="522"/>
      <c r="G49" s="405"/>
      <c r="H49" s="406"/>
      <c r="J49" s="339"/>
      <c r="K49" s="353"/>
      <c r="L49" s="380" t="s">
        <v>56</v>
      </c>
      <c r="M49" s="402"/>
      <c r="N49" s="484"/>
      <c r="O49" s="484"/>
      <c r="P49" s="484"/>
      <c r="Q49" s="43"/>
      <c r="R49" s="44"/>
      <c r="S49" s="385"/>
      <c r="T49" s="484"/>
      <c r="U49" s="484"/>
      <c r="V49" s="484"/>
      <c r="W49" s="43"/>
      <c r="X49" s="44"/>
      <c r="Y49" s="44"/>
    </row>
    <row r="50" spans="5:25">
      <c r="E50" s="404" t="s">
        <v>10</v>
      </c>
      <c r="F50" s="537"/>
      <c r="G50" s="407"/>
      <c r="H50" s="408"/>
      <c r="J50" s="339"/>
      <c r="K50" s="353"/>
      <c r="L50" s="380" t="s">
        <v>7</v>
      </c>
      <c r="M50" s="402"/>
      <c r="N50" s="484"/>
      <c r="O50" s="484"/>
      <c r="P50" s="484"/>
      <c r="Q50" s="43"/>
      <c r="R50" s="44"/>
      <c r="S50" s="385"/>
      <c r="T50" s="484"/>
      <c r="U50" s="484"/>
      <c r="V50" s="484"/>
      <c r="W50" s="43"/>
      <c r="X50" s="44"/>
      <c r="Y50" s="44"/>
    </row>
    <row r="51" spans="5:25">
      <c r="E51" s="398" t="s">
        <v>11</v>
      </c>
      <c r="F51" s="409"/>
      <c r="G51" s="639">
        <f>F49-F50</f>
        <v>0</v>
      </c>
      <c r="H51" s="408"/>
      <c r="J51" s="339"/>
      <c r="K51" s="353"/>
      <c r="L51" s="380" t="s">
        <v>8</v>
      </c>
      <c r="M51" s="402"/>
      <c r="N51" s="484"/>
      <c r="O51" s="484"/>
      <c r="P51" s="484"/>
      <c r="Q51" s="43"/>
      <c r="R51" s="44"/>
      <c r="S51" s="385"/>
      <c r="T51" s="484"/>
      <c r="U51" s="484"/>
      <c r="V51" s="484"/>
      <c r="W51" s="43"/>
      <c r="X51" s="44"/>
      <c r="Y51" s="44"/>
    </row>
    <row r="52" spans="5:25">
      <c r="E52" s="398"/>
      <c r="F52" s="409"/>
      <c r="G52" s="410"/>
      <c r="H52" s="408"/>
      <c r="J52" s="339"/>
      <c r="K52" s="353"/>
      <c r="L52" s="380" t="s">
        <v>485</v>
      </c>
      <c r="M52" s="402"/>
      <c r="N52" s="484"/>
      <c r="O52" s="484"/>
      <c r="P52" s="484"/>
      <c r="Q52" s="43"/>
      <c r="R52" s="44"/>
      <c r="S52" s="385"/>
      <c r="T52" s="484"/>
      <c r="U52" s="484"/>
      <c r="V52" s="484"/>
      <c r="W52" s="43"/>
      <c r="X52" s="44"/>
      <c r="Y52" s="44"/>
    </row>
    <row r="53" spans="5:25">
      <c r="E53" s="404" t="s">
        <v>58</v>
      </c>
      <c r="F53" s="484"/>
      <c r="G53" s="411"/>
      <c r="H53" s="408"/>
      <c r="J53" s="339"/>
      <c r="K53" s="412"/>
      <c r="L53" s="380" t="s">
        <v>213</v>
      </c>
      <c r="M53" s="402"/>
      <c r="N53" s="484"/>
      <c r="O53" s="484"/>
      <c r="P53" s="484"/>
      <c r="Q53" s="43"/>
      <c r="R53" s="44"/>
      <c r="S53" s="385"/>
      <c r="T53" s="484"/>
      <c r="U53" s="484"/>
      <c r="V53" s="484"/>
      <c r="W53" s="43"/>
      <c r="X53" s="44"/>
      <c r="Y53" s="44"/>
    </row>
    <row r="54" spans="5:25">
      <c r="E54" s="404" t="s">
        <v>30</v>
      </c>
      <c r="F54" s="484"/>
      <c r="G54" s="411"/>
      <c r="H54" s="408"/>
      <c r="J54" s="339"/>
      <c r="K54" s="353"/>
      <c r="L54" s="122"/>
      <c r="M54" s="386"/>
      <c r="N54" s="353"/>
      <c r="O54" s="353"/>
      <c r="P54" s="353"/>
      <c r="Q54" s="43"/>
      <c r="R54" s="353"/>
      <c r="S54" s="385"/>
      <c r="T54" s="353"/>
      <c r="U54" s="353"/>
      <c r="V54" s="353"/>
      <c r="W54" s="43"/>
      <c r="X54" s="353"/>
      <c r="Y54" s="353"/>
    </row>
    <row r="55" spans="5:25">
      <c r="E55" s="404" t="s">
        <v>59</v>
      </c>
      <c r="F55" s="484"/>
      <c r="G55" s="413"/>
      <c r="H55" s="408"/>
      <c r="J55" s="339"/>
      <c r="K55" s="353"/>
      <c r="L55" s="370" t="s">
        <v>109</v>
      </c>
      <c r="M55" s="377"/>
      <c r="N55" s="385">
        <f>SUM(N44:N54)</f>
        <v>0</v>
      </c>
      <c r="O55" s="385">
        <f>SUM(O44:O54)</f>
        <v>0</v>
      </c>
      <c r="P55" s="385">
        <f>SUM(P44:P54)</f>
        <v>0</v>
      </c>
      <c r="Q55" s="43"/>
      <c r="R55" s="385">
        <f>SUM(R44:R54)</f>
        <v>0</v>
      </c>
      <c r="S55" s="385"/>
      <c r="T55" s="385">
        <f>SUM(T44:T54)</f>
        <v>0</v>
      </c>
      <c r="U55" s="385">
        <f>SUM(U44:U54)</f>
        <v>0</v>
      </c>
      <c r="V55" s="385">
        <f>SUM(V44:V54)</f>
        <v>0</v>
      </c>
      <c r="W55" s="43"/>
      <c r="X55" s="385">
        <f>SUM(X44:X54)</f>
        <v>0</v>
      </c>
      <c r="Y55" s="385">
        <f>SUM(Y44:Y54)</f>
        <v>0</v>
      </c>
    </row>
    <row r="56" spans="5:25">
      <c r="E56" s="404" t="s">
        <v>60</v>
      </c>
      <c r="F56" s="414"/>
      <c r="G56" s="413"/>
      <c r="H56" s="408"/>
      <c r="J56" s="339"/>
      <c r="K56" s="353"/>
      <c r="L56" s="122"/>
      <c r="M56" s="386"/>
      <c r="N56" s="353"/>
      <c r="O56" s="353"/>
      <c r="P56" s="353"/>
      <c r="Q56" s="43"/>
      <c r="R56" s="353"/>
      <c r="S56" s="385"/>
      <c r="T56" s="353"/>
      <c r="U56" s="353"/>
      <c r="V56" s="353"/>
      <c r="W56" s="43"/>
      <c r="X56" s="353"/>
      <c r="Y56" s="353"/>
    </row>
    <row r="57" spans="5:25">
      <c r="E57" s="398" t="s">
        <v>36</v>
      </c>
      <c r="F57" s="538"/>
      <c r="G57" s="639">
        <f>G51-F53-F54-F55</f>
        <v>0</v>
      </c>
      <c r="H57" s="408"/>
      <c r="J57" s="339"/>
      <c r="K57" s="353"/>
      <c r="L57" s="380" t="s">
        <v>76</v>
      </c>
      <c r="M57" s="485"/>
      <c r="N57" s="415">
        <f>N55*$M$57</f>
        <v>0</v>
      </c>
      <c r="O57" s="415">
        <f>O55*$M$57</f>
        <v>0</v>
      </c>
      <c r="P57" s="415">
        <f>P55*$M$57</f>
        <v>0</v>
      </c>
      <c r="Q57" s="43"/>
      <c r="R57" s="415">
        <f>R55*$M$57</f>
        <v>0</v>
      </c>
      <c r="S57" s="385"/>
      <c r="T57" s="415">
        <f>T55*$M$57</f>
        <v>0</v>
      </c>
      <c r="U57" s="415">
        <f>U55*$M$57</f>
        <v>0</v>
      </c>
      <c r="V57" s="415">
        <f>V55*$M$57</f>
        <v>0</v>
      </c>
      <c r="W57" s="43"/>
      <c r="X57" s="415">
        <f>X55*$M$57</f>
        <v>0</v>
      </c>
      <c r="Y57" s="415">
        <f>Y55*$M$57</f>
        <v>0</v>
      </c>
    </row>
    <row r="58" spans="5:25">
      <c r="E58" s="398"/>
      <c r="F58" s="416"/>
      <c r="G58" s="403"/>
      <c r="H58" s="345"/>
      <c r="J58" s="339"/>
      <c r="K58" s="353"/>
      <c r="L58" s="122"/>
      <c r="M58" s="417"/>
      <c r="N58" s="353"/>
      <c r="O58" s="353"/>
      <c r="P58" s="353"/>
      <c r="Q58" s="43"/>
      <c r="R58" s="353"/>
      <c r="S58" s="385"/>
      <c r="T58" s="353"/>
      <c r="U58" s="353"/>
      <c r="V58" s="353"/>
      <c r="W58" s="43"/>
      <c r="X58" s="353"/>
      <c r="Y58" s="353"/>
    </row>
    <row r="59" spans="5:25">
      <c r="E59" s="339" t="s">
        <v>69</v>
      </c>
      <c r="F59" s="640">
        <f>IF(F53=0,0,F53/$G$57)</f>
        <v>0</v>
      </c>
      <c r="G59" s="418"/>
      <c r="H59" s="345"/>
      <c r="J59" s="339"/>
      <c r="K59" s="353"/>
      <c r="L59" s="380" t="s">
        <v>110</v>
      </c>
      <c r="M59" s="122"/>
      <c r="N59" s="419">
        <f>N57+N55</f>
        <v>0</v>
      </c>
      <c r="O59" s="419">
        <f>O57+O55</f>
        <v>0</v>
      </c>
      <c r="P59" s="419">
        <f>P57+P55</f>
        <v>0</v>
      </c>
      <c r="Q59" s="43"/>
      <c r="R59" s="419">
        <f>R57+R55</f>
        <v>0</v>
      </c>
      <c r="S59" s="385"/>
      <c r="T59" s="419">
        <f>T57+T55</f>
        <v>0</v>
      </c>
      <c r="U59" s="419">
        <f>U57+U55</f>
        <v>0</v>
      </c>
      <c r="V59" s="419">
        <f>V57+V55</f>
        <v>0</v>
      </c>
      <c r="W59" s="43"/>
      <c r="X59" s="419">
        <f>X57+X55</f>
        <v>0</v>
      </c>
      <c r="Y59" s="419">
        <f>Y57+Y55</f>
        <v>0</v>
      </c>
    </row>
    <row r="60" spans="5:25">
      <c r="E60" s="339" t="s">
        <v>30</v>
      </c>
      <c r="F60" s="640">
        <f>IF(F54=0,0,F54/$G$57)</f>
        <v>0</v>
      </c>
      <c r="G60" s="418"/>
      <c r="H60" s="345"/>
      <c r="J60" s="339"/>
      <c r="K60" s="353"/>
      <c r="L60" s="83"/>
      <c r="M60" s="122"/>
      <c r="N60" s="122"/>
      <c r="O60" s="122"/>
      <c r="P60" s="122"/>
      <c r="Q60" s="43"/>
      <c r="R60" s="122"/>
      <c r="S60" s="385"/>
      <c r="T60" s="122"/>
      <c r="U60" s="122"/>
      <c r="V60" s="122"/>
      <c r="W60" s="43"/>
      <c r="X60" s="122"/>
      <c r="Y60" s="122"/>
    </row>
    <row r="61" spans="5:25">
      <c r="E61" s="339" t="s">
        <v>113</v>
      </c>
      <c r="F61" s="640">
        <f>IF(F55=0,0,F55/$G$57)</f>
        <v>0</v>
      </c>
      <c r="G61" s="418"/>
      <c r="H61" s="345"/>
      <c r="J61" s="339"/>
      <c r="K61" s="353"/>
      <c r="L61" s="380" t="s">
        <v>126</v>
      </c>
      <c r="M61" s="122"/>
      <c r="N61" s="419">
        <f>N$39*30%+N59</f>
        <v>0</v>
      </c>
      <c r="O61" s="419">
        <f>O$39*30%+O59</f>
        <v>0</v>
      </c>
      <c r="P61" s="419">
        <f>P$39*30%+P59</f>
        <v>0</v>
      </c>
      <c r="Q61" s="43"/>
      <c r="R61" s="419">
        <f>R$39*30%+R59</f>
        <v>0</v>
      </c>
      <c r="S61" s="385"/>
      <c r="T61" s="419">
        <f>T$39*30%+T59</f>
        <v>0</v>
      </c>
      <c r="U61" s="419">
        <f>U$39*30%+U59</f>
        <v>0</v>
      </c>
      <c r="V61" s="419">
        <f>V$39*30%+V59</f>
        <v>0</v>
      </c>
      <c r="W61" s="43"/>
      <c r="X61" s="419">
        <f>X$39*30%+X59</f>
        <v>0</v>
      </c>
      <c r="Y61" s="419">
        <f>Y$39*30%+Y59</f>
        <v>0</v>
      </c>
    </row>
    <row r="62" spans="5:25">
      <c r="E62" s="339" t="s">
        <v>60</v>
      </c>
      <c r="F62" s="420">
        <f>IF(F56=0,0,F56/$G$57)</f>
        <v>0</v>
      </c>
      <c r="G62" s="418"/>
      <c r="H62" s="345"/>
      <c r="J62" s="339"/>
      <c r="K62" s="353"/>
      <c r="L62" s="83"/>
      <c r="M62" s="122"/>
      <c r="N62" s="122"/>
      <c r="O62" s="122"/>
      <c r="P62" s="122"/>
      <c r="Q62" s="43"/>
      <c r="R62" s="122"/>
      <c r="S62" s="385"/>
      <c r="T62" s="122"/>
      <c r="U62" s="122"/>
      <c r="V62" s="122"/>
      <c r="W62" s="43"/>
      <c r="X62" s="122"/>
      <c r="Y62" s="122"/>
    </row>
    <row r="63" spans="5:25">
      <c r="E63" s="370"/>
      <c r="F63" s="708" t="s">
        <v>0</v>
      </c>
      <c r="G63" s="641">
        <f>SUM(F59:F61)</f>
        <v>0</v>
      </c>
      <c r="H63" s="369"/>
      <c r="J63" s="339"/>
      <c r="K63" s="353"/>
      <c r="L63" s="380" t="s">
        <v>49</v>
      </c>
      <c r="M63" s="122"/>
      <c r="N63" s="419">
        <f>N$39*50%+N59</f>
        <v>0</v>
      </c>
      <c r="O63" s="419">
        <f>O$39*50%+O59</f>
        <v>0</v>
      </c>
      <c r="P63" s="419">
        <f>P$39*50%+P59</f>
        <v>0</v>
      </c>
      <c r="Q63" s="43"/>
      <c r="R63" s="419">
        <f>R$39*50%+R59</f>
        <v>0</v>
      </c>
      <c r="S63" s="385"/>
      <c r="T63" s="419">
        <f>T$39*50%+T59</f>
        <v>0</v>
      </c>
      <c r="U63" s="419">
        <f>U$39*50%+U59</f>
        <v>0</v>
      </c>
      <c r="V63" s="419">
        <f>V$39*50%+V59</f>
        <v>0</v>
      </c>
      <c r="W63" s="43"/>
      <c r="X63" s="419">
        <f>X$39*50%+X59</f>
        <v>0</v>
      </c>
      <c r="Y63" s="419">
        <f>Y$39*50%+Y59</f>
        <v>0</v>
      </c>
    </row>
    <row r="64" spans="5:25">
      <c r="K64" s="353"/>
      <c r="L64" s="83"/>
      <c r="M64" s="122"/>
      <c r="N64" s="122"/>
      <c r="O64" s="122"/>
      <c r="P64" s="122"/>
      <c r="Q64" s="43"/>
      <c r="R64" s="122"/>
      <c r="S64" s="122"/>
      <c r="T64" s="122"/>
      <c r="U64" s="122"/>
      <c r="V64" s="122"/>
      <c r="W64" s="43"/>
      <c r="X64" s="122"/>
      <c r="Y64" s="122"/>
    </row>
    <row r="65" spans="5:25">
      <c r="K65" s="353"/>
      <c r="L65" s="380" t="s">
        <v>18</v>
      </c>
      <c r="M65" s="122"/>
      <c r="N65" s="419">
        <f>N$39*150%+N59</f>
        <v>0</v>
      </c>
      <c r="O65" s="419">
        <f>O$39*150%+O59</f>
        <v>0</v>
      </c>
      <c r="P65" s="419">
        <f>P$39*150%+P59</f>
        <v>0</v>
      </c>
      <c r="Q65" s="43"/>
      <c r="R65" s="419">
        <f>R$39*150%+R59</f>
        <v>0</v>
      </c>
      <c r="S65" s="419"/>
      <c r="T65" s="419">
        <f>T$39*150%+T59</f>
        <v>0</v>
      </c>
      <c r="U65" s="419">
        <f>U$39*150%+U59</f>
        <v>0</v>
      </c>
      <c r="V65" s="419">
        <f>V$39*150%+V59</f>
        <v>0</v>
      </c>
      <c r="W65" s="43"/>
      <c r="X65" s="419">
        <f>X$39*150%+X59</f>
        <v>0</v>
      </c>
      <c r="Y65" s="419">
        <f>Y$39*150%+Y59</f>
        <v>0</v>
      </c>
    </row>
    <row r="66" spans="5:25" ht="16" thickBot="1">
      <c r="K66" s="353"/>
      <c r="L66" s="353"/>
      <c r="M66" s="122"/>
      <c r="N66" s="122"/>
      <c r="O66" s="122"/>
      <c r="P66" s="122"/>
      <c r="Q66" s="43"/>
      <c r="R66" s="122"/>
      <c r="S66" s="122"/>
      <c r="T66" s="122"/>
      <c r="U66" s="122"/>
      <c r="V66" s="122"/>
      <c r="W66" s="43"/>
      <c r="X66" s="122"/>
      <c r="Y66" s="122"/>
    </row>
    <row r="67" spans="5:25">
      <c r="E67" s="428"/>
      <c r="F67" s="428"/>
      <c r="G67" s="428"/>
      <c r="H67" s="428"/>
      <c r="I67" s="428"/>
      <c r="J67" s="428"/>
      <c r="K67" s="429"/>
      <c r="L67" s="430"/>
      <c r="M67" s="431"/>
      <c r="N67" s="431"/>
      <c r="O67" s="431"/>
      <c r="P67" s="431"/>
      <c r="Q67" s="431"/>
      <c r="R67" s="431"/>
      <c r="S67" s="431"/>
      <c r="T67" s="431"/>
      <c r="U67" s="431"/>
      <c r="V67" s="431"/>
      <c r="W67" s="43"/>
      <c r="X67" s="122"/>
      <c r="Y67" s="122"/>
    </row>
    <row r="68" spans="5:25" ht="32">
      <c r="J68" s="468"/>
      <c r="K68" s="469"/>
      <c r="L68" s="470" t="s">
        <v>297</v>
      </c>
      <c r="M68" s="469"/>
      <c r="N68" s="471" t="s">
        <v>304</v>
      </c>
      <c r="O68" s="471" t="s">
        <v>333</v>
      </c>
      <c r="P68" s="471" t="s">
        <v>334</v>
      </c>
      <c r="Q68" s="472"/>
      <c r="R68" s="122"/>
      <c r="S68" s="122"/>
      <c r="T68" s="122"/>
      <c r="U68" s="122"/>
      <c r="V68" s="122"/>
      <c r="W68" s="43"/>
      <c r="X68" s="122"/>
      <c r="Y68" s="122"/>
    </row>
    <row r="69" spans="5:25">
      <c r="J69" s="468"/>
      <c r="K69" s="472"/>
      <c r="L69" s="473" t="str">
        <f>'1.0-Contractblad'!D20</f>
        <v>Selecteer tarief uitvoerend</v>
      </c>
      <c r="M69" s="472"/>
      <c r="N69" s="474">
        <f>'1.0-Contractblad'!H20</f>
        <v>0</v>
      </c>
      <c r="O69" s="475">
        <f>N33</f>
        <v>0</v>
      </c>
      <c r="P69" s="475">
        <f>N69*O69</f>
        <v>0</v>
      </c>
      <c r="Q69" s="468"/>
      <c r="S69" s="122"/>
      <c r="T69" s="122"/>
      <c r="U69" s="122"/>
      <c r="V69" s="122"/>
      <c r="W69" s="43"/>
      <c r="X69" s="122"/>
      <c r="Y69" s="122"/>
    </row>
    <row r="70" spans="5:25">
      <c r="E70" s="339"/>
      <c r="F70" s="339"/>
      <c r="G70" s="339"/>
      <c r="H70" s="345"/>
      <c r="I70" s="345"/>
      <c r="J70" s="476"/>
      <c r="K70" s="472"/>
      <c r="L70" s="473" t="str">
        <f>'1.0-Contractblad'!D22</f>
        <v>Selecteer tarief uitvoerend</v>
      </c>
      <c r="M70" s="472"/>
      <c r="N70" s="474">
        <f>'1.0-Contractblad'!H22</f>
        <v>0</v>
      </c>
      <c r="O70" s="475">
        <f>O33</f>
        <v>0</v>
      </c>
      <c r="P70" s="475">
        <f t="shared" ref="P70:P75" si="0">N70*O70</f>
        <v>0</v>
      </c>
      <c r="Q70" s="468"/>
      <c r="S70" s="122"/>
      <c r="T70" s="122"/>
      <c r="U70" s="122"/>
      <c r="V70" s="122"/>
      <c r="W70" s="43"/>
      <c r="X70" s="122"/>
      <c r="Y70" s="122"/>
    </row>
    <row r="71" spans="5:25">
      <c r="E71" s="339"/>
      <c r="F71" s="339"/>
      <c r="G71" s="339"/>
      <c r="H71" s="345"/>
      <c r="I71" s="345"/>
      <c r="J71" s="476"/>
      <c r="K71" s="472"/>
      <c r="L71" s="473" t="str">
        <f>'1.0-Contractblad'!D24</f>
        <v>Selecteer tarief uitvoerend</v>
      </c>
      <c r="M71" s="472"/>
      <c r="N71" s="474">
        <f>'1.0-Contractblad'!H24</f>
        <v>0</v>
      </c>
      <c r="O71" s="475">
        <f>P33</f>
        <v>0</v>
      </c>
      <c r="P71" s="475">
        <f t="shared" si="0"/>
        <v>0</v>
      </c>
      <c r="Q71" s="468"/>
      <c r="S71" s="122"/>
      <c r="T71" s="122"/>
      <c r="U71" s="122"/>
      <c r="V71" s="122"/>
      <c r="W71" s="43"/>
      <c r="X71" s="122"/>
      <c r="Y71" s="122"/>
    </row>
    <row r="72" spans="5:25">
      <c r="E72" s="339"/>
      <c r="F72" s="339"/>
      <c r="G72" s="339"/>
      <c r="H72" s="345"/>
      <c r="I72" s="345"/>
      <c r="J72" s="476"/>
      <c r="K72" s="472"/>
      <c r="L72" s="473">
        <f>'1.0-Contractblad'!D23</f>
        <v>0</v>
      </c>
      <c r="M72" s="472"/>
      <c r="N72" s="474"/>
      <c r="O72" s="475"/>
      <c r="P72" s="475"/>
      <c r="Q72" s="468"/>
      <c r="S72" s="122"/>
      <c r="T72" s="122"/>
      <c r="U72" s="122"/>
      <c r="V72" s="122"/>
      <c r="W72" s="43"/>
      <c r="X72" s="122"/>
      <c r="Y72" s="122"/>
    </row>
    <row r="73" spans="5:25">
      <c r="E73" s="339"/>
      <c r="F73" s="339"/>
      <c r="G73" s="339"/>
      <c r="H73" s="345"/>
      <c r="I73" s="345"/>
      <c r="J73" s="476"/>
      <c r="K73" s="472"/>
      <c r="L73" s="473" t="str">
        <f>'1.0-Contractblad'!D30</f>
        <v>Selecteer tarief toezicht</v>
      </c>
      <c r="M73" s="472"/>
      <c r="N73" s="474">
        <f>'1.0-Contractblad'!H30</f>
        <v>0</v>
      </c>
      <c r="O73" s="475">
        <f>T33</f>
        <v>0</v>
      </c>
      <c r="P73" s="475">
        <f t="shared" si="0"/>
        <v>0</v>
      </c>
      <c r="Q73" s="468"/>
      <c r="S73" s="122"/>
      <c r="T73" s="122"/>
      <c r="U73" s="122"/>
      <c r="V73" s="122"/>
      <c r="W73" s="43"/>
      <c r="X73" s="122"/>
      <c r="Y73" s="122"/>
    </row>
    <row r="74" spans="5:25">
      <c r="E74" s="339"/>
      <c r="F74" s="339"/>
      <c r="G74" s="339"/>
      <c r="H74" s="345"/>
      <c r="I74" s="345"/>
      <c r="J74" s="476"/>
      <c r="K74" s="472"/>
      <c r="L74" s="473" t="str">
        <f>'1.0-Contractblad'!D32</f>
        <v>Selecteer tarief toezicht</v>
      </c>
      <c r="M74" s="472"/>
      <c r="N74" s="474">
        <f>'1.0-Contractblad'!H32</f>
        <v>0</v>
      </c>
      <c r="O74" s="475">
        <f>U33</f>
        <v>0</v>
      </c>
      <c r="P74" s="475">
        <f t="shared" si="0"/>
        <v>0</v>
      </c>
      <c r="Q74" s="468"/>
      <c r="S74" s="122"/>
      <c r="T74" s="122"/>
      <c r="U74" s="122"/>
      <c r="V74" s="122"/>
      <c r="W74" s="43"/>
      <c r="X74" s="122"/>
      <c r="Y74" s="122"/>
    </row>
    <row r="75" spans="5:25">
      <c r="E75" s="339"/>
      <c r="F75" s="339"/>
      <c r="G75" s="339"/>
      <c r="H75" s="345"/>
      <c r="I75" s="345"/>
      <c r="J75" s="476"/>
      <c r="K75" s="472"/>
      <c r="L75" s="473" t="str">
        <f>'1.0-Contractblad'!D34</f>
        <v>Selecteer tarief toezicht</v>
      </c>
      <c r="M75" s="472"/>
      <c r="N75" s="474">
        <f>'1.0-Contractblad'!H34</f>
        <v>0</v>
      </c>
      <c r="O75" s="632">
        <f>V33</f>
        <v>0</v>
      </c>
      <c r="P75" s="475">
        <f t="shared" si="0"/>
        <v>0</v>
      </c>
      <c r="Q75" s="468"/>
      <c r="S75" s="122"/>
      <c r="T75" s="122"/>
      <c r="U75" s="122"/>
      <c r="V75" s="122"/>
      <c r="W75" s="43"/>
      <c r="X75" s="122"/>
      <c r="Y75" s="122"/>
    </row>
    <row r="76" spans="5:25">
      <c r="E76" s="339"/>
      <c r="F76" s="339"/>
      <c r="G76" s="339"/>
      <c r="H76" s="345"/>
      <c r="I76" s="345"/>
      <c r="J76" s="476"/>
      <c r="K76" s="472"/>
      <c r="L76" s="468"/>
      <c r="M76" s="472"/>
      <c r="N76" s="477">
        <f>SUM(N69:N75)</f>
        <v>0</v>
      </c>
      <c r="O76" s="472"/>
      <c r="P76" s="478">
        <f>SUM(P69:P75)</f>
        <v>0</v>
      </c>
      <c r="Q76" s="468"/>
      <c r="S76" s="122"/>
      <c r="T76" s="122"/>
      <c r="U76" s="122"/>
      <c r="V76" s="122"/>
      <c r="W76" s="43"/>
      <c r="X76" s="122"/>
      <c r="Y76" s="122"/>
    </row>
    <row r="77" spans="5:25">
      <c r="E77" s="339"/>
      <c r="F77" s="339"/>
      <c r="G77" s="339"/>
      <c r="H77" s="345"/>
      <c r="I77" s="345"/>
      <c r="J77" s="476"/>
      <c r="K77" s="472"/>
      <c r="L77" s="472"/>
      <c r="M77" s="472"/>
      <c r="N77" s="472"/>
      <c r="O77" s="472"/>
      <c r="P77" s="472"/>
      <c r="Q77" s="468"/>
      <c r="S77" s="122"/>
      <c r="T77" s="122"/>
      <c r="U77" s="122"/>
      <c r="V77" s="122"/>
      <c r="W77" s="43"/>
      <c r="X77" s="122"/>
      <c r="Y77" s="122"/>
    </row>
    <row r="78" spans="5:25">
      <c r="F78" s="421"/>
      <c r="J78" s="468"/>
      <c r="K78" s="472"/>
      <c r="L78" s="472"/>
      <c r="M78" s="479"/>
      <c r="N78" s="480" t="s">
        <v>346</v>
      </c>
      <c r="O78" s="481">
        <f>IF(P76=0,0,P76/N76)</f>
        <v>0</v>
      </c>
      <c r="P78" s="472"/>
      <c r="Q78" s="472"/>
      <c r="R78" s="122"/>
      <c r="S78" s="122"/>
      <c r="T78" s="122"/>
      <c r="U78" s="122"/>
      <c r="V78" s="122"/>
      <c r="W78" s="43"/>
      <c r="X78" s="122"/>
      <c r="Y78" s="122"/>
    </row>
    <row r="79" spans="5:25">
      <c r="F79" s="421"/>
      <c r="J79" s="468"/>
      <c r="K79" s="472"/>
      <c r="L79" s="472"/>
      <c r="M79" s="479"/>
      <c r="N79" s="480"/>
      <c r="O79" s="481"/>
      <c r="P79" s="472"/>
      <c r="Q79" s="472"/>
      <c r="R79" s="122"/>
      <c r="S79" s="122"/>
      <c r="T79" s="122"/>
      <c r="U79" s="122"/>
      <c r="V79" s="122"/>
      <c r="W79" s="43"/>
      <c r="X79" s="122"/>
      <c r="Y79" s="122"/>
    </row>
    <row r="80" spans="5:25" hidden="1">
      <c r="F80" s="421"/>
      <c r="U80" s="122"/>
      <c r="V80" s="122"/>
      <c r="W80" s="43"/>
      <c r="X80" s="122"/>
      <c r="Y80" s="122"/>
    </row>
    <row r="81" spans="5:25" hidden="1">
      <c r="F81" s="421"/>
      <c r="K81" s="422" t="s">
        <v>160</v>
      </c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43"/>
      <c r="X81" s="122"/>
      <c r="Y81" s="122"/>
    </row>
    <row r="82" spans="5:25" hidden="1">
      <c r="F82" s="421"/>
      <c r="K82" s="336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43"/>
      <c r="X82" s="122"/>
      <c r="Y82" s="122"/>
    </row>
    <row r="83" spans="5:25" hidden="1">
      <c r="E83" s="334" t="s">
        <v>275</v>
      </c>
      <c r="K83" s="422" t="s">
        <v>179</v>
      </c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43"/>
      <c r="X83" s="122"/>
      <c r="Y83" s="122"/>
    </row>
    <row r="84" spans="5:25" hidden="1">
      <c r="E84" s="334" t="s">
        <v>276</v>
      </c>
      <c r="F84" s="334">
        <v>1</v>
      </c>
      <c r="G84" s="423">
        <v>6.1800000000000001E-2</v>
      </c>
      <c r="K84" s="422" t="s">
        <v>182</v>
      </c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43"/>
      <c r="X84" s="122"/>
      <c r="Y84" s="122"/>
    </row>
    <row r="85" spans="5:25" hidden="1">
      <c r="E85" s="334" t="s">
        <v>277</v>
      </c>
      <c r="F85" s="334">
        <v>2</v>
      </c>
      <c r="G85" s="423">
        <v>7.4899999999999994E-2</v>
      </c>
      <c r="K85" s="422" t="s">
        <v>183</v>
      </c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43"/>
      <c r="X85" s="122"/>
      <c r="Y85" s="122"/>
    </row>
    <row r="86" spans="5:25" hidden="1">
      <c r="F86" s="421"/>
      <c r="K86" s="422" t="s">
        <v>184</v>
      </c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43"/>
      <c r="X86" s="122"/>
      <c r="Y86" s="122"/>
    </row>
    <row r="87" spans="5:25" hidden="1">
      <c r="F87" s="421"/>
      <c r="K87" s="422" t="s">
        <v>185</v>
      </c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43"/>
      <c r="X87" s="122"/>
      <c r="Y87" s="122"/>
    </row>
    <row r="88" spans="5:25" hidden="1">
      <c r="F88" s="421"/>
      <c r="K88" s="422" t="s">
        <v>180</v>
      </c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43"/>
      <c r="X88" s="122"/>
      <c r="Y88" s="122"/>
    </row>
    <row r="89" spans="5:25" hidden="1">
      <c r="K89" s="422" t="s">
        <v>186</v>
      </c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43"/>
      <c r="X89" s="122"/>
      <c r="Y89" s="122"/>
    </row>
    <row r="90" spans="5:25" hidden="1">
      <c r="K90" s="422" t="s">
        <v>187</v>
      </c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43"/>
      <c r="X90" s="122"/>
      <c r="Y90" s="122"/>
    </row>
    <row r="91" spans="5:25" hidden="1">
      <c r="K91" s="422" t="s">
        <v>188</v>
      </c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43"/>
      <c r="X91" s="122"/>
      <c r="Y91" s="122"/>
    </row>
    <row r="92" spans="5:25" hidden="1">
      <c r="K92" s="422" t="s">
        <v>189</v>
      </c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43"/>
      <c r="X92" s="122"/>
      <c r="Y92" s="122"/>
    </row>
    <row r="93" spans="5:25" hidden="1">
      <c r="K93" s="422" t="s">
        <v>190</v>
      </c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43"/>
      <c r="X93" s="122"/>
      <c r="Y93" s="122"/>
    </row>
    <row r="94" spans="5:25" hidden="1">
      <c r="K94" s="422" t="s">
        <v>191</v>
      </c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43"/>
      <c r="X94" s="122"/>
      <c r="Y94" s="122"/>
    </row>
    <row r="95" spans="5:25" hidden="1">
      <c r="K95" s="422" t="s">
        <v>192</v>
      </c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43"/>
      <c r="X95" s="122"/>
      <c r="Y95" s="122"/>
    </row>
    <row r="96" spans="5:25" hidden="1">
      <c r="K96" s="422" t="s">
        <v>193</v>
      </c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43"/>
      <c r="X96" s="122"/>
      <c r="Y96" s="122"/>
    </row>
    <row r="97" spans="11:25" hidden="1">
      <c r="K97" s="422" t="s">
        <v>194</v>
      </c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43"/>
      <c r="X97" s="122"/>
      <c r="Y97" s="122"/>
    </row>
    <row r="98" spans="11:25" hidden="1">
      <c r="K98" s="422" t="s">
        <v>195</v>
      </c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43"/>
      <c r="X98" s="122"/>
      <c r="Y98" s="122"/>
    </row>
    <row r="99" spans="11:25" hidden="1">
      <c r="K99" s="422" t="s">
        <v>196</v>
      </c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43"/>
      <c r="X99" s="122"/>
      <c r="Y99" s="122"/>
    </row>
    <row r="100" spans="11:25" hidden="1">
      <c r="K100" s="422" t="s">
        <v>197</v>
      </c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43"/>
      <c r="X100" s="122"/>
      <c r="Y100" s="122"/>
    </row>
    <row r="101" spans="11:25" hidden="1">
      <c r="K101" s="422" t="s">
        <v>198</v>
      </c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43"/>
      <c r="X101" s="122"/>
      <c r="Y101" s="122"/>
    </row>
    <row r="102" spans="11:25" hidden="1">
      <c r="K102" s="422" t="s">
        <v>199</v>
      </c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43"/>
      <c r="X102" s="122"/>
      <c r="Y102" s="122"/>
    </row>
    <row r="103" spans="11:25" hidden="1">
      <c r="K103" s="422" t="s">
        <v>200</v>
      </c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43"/>
      <c r="X103" s="122"/>
      <c r="Y103" s="122"/>
    </row>
    <row r="104" spans="11:25" hidden="1">
      <c r="K104" s="422" t="s">
        <v>201</v>
      </c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43"/>
      <c r="X104" s="122"/>
      <c r="Y104" s="122"/>
    </row>
    <row r="105" spans="11:25" hidden="1">
      <c r="K105" s="422" t="s">
        <v>202</v>
      </c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43"/>
      <c r="X105" s="122"/>
      <c r="Y105" s="122"/>
    </row>
    <row r="106" spans="11:25" hidden="1">
      <c r="K106" s="422" t="s">
        <v>203</v>
      </c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43"/>
      <c r="X106" s="122"/>
      <c r="Y106" s="122"/>
    </row>
    <row r="107" spans="11:25" hidden="1">
      <c r="K107" s="422" t="s">
        <v>204</v>
      </c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43"/>
      <c r="X107" s="122"/>
      <c r="Y107" s="122"/>
    </row>
    <row r="108" spans="11:25" hidden="1">
      <c r="K108" s="422" t="s">
        <v>205</v>
      </c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43"/>
      <c r="X108" s="122"/>
      <c r="Y108" s="122"/>
    </row>
    <row r="109" spans="11:25" hidden="1">
      <c r="K109" s="422" t="s">
        <v>206</v>
      </c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43"/>
      <c r="X109" s="122"/>
      <c r="Y109" s="122"/>
    </row>
    <row r="110" spans="11:25" hidden="1">
      <c r="K110" s="422" t="s">
        <v>207</v>
      </c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43"/>
      <c r="X110" s="122"/>
      <c r="Y110" s="122"/>
    </row>
    <row r="111" spans="11:25" hidden="1">
      <c r="K111" s="422" t="s">
        <v>208</v>
      </c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43"/>
      <c r="X111" s="122"/>
      <c r="Y111" s="122"/>
    </row>
    <row r="112" spans="11:25" hidden="1">
      <c r="K112" s="422" t="s">
        <v>209</v>
      </c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43"/>
      <c r="X112" s="122"/>
      <c r="Y112" s="122"/>
    </row>
    <row r="113" spans="11:25" hidden="1">
      <c r="K113" s="4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43"/>
      <c r="X113" s="122"/>
      <c r="Y113" s="122"/>
    </row>
    <row r="114" spans="11:25" hidden="1">
      <c r="K114" s="4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43"/>
      <c r="X114" s="122"/>
      <c r="Y114" s="122"/>
    </row>
    <row r="115" spans="11:25" hidden="1">
      <c r="K115" s="4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43"/>
      <c r="X115" s="122"/>
      <c r="Y115" s="122"/>
    </row>
    <row r="116" spans="11:25" hidden="1">
      <c r="K116" s="4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43"/>
      <c r="X116" s="122"/>
      <c r="Y116" s="122"/>
    </row>
    <row r="117" spans="11:25" hidden="1">
      <c r="K117" s="4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43"/>
      <c r="X117" s="122"/>
      <c r="Y117" s="122"/>
    </row>
    <row r="118" spans="11:25" hidden="1">
      <c r="K118" s="4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43"/>
      <c r="X118" s="122"/>
      <c r="Y118" s="122"/>
    </row>
    <row r="119" spans="11:25" hidden="1">
      <c r="K119" s="4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43"/>
      <c r="X119" s="122"/>
      <c r="Y119" s="122"/>
    </row>
    <row r="120" spans="11:25" hidden="1">
      <c r="K120" s="422" t="s">
        <v>181</v>
      </c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43"/>
      <c r="X120" s="122"/>
      <c r="Y120" s="122"/>
    </row>
    <row r="121" spans="11:25" hidden="1">
      <c r="K121" s="424">
        <v>1</v>
      </c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43"/>
      <c r="X121" s="122"/>
      <c r="Y121" s="122"/>
    </row>
    <row r="122" spans="11:25" hidden="1">
      <c r="K122" s="422">
        <v>2</v>
      </c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43"/>
      <c r="X122" s="122"/>
      <c r="Y122" s="122"/>
    </row>
    <row r="123" spans="11:25" hidden="1">
      <c r="K123" s="422">
        <v>3</v>
      </c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43"/>
      <c r="X123" s="122"/>
      <c r="Y123" s="122"/>
    </row>
    <row r="124" spans="11:25" hidden="1">
      <c r="K124" s="422">
        <v>4</v>
      </c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43"/>
      <c r="X124" s="122"/>
      <c r="Y124" s="122"/>
    </row>
    <row r="125" spans="11:25" hidden="1">
      <c r="K125" s="4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43"/>
      <c r="X125" s="122"/>
      <c r="Y125" s="122"/>
    </row>
    <row r="126" spans="11:25" hidden="1">
      <c r="K126" s="4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43"/>
      <c r="X126" s="122"/>
      <c r="Y126" s="122"/>
    </row>
    <row r="127" spans="11:25" hidden="1">
      <c r="K127" s="4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43"/>
      <c r="X127" s="122"/>
      <c r="Y127" s="122"/>
    </row>
    <row r="128" spans="11:25" hidden="1">
      <c r="K128" s="4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43"/>
      <c r="X128" s="122"/>
      <c r="Y128" s="122"/>
    </row>
    <row r="129" spans="11:25" hidden="1">
      <c r="K129" s="4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43"/>
      <c r="X129" s="122"/>
      <c r="Y129" s="122"/>
    </row>
    <row r="130" spans="11:25" hidden="1">
      <c r="K130" s="4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43"/>
      <c r="X130" s="122"/>
      <c r="Y130" s="122"/>
    </row>
    <row r="131" spans="11:25" hidden="1">
      <c r="K131" s="4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43"/>
      <c r="X131" s="122"/>
      <c r="Y131" s="122"/>
    </row>
    <row r="132" spans="11:25" hidden="1">
      <c r="K132" s="4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43"/>
      <c r="X132" s="122"/>
      <c r="Y132" s="122"/>
    </row>
    <row r="133" spans="11:25" hidden="1">
      <c r="K133" s="4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43"/>
      <c r="X133" s="122"/>
      <c r="Y133" s="122"/>
    </row>
    <row r="134" spans="11:25" hidden="1">
      <c r="K134" s="4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43"/>
      <c r="X134" s="122"/>
      <c r="Y134" s="122"/>
    </row>
    <row r="135" spans="11:25" hidden="1">
      <c r="K135" s="4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43"/>
      <c r="X135" s="122"/>
      <c r="Y135" s="122"/>
    </row>
    <row r="136" spans="11:25" hidden="1">
      <c r="K136" s="4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43"/>
      <c r="X136" s="122"/>
      <c r="Y136" s="122"/>
    </row>
    <row r="137" spans="11:25" hidden="1">
      <c r="K137" s="422"/>
      <c r="L137" s="416"/>
      <c r="M137" s="122"/>
      <c r="N137" s="122"/>
      <c r="O137" s="122"/>
      <c r="P137" s="122"/>
      <c r="W137" s="43"/>
    </row>
    <row r="138" spans="11:25" hidden="1">
      <c r="K138" s="422"/>
      <c r="L138" s="416"/>
      <c r="M138" s="122"/>
      <c r="N138" s="122"/>
      <c r="O138" s="122"/>
      <c r="P138" s="122"/>
      <c r="W138" s="43"/>
    </row>
    <row r="139" spans="11:25" hidden="1">
      <c r="K139" s="422"/>
      <c r="L139" s="416"/>
      <c r="M139" s="122"/>
      <c r="N139" s="122"/>
      <c r="O139" s="122"/>
      <c r="P139" s="122"/>
      <c r="W139" s="43"/>
    </row>
    <row r="140" spans="11:25" hidden="1">
      <c r="K140" s="422"/>
      <c r="L140" s="416"/>
      <c r="M140" s="122"/>
      <c r="N140" s="122"/>
      <c r="O140" s="122"/>
      <c r="P140" s="122"/>
      <c r="W140" s="43"/>
    </row>
    <row r="141" spans="11:25" hidden="1">
      <c r="K141" s="422"/>
      <c r="L141" s="416"/>
      <c r="M141" s="122"/>
      <c r="N141" s="122"/>
      <c r="O141" s="122"/>
      <c r="P141" s="122"/>
      <c r="W141" s="43"/>
    </row>
    <row r="142" spans="11:25" hidden="1">
      <c r="K142" s="422"/>
      <c r="L142" s="416"/>
      <c r="M142" s="122"/>
      <c r="N142" s="122"/>
      <c r="O142" s="122"/>
      <c r="P142" s="122"/>
    </row>
    <row r="143" spans="11:25" hidden="1">
      <c r="K143" s="422"/>
      <c r="L143" s="416"/>
      <c r="M143" s="122"/>
      <c r="N143" s="122"/>
      <c r="O143" s="122"/>
      <c r="P143" s="122"/>
    </row>
    <row r="144" spans="11:25" hidden="1">
      <c r="K144" s="422"/>
      <c r="L144" s="416"/>
      <c r="M144" s="122"/>
      <c r="N144" s="122"/>
      <c r="O144" s="122"/>
      <c r="P144" s="122"/>
    </row>
    <row r="145" spans="11:16" hidden="1">
      <c r="K145" s="422"/>
      <c r="L145" s="416"/>
      <c r="M145" s="122"/>
      <c r="N145" s="122"/>
      <c r="O145" s="122"/>
      <c r="P145" s="122"/>
    </row>
    <row r="146" spans="11:16" hidden="1">
      <c r="K146" s="422"/>
      <c r="L146" s="416"/>
      <c r="M146" s="122"/>
      <c r="N146" s="122"/>
      <c r="O146" s="122"/>
      <c r="P146" s="122"/>
    </row>
    <row r="147" spans="11:16" hidden="1">
      <c r="K147" s="422"/>
      <c r="L147" s="416"/>
      <c r="M147" s="122"/>
      <c r="N147" s="122"/>
      <c r="O147" s="122"/>
      <c r="P147" s="122"/>
    </row>
    <row r="148" spans="11:16" hidden="1">
      <c r="K148" s="422"/>
      <c r="L148" s="416"/>
      <c r="M148" s="122"/>
      <c r="N148" s="122"/>
      <c r="O148" s="122"/>
      <c r="P148" s="122"/>
    </row>
    <row r="149" spans="11:16" hidden="1">
      <c r="K149" s="422"/>
      <c r="L149" s="416"/>
      <c r="M149" s="122"/>
      <c r="N149" s="122"/>
      <c r="O149" s="122"/>
      <c r="P149" s="122"/>
    </row>
    <row r="150" spans="11:16" hidden="1">
      <c r="K150" s="422"/>
      <c r="L150" s="416"/>
      <c r="M150" s="122"/>
      <c r="N150" s="122"/>
      <c r="O150" s="122"/>
      <c r="P150" s="122"/>
    </row>
    <row r="151" spans="11:16" hidden="1">
      <c r="K151" s="422"/>
      <c r="L151" s="416"/>
      <c r="M151" s="122"/>
      <c r="N151" s="122"/>
      <c r="O151" s="122"/>
      <c r="P151" s="122"/>
    </row>
    <row r="152" spans="11:16" hidden="1">
      <c r="N152" s="422"/>
    </row>
    <row r="156" spans="11:16"/>
    <row r="157" spans="11:16"/>
    <row r="158" spans="11:16"/>
    <row r="159" spans="11:16"/>
    <row r="160" spans="11:16"/>
    <row r="161"/>
  </sheetData>
  <dataConsolidate/>
  <mergeCells count="6">
    <mergeCell ref="F10:G10"/>
    <mergeCell ref="T11:V11"/>
    <mergeCell ref="X11:Y11"/>
    <mergeCell ref="N11:P11"/>
    <mergeCell ref="N7:O10"/>
    <mergeCell ref="T7:U10"/>
  </mergeCells>
  <conditionalFormatting sqref="F39">
    <cfRule type="expression" dxfId="134" priority="428">
      <formula>"D40=&gt;0"</formula>
    </cfRule>
  </conditionalFormatting>
  <conditionalFormatting sqref="F49:F50">
    <cfRule type="notContainsBlanks" dxfId="133" priority="66">
      <formula>LEN(TRIM(F49))&gt;0</formula>
    </cfRule>
  </conditionalFormatting>
  <conditionalFormatting sqref="F53:F55">
    <cfRule type="notContainsBlanks" dxfId="132" priority="11">
      <formula>LEN(TRIM(F53))&gt;0</formula>
    </cfRule>
  </conditionalFormatting>
  <conditionalFormatting sqref="F59:F61">
    <cfRule type="cellIs" dxfId="131" priority="415" operator="greaterThan">
      <formula>0</formula>
    </cfRule>
  </conditionalFormatting>
  <conditionalFormatting sqref="G19:G21">
    <cfRule type="cellIs" dxfId="130" priority="4" operator="greaterThan">
      <formula>0</formula>
    </cfRule>
  </conditionalFormatting>
  <conditionalFormatting sqref="G25:G27">
    <cfRule type="cellIs" dxfId="129" priority="3" operator="greaterThan">
      <formula>0</formula>
    </cfRule>
  </conditionalFormatting>
  <conditionalFormatting sqref="G29:G30">
    <cfRule type="cellIs" dxfId="128" priority="2" operator="greaterThan">
      <formula>0</formula>
    </cfRule>
  </conditionalFormatting>
  <conditionalFormatting sqref="G43">
    <cfRule type="cellIs" dxfId="127" priority="427" operator="greaterThan">
      <formula>0</formula>
    </cfRule>
  </conditionalFormatting>
  <conditionalFormatting sqref="G51">
    <cfRule type="cellIs" dxfId="126" priority="420" operator="greaterThan">
      <formula>0</formula>
    </cfRule>
  </conditionalFormatting>
  <conditionalFormatting sqref="G57">
    <cfRule type="cellIs" dxfId="125" priority="419" operator="greaterThan">
      <formula>0</formula>
    </cfRule>
  </conditionalFormatting>
  <conditionalFormatting sqref="G63">
    <cfRule type="cellIs" dxfId="124" priority="422" operator="greaterThan">
      <formula>0</formula>
    </cfRule>
  </conditionalFormatting>
  <conditionalFormatting sqref="M34">
    <cfRule type="cellIs" dxfId="123" priority="408" stopIfTrue="1" operator="greaterThan">
      <formula>0.01</formula>
    </cfRule>
  </conditionalFormatting>
  <conditionalFormatting sqref="M38">
    <cfRule type="cellIs" dxfId="122" priority="94" stopIfTrue="1" operator="greaterThan">
      <formula>0.01</formula>
    </cfRule>
  </conditionalFormatting>
  <conditionalFormatting sqref="M57">
    <cfRule type="cellIs" dxfId="121" priority="78" operator="greaterThan">
      <formula>0</formula>
    </cfRule>
  </conditionalFormatting>
  <conditionalFormatting sqref="M27:P27">
    <cfRule type="cellIs" dxfId="120" priority="143" operator="greaterThan">
      <formula>0</formula>
    </cfRule>
  </conditionalFormatting>
  <conditionalFormatting sqref="M33:P33">
    <cfRule type="cellIs" dxfId="119" priority="340" operator="greaterThan">
      <formula>0</formula>
    </cfRule>
  </conditionalFormatting>
  <conditionalFormatting sqref="N17:P17">
    <cfRule type="cellIs" dxfId="118" priority="9" operator="greaterThan">
      <formula>0</formula>
    </cfRule>
  </conditionalFormatting>
  <conditionalFormatting sqref="N21:P23">
    <cfRule type="cellIs" dxfId="117" priority="52" operator="greaterThan">
      <formula>0</formula>
    </cfRule>
  </conditionalFormatting>
  <conditionalFormatting sqref="N24:P25">
    <cfRule type="cellIs" dxfId="116" priority="152" operator="greaterThan">
      <formula>0</formula>
    </cfRule>
  </conditionalFormatting>
  <conditionalFormatting sqref="N29:P29 N31:P31 N34:P34 N36:P36 N38:P39 N44:P44 N57:P57 N59:P65">
    <cfRule type="cellIs" dxfId="115" priority="394" operator="greaterThan">
      <formula>0</formula>
    </cfRule>
  </conditionalFormatting>
  <conditionalFormatting sqref="N41:P42">
    <cfRule type="cellIs" dxfId="114" priority="25" operator="greaterThan">
      <formula>0</formula>
    </cfRule>
  </conditionalFormatting>
  <conditionalFormatting sqref="N46:P53">
    <cfRule type="cellIs" dxfId="113" priority="19" operator="greaterThan">
      <formula>0</formula>
    </cfRule>
  </conditionalFormatting>
  <conditionalFormatting sqref="N55:P55">
    <cfRule type="cellIs" dxfId="112" priority="352" operator="greaterThan">
      <formula>0</formula>
    </cfRule>
  </conditionalFormatting>
  <conditionalFormatting sqref="R17">
    <cfRule type="cellIs" dxfId="111" priority="10" operator="greaterThan">
      <formula>0</formula>
    </cfRule>
  </conditionalFormatting>
  <conditionalFormatting sqref="R21:R23">
    <cfRule type="cellIs" dxfId="110" priority="300" operator="greaterThan">
      <formula>0</formula>
    </cfRule>
  </conditionalFormatting>
  <conditionalFormatting sqref="R24">
    <cfRule type="cellIs" dxfId="109" priority="150" operator="greaterThan">
      <formula>0</formula>
    </cfRule>
  </conditionalFormatting>
  <conditionalFormatting sqref="R41:R42">
    <cfRule type="cellIs" dxfId="108" priority="231" operator="greaterThan">
      <formula>0</formula>
    </cfRule>
  </conditionalFormatting>
  <conditionalFormatting sqref="R44 R57 R59:R63 R64:S65">
    <cfRule type="cellIs" dxfId="107" priority="392" operator="greaterThan">
      <formula>0</formula>
    </cfRule>
  </conditionalFormatting>
  <conditionalFormatting sqref="R46:R53">
    <cfRule type="cellIs" dxfId="106" priority="225" operator="greaterThan">
      <formula>0</formula>
    </cfRule>
  </conditionalFormatting>
  <conditionalFormatting sqref="R55">
    <cfRule type="cellIs" dxfId="105" priority="350" operator="greaterThan">
      <formula>0</formula>
    </cfRule>
  </conditionalFormatting>
  <conditionalFormatting sqref="R27:V27">
    <cfRule type="cellIs" dxfId="104" priority="138" operator="greaterThan">
      <formula>0</formula>
    </cfRule>
  </conditionalFormatting>
  <conditionalFormatting sqref="R29:V29 R31:V31 R36:V36 R38:V39 T57:V57 T59:V65">
    <cfRule type="cellIs" dxfId="103" priority="387" operator="greaterThan">
      <formula>0</formula>
    </cfRule>
  </conditionalFormatting>
  <conditionalFormatting sqref="R33:V34">
    <cfRule type="cellIs" dxfId="102" priority="335" operator="greaterThan">
      <formula>0</formula>
    </cfRule>
  </conditionalFormatting>
  <conditionalFormatting sqref="S40:S63">
    <cfRule type="cellIs" dxfId="101" priority="227" operator="greaterThan">
      <formula>0</formula>
    </cfRule>
  </conditionalFormatting>
  <conditionalFormatting sqref="T17:V17">
    <cfRule type="cellIs" dxfId="100" priority="8" operator="greaterThan">
      <formula>0</formula>
    </cfRule>
  </conditionalFormatting>
  <conditionalFormatting sqref="T21:V23">
    <cfRule type="cellIs" dxfId="99" priority="47" operator="greaterThan">
      <formula>0</formula>
    </cfRule>
  </conditionalFormatting>
  <conditionalFormatting sqref="T24:V24">
    <cfRule type="cellIs" dxfId="98" priority="147" operator="greaterThan">
      <formula>0</formula>
    </cfRule>
  </conditionalFormatting>
  <conditionalFormatting sqref="T42:V42">
    <cfRule type="cellIs" dxfId="97" priority="18" operator="greaterThan">
      <formula>0</formula>
    </cfRule>
  </conditionalFormatting>
  <conditionalFormatting sqref="T44:V44">
    <cfRule type="cellIs" dxfId="96" priority="46" operator="greaterThan">
      <formula>0</formula>
    </cfRule>
  </conditionalFormatting>
  <conditionalFormatting sqref="T46:V53">
    <cfRule type="cellIs" dxfId="95" priority="1" operator="greaterThan">
      <formula>0</formula>
    </cfRule>
  </conditionalFormatting>
  <conditionalFormatting sqref="T55:V55">
    <cfRule type="cellIs" dxfId="94" priority="347" operator="greaterThan">
      <formula>0</formula>
    </cfRule>
  </conditionalFormatting>
  <conditionalFormatting sqref="X17:Y17">
    <cfRule type="cellIs" dxfId="93" priority="108" operator="greaterThan">
      <formula>0</formula>
    </cfRule>
  </conditionalFormatting>
  <conditionalFormatting sqref="X21:Y23">
    <cfRule type="cellIs" dxfId="92" priority="382" operator="greaterThan">
      <formula>0</formula>
    </cfRule>
  </conditionalFormatting>
  <conditionalFormatting sqref="X24:Y24">
    <cfRule type="cellIs" dxfId="91" priority="145" operator="greaterThan">
      <formula>0</formula>
    </cfRule>
  </conditionalFormatting>
  <conditionalFormatting sqref="X27:Y27">
    <cfRule type="cellIs" dxfId="90" priority="136" operator="greaterThan">
      <formula>0</formula>
    </cfRule>
  </conditionalFormatting>
  <conditionalFormatting sqref="X29:Y29 X31:Y31 X36:Y36 X38:Y39 X44:Y44 X57:Y57 X59:Y65">
    <cfRule type="cellIs" dxfId="89" priority="383" operator="greaterThan">
      <formula>0</formula>
    </cfRule>
  </conditionalFormatting>
  <conditionalFormatting sqref="X33:Y34">
    <cfRule type="cellIs" dxfId="88" priority="333" operator="greaterThan">
      <formula>0</formula>
    </cfRule>
  </conditionalFormatting>
  <conditionalFormatting sqref="X42:Y42">
    <cfRule type="cellIs" dxfId="87" priority="234" operator="greaterThan">
      <formula>0</formula>
    </cfRule>
  </conditionalFormatting>
  <conditionalFormatting sqref="X46:Y53">
    <cfRule type="cellIs" dxfId="86" priority="223" operator="greaterThan">
      <formula>0</formula>
    </cfRule>
  </conditionalFormatting>
  <conditionalFormatting sqref="X55:Y55">
    <cfRule type="cellIs" dxfId="85" priority="345" operator="greaterThan">
      <formula>0</formula>
    </cfRule>
  </conditionalFormatting>
  <dataValidations count="3">
    <dataValidation type="list" allowBlank="1" showInputMessage="1" showErrorMessage="1" promptTitle="Selecteer" prompt="Selecteer uit de lijst een categorie schoonmaak _x000d_medewerker" sqref="R13" xr:uid="{C3BC93C8-E7A5-9C4B-AD69-7A34A1FA6C4C}">
      <formula1>$K$78:$K$117</formula1>
    </dataValidation>
    <dataValidation type="list" allowBlank="1" showInputMessage="1" showErrorMessage="1" promptTitle="Selecteer" prompt="Selecteer uit de lijst een categorie schoonmaak _x000d_medewerker" sqref="X13:Y13 N13:P13 T13:V13" xr:uid="{A8B15222-0217-4C4E-A996-690095EC3972}">
      <formula1>$K$81:$K$118</formula1>
    </dataValidation>
    <dataValidation type="list" allowBlank="1" showInputMessage="1" showErrorMessage="1" sqref="X15:Y15 N15:P15 R15 T15:V15" xr:uid="{302E3468-44AF-7541-9FB9-1A041EE5250D}">
      <formula1>$K$120:$K$124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1" orientation="landscape" r:id="rId1"/>
  <headerFooter>
    <oddHeader>&amp;L&amp;C&amp;R</oddHeader>
    <oddFooter>&amp;L&amp;"Verdana,Standaard"&amp;K000000&amp;F-&amp;A&amp;R&amp;"Verdana,Standaard"&amp;K000000printversie &amp;D</oddFooter>
  </headerFooter>
  <picture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B1:J161"/>
  <sheetViews>
    <sheetView showGridLines="0" showRowColHeaders="0" showZeros="0" showOutlineSymbols="0" zoomScaleNormal="100" zoomScaleSheetLayoutView="75" zoomScalePageLayoutView="125" workbookViewId="0"/>
  </sheetViews>
  <sheetFormatPr baseColWidth="10" defaultColWidth="10.796875" defaultRowHeight="15"/>
  <cols>
    <col min="1" max="1" width="8.19921875" style="236" customWidth="1"/>
    <col min="2" max="2" width="15.19921875" style="236" customWidth="1"/>
    <col min="3" max="3" width="34.3984375" style="236" bestFit="1" customWidth="1"/>
    <col min="4" max="4" width="6.19921875" style="236" customWidth="1"/>
    <col min="5" max="5" width="38.59765625" style="236" customWidth="1"/>
    <col min="6" max="6" width="45" style="236" customWidth="1"/>
    <col min="7" max="7" width="15.796875" style="236" customWidth="1"/>
    <col min="8" max="8" width="19.59765625" style="236" customWidth="1"/>
    <col min="9" max="9" width="5.796875" style="236" customWidth="1"/>
    <col min="10" max="10" width="19" style="236" customWidth="1"/>
    <col min="11" max="16384" width="10.796875" style="236"/>
  </cols>
  <sheetData>
    <row r="1" spans="2:9" ht="10" customHeight="1" thickBot="1">
      <c r="E1" s="30"/>
      <c r="F1" s="30"/>
      <c r="G1" s="99"/>
      <c r="H1" s="99"/>
      <c r="I1" s="99"/>
    </row>
    <row r="2" spans="2:9" ht="10" customHeight="1">
      <c r="E2" s="102"/>
      <c r="F2" s="102"/>
      <c r="G2" s="99"/>
      <c r="H2" s="99"/>
      <c r="I2" s="99"/>
    </row>
    <row r="3" spans="2:9">
      <c r="B3" s="504" t="s">
        <v>161</v>
      </c>
    </row>
    <row r="4" spans="2:9" ht="18" thickBot="1">
      <c r="B4" s="523"/>
      <c r="C4" s="505" t="s">
        <v>153</v>
      </c>
      <c r="E4" s="459" t="s">
        <v>27</v>
      </c>
      <c r="F4" s="460" t="s">
        <v>62</v>
      </c>
      <c r="G4" s="433"/>
    </row>
    <row r="5" spans="2:9" ht="18" thickBot="1">
      <c r="B5" s="631"/>
      <c r="C5" s="505" t="s">
        <v>384</v>
      </c>
      <c r="E5" s="196" t="s">
        <v>85</v>
      </c>
      <c r="F5" s="200" t="str">
        <f>Voorblad!$E$16</f>
        <v>Stichting Opspoor</v>
      </c>
      <c r="G5" s="433"/>
    </row>
    <row r="6" spans="2:9" ht="18" thickBot="1">
      <c r="B6" s="533"/>
      <c r="C6" s="505" t="s">
        <v>272</v>
      </c>
      <c r="E6" s="196" t="s">
        <v>33</v>
      </c>
      <c r="F6" s="200" t="str">
        <f>'1.0-Contractblad'!$E$7</f>
        <v>Purmerend e.o.</v>
      </c>
      <c r="G6" s="434"/>
      <c r="H6" s="434"/>
    </row>
    <row r="7" spans="2:9" ht="17">
      <c r="B7" s="689"/>
      <c r="C7" s="505" t="s">
        <v>479</v>
      </c>
      <c r="E7" s="196" t="s">
        <v>114</v>
      </c>
      <c r="F7" s="206" t="str">
        <f>Voorblad!$E$24</f>
        <v>1501-102-2026</v>
      </c>
      <c r="G7" s="433"/>
    </row>
    <row r="8" spans="2:9" ht="17">
      <c r="E8" s="196" t="s">
        <v>145</v>
      </c>
      <c r="F8" s="211" t="str">
        <f ca="1">Voorblad!$E$26</f>
        <v>Calculatiemodule Opspoor Perceel 3 V1.1 | 01-jan-27 Wijziging bijgehouden</v>
      </c>
      <c r="G8" s="435"/>
    </row>
    <row r="9" spans="2:9" ht="17">
      <c r="E9" s="459" t="s">
        <v>83</v>
      </c>
      <c r="F9" s="245" t="str">
        <f>Voorblad!$E$19</f>
        <v>Naam organisatie</v>
      </c>
      <c r="G9" s="433"/>
    </row>
    <row r="10" spans="2:9" ht="17">
      <c r="E10" s="196" t="s">
        <v>6</v>
      </c>
      <c r="F10" s="218">
        <f>Voorblad!$E$22</f>
        <v>46388</v>
      </c>
    </row>
    <row r="11" spans="2:9" ht="17">
      <c r="E11" s="432"/>
      <c r="F11" s="436"/>
    </row>
    <row r="12" spans="2:9">
      <c r="E12" s="437"/>
      <c r="F12" s="437"/>
      <c r="G12" s="437"/>
      <c r="H12" s="437"/>
    </row>
    <row r="13" spans="2:9" ht="15.75" customHeight="1">
      <c r="C13" s="43"/>
      <c r="E13" s="508" t="s">
        <v>63</v>
      </c>
      <c r="F13" s="828"/>
      <c r="G13" s="829"/>
      <c r="H13" s="830"/>
    </row>
    <row r="14" spans="2:9">
      <c r="B14" s="334"/>
      <c r="C14" s="334"/>
      <c r="E14" s="509" t="s">
        <v>35</v>
      </c>
      <c r="F14" s="828"/>
      <c r="G14" s="829"/>
      <c r="H14" s="830"/>
    </row>
    <row r="15" spans="2:9">
      <c r="E15" s="439"/>
      <c r="F15" s="439"/>
      <c r="G15" s="440"/>
      <c r="H15" s="440"/>
    </row>
    <row r="16" spans="2:9" ht="17">
      <c r="E16" s="438" t="s">
        <v>82</v>
      </c>
      <c r="F16" s="439"/>
      <c r="G16" s="441"/>
      <c r="H16" s="442" t="s">
        <v>105</v>
      </c>
    </row>
    <row r="17" spans="5:10">
      <c r="E17" s="439" t="s">
        <v>66</v>
      </c>
      <c r="F17" s="439"/>
      <c r="G17" s="439"/>
      <c r="H17" s="486"/>
    </row>
    <row r="18" spans="5:10">
      <c r="E18" s="439" t="s">
        <v>38</v>
      </c>
      <c r="F18" s="439"/>
      <c r="G18" s="439"/>
      <c r="H18" s="486"/>
    </row>
    <row r="19" spans="5:10">
      <c r="E19" s="439" t="s">
        <v>98</v>
      </c>
      <c r="F19" s="439"/>
      <c r="G19" s="439"/>
      <c r="H19" s="540">
        <f>H17-H18</f>
        <v>0</v>
      </c>
    </row>
    <row r="20" spans="5:10">
      <c r="E20" s="439" t="s">
        <v>79</v>
      </c>
      <c r="F20" s="439"/>
      <c r="G20" s="439"/>
      <c r="H20" s="487"/>
      <c r="J20" s="772">
        <f>IF(H20&gt;4,"Afschrijving maximaal 4 jaar!",0)</f>
        <v>0</v>
      </c>
    </row>
    <row r="21" spans="5:10">
      <c r="E21" s="439" t="s">
        <v>99</v>
      </c>
      <c r="F21" s="439"/>
      <c r="G21" s="439"/>
      <c r="H21" s="541"/>
    </row>
    <row r="22" spans="5:10">
      <c r="E22" s="439"/>
      <c r="F22" s="439"/>
      <c r="G22" s="440"/>
      <c r="H22" s="443"/>
    </row>
    <row r="23" spans="5:10">
      <c r="E23" s="438" t="s">
        <v>57</v>
      </c>
      <c r="F23" s="439"/>
      <c r="G23" s="439"/>
      <c r="H23" s="444"/>
    </row>
    <row r="24" spans="5:10">
      <c r="E24" s="439" t="s">
        <v>103</v>
      </c>
      <c r="F24" s="439"/>
      <c r="G24" s="439"/>
      <c r="H24" s="542">
        <f>IF(H20=0,0,(H19-H21)/H20)</f>
        <v>0</v>
      </c>
    </row>
    <row r="25" spans="5:10">
      <c r="E25" s="439" t="s">
        <v>111</v>
      </c>
      <c r="F25" s="439"/>
      <c r="G25" s="439"/>
      <c r="H25" s="486"/>
    </row>
    <row r="26" spans="5:10">
      <c r="E26" s="439" t="s">
        <v>32</v>
      </c>
      <c r="F26" s="443" t="s">
        <v>29</v>
      </c>
      <c r="G26" s="488"/>
      <c r="H26" s="542">
        <f>G26*H19</f>
        <v>0</v>
      </c>
    </row>
    <row r="27" spans="5:10">
      <c r="E27" s="439" t="s">
        <v>71</v>
      </c>
      <c r="F27" s="443" t="s">
        <v>29</v>
      </c>
      <c r="G27" s="488"/>
      <c r="H27" s="542">
        <f>G27*H19</f>
        <v>0</v>
      </c>
    </row>
    <row r="28" spans="5:10">
      <c r="E28" s="439"/>
      <c r="F28" s="439"/>
      <c r="G28" s="440"/>
      <c r="H28" s="443"/>
    </row>
    <row r="29" spans="5:10">
      <c r="E29" s="438" t="s">
        <v>54</v>
      </c>
      <c r="F29" s="439"/>
      <c r="G29" s="439"/>
      <c r="H29" s="542">
        <f>SUM(H24:H28)</f>
        <v>0</v>
      </c>
    </row>
    <row r="30" spans="5:10">
      <c r="E30" s="439"/>
      <c r="F30" s="439"/>
      <c r="G30" s="440"/>
      <c r="H30" s="443"/>
    </row>
    <row r="31" spans="5:10">
      <c r="F31" s="439" t="s">
        <v>101</v>
      </c>
      <c r="G31" s="487"/>
      <c r="H31" s="542">
        <f>G31*H29</f>
        <v>0</v>
      </c>
    </row>
    <row r="32" spans="5:10" ht="17">
      <c r="E32" s="197"/>
      <c r="F32" s="445"/>
      <c r="G32" s="433"/>
      <c r="H32" s="433"/>
    </row>
    <row r="33" spans="5:10">
      <c r="E33" s="508" t="s">
        <v>63</v>
      </c>
      <c r="F33" s="828"/>
      <c r="G33" s="829"/>
      <c r="H33" s="830"/>
    </row>
    <row r="34" spans="5:10">
      <c r="E34" s="509" t="s">
        <v>35</v>
      </c>
      <c r="F34" s="828"/>
      <c r="G34" s="829"/>
      <c r="H34" s="830"/>
    </row>
    <row r="35" spans="5:10">
      <c r="E35" s="439"/>
      <c r="F35" s="439"/>
      <c r="G35" s="440"/>
      <c r="H35" s="440"/>
    </row>
    <row r="36" spans="5:10" ht="17">
      <c r="E36" s="438" t="s">
        <v>82</v>
      </c>
      <c r="F36" s="439"/>
      <c r="G36" s="441"/>
      <c r="H36" s="442" t="s">
        <v>105</v>
      </c>
    </row>
    <row r="37" spans="5:10">
      <c r="E37" s="439" t="s">
        <v>66</v>
      </c>
      <c r="F37" s="439"/>
      <c r="G37" s="439"/>
      <c r="H37" s="486"/>
    </row>
    <row r="38" spans="5:10">
      <c r="E38" s="439" t="s">
        <v>38</v>
      </c>
      <c r="F38" s="439"/>
      <c r="G38" s="439"/>
      <c r="H38" s="486">
        <v>0</v>
      </c>
    </row>
    <row r="39" spans="5:10">
      <c r="E39" s="439" t="s">
        <v>98</v>
      </c>
      <c r="F39" s="439"/>
      <c r="G39" s="439"/>
      <c r="H39" s="540">
        <f>H37-H38</f>
        <v>0</v>
      </c>
    </row>
    <row r="40" spans="5:10">
      <c r="E40" s="439" t="s">
        <v>79</v>
      </c>
      <c r="F40" s="439"/>
      <c r="G40" s="439"/>
      <c r="H40" s="487"/>
      <c r="J40" s="772">
        <f>IF(H40&gt;4,"Afschrijving maximaal 4 jaar!",0)</f>
        <v>0</v>
      </c>
    </row>
    <row r="41" spans="5:10">
      <c r="E41" s="439" t="s">
        <v>99</v>
      </c>
      <c r="F41" s="439"/>
      <c r="G41" s="439"/>
      <c r="H41" s="541">
        <v>0</v>
      </c>
    </row>
    <row r="42" spans="5:10">
      <c r="E42" s="439"/>
      <c r="F42" s="439"/>
      <c r="G42" s="440"/>
      <c r="H42" s="443"/>
    </row>
    <row r="43" spans="5:10">
      <c r="E43" s="438" t="s">
        <v>57</v>
      </c>
      <c r="F43" s="439"/>
      <c r="G43" s="439"/>
      <c r="H43" s="444"/>
    </row>
    <row r="44" spans="5:10">
      <c r="E44" s="439" t="s">
        <v>103</v>
      </c>
      <c r="F44" s="439"/>
      <c r="G44" s="439"/>
      <c r="H44" s="542">
        <f>IF(H40=0,0,(H39-H41)/H40)</f>
        <v>0</v>
      </c>
    </row>
    <row r="45" spans="5:10">
      <c r="E45" s="439" t="s">
        <v>111</v>
      </c>
      <c r="F45" s="439"/>
      <c r="G45" s="439"/>
      <c r="H45" s="486"/>
    </row>
    <row r="46" spans="5:10">
      <c r="E46" s="439" t="s">
        <v>32</v>
      </c>
      <c r="F46" s="443" t="s">
        <v>29</v>
      </c>
      <c r="G46" s="488"/>
      <c r="H46" s="542">
        <f>G46*H39</f>
        <v>0</v>
      </c>
    </row>
    <row r="47" spans="5:10">
      <c r="E47" s="439" t="s">
        <v>71</v>
      </c>
      <c r="F47" s="443" t="s">
        <v>29</v>
      </c>
      <c r="G47" s="488"/>
      <c r="H47" s="542">
        <f>G47*H39</f>
        <v>0</v>
      </c>
    </row>
    <row r="48" spans="5:10">
      <c r="E48" s="439"/>
      <c r="F48" s="439"/>
      <c r="G48" s="440"/>
      <c r="H48" s="443"/>
    </row>
    <row r="49" spans="5:10">
      <c r="E49" s="438" t="s">
        <v>54</v>
      </c>
      <c r="F49" s="439"/>
      <c r="G49" s="439"/>
      <c r="H49" s="542">
        <f>SUM(H44:H48)</f>
        <v>0</v>
      </c>
    </row>
    <row r="50" spans="5:10">
      <c r="E50" s="439"/>
      <c r="F50" s="439"/>
      <c r="G50" s="440"/>
      <c r="H50" s="443"/>
    </row>
    <row r="51" spans="5:10">
      <c r="F51" s="439" t="s">
        <v>101</v>
      </c>
      <c r="G51" s="487"/>
      <c r="H51" s="542">
        <f>G51*H49</f>
        <v>0</v>
      </c>
    </row>
    <row r="52" spans="5:10" ht="17">
      <c r="E52" s="197"/>
      <c r="F52" s="445"/>
      <c r="G52" s="433"/>
      <c r="H52" s="433"/>
    </row>
    <row r="53" spans="5:10">
      <c r="E53" s="508" t="s">
        <v>63</v>
      </c>
      <c r="F53" s="828"/>
      <c r="G53" s="829"/>
      <c r="H53" s="830"/>
    </row>
    <row r="54" spans="5:10">
      <c r="E54" s="509" t="s">
        <v>35</v>
      </c>
      <c r="F54" s="828"/>
      <c r="G54" s="829"/>
      <c r="H54" s="830"/>
    </row>
    <row r="55" spans="5:10">
      <c r="E55" s="439"/>
      <c r="F55" s="439"/>
      <c r="G55" s="440"/>
      <c r="H55" s="440"/>
    </row>
    <row r="56" spans="5:10" ht="17">
      <c r="E56" s="438" t="s">
        <v>82</v>
      </c>
      <c r="F56" s="439"/>
      <c r="G56" s="441"/>
      <c r="H56" s="442" t="s">
        <v>105</v>
      </c>
    </row>
    <row r="57" spans="5:10">
      <c r="E57" s="439" t="s">
        <v>66</v>
      </c>
      <c r="F57" s="439"/>
      <c r="G57" s="439"/>
      <c r="H57" s="486"/>
    </row>
    <row r="58" spans="5:10">
      <c r="E58" s="439" t="s">
        <v>38</v>
      </c>
      <c r="F58" s="439"/>
      <c r="G58" s="439"/>
      <c r="H58" s="486">
        <v>0</v>
      </c>
    </row>
    <row r="59" spans="5:10">
      <c r="E59" s="439" t="s">
        <v>98</v>
      </c>
      <c r="F59" s="439"/>
      <c r="G59" s="439"/>
      <c r="H59" s="540">
        <f>H57-H58</f>
        <v>0</v>
      </c>
    </row>
    <row r="60" spans="5:10">
      <c r="E60" s="439" t="s">
        <v>79</v>
      </c>
      <c r="F60" s="439"/>
      <c r="G60" s="439"/>
      <c r="H60" s="487"/>
      <c r="J60" s="772">
        <f>IF(H60&gt;4,"Afschrijving maximaal 4 jaar!",0)</f>
        <v>0</v>
      </c>
    </row>
    <row r="61" spans="5:10">
      <c r="E61" s="439" t="s">
        <v>99</v>
      </c>
      <c r="F61" s="439"/>
      <c r="G61" s="439"/>
      <c r="H61" s="541">
        <v>0</v>
      </c>
    </row>
    <row r="62" spans="5:10">
      <c r="E62" s="439"/>
      <c r="F62" s="439"/>
      <c r="G62" s="440"/>
      <c r="H62" s="443"/>
    </row>
    <row r="63" spans="5:10">
      <c r="E63" s="438" t="s">
        <v>57</v>
      </c>
      <c r="F63" s="439"/>
      <c r="G63" s="439"/>
      <c r="H63" s="444"/>
    </row>
    <row r="64" spans="5:10">
      <c r="E64" s="439" t="s">
        <v>103</v>
      </c>
      <c r="F64" s="439"/>
      <c r="G64" s="439"/>
      <c r="H64" s="542">
        <f>IF(H60=0,0,(H59-H61)/H60)</f>
        <v>0</v>
      </c>
    </row>
    <row r="65" spans="5:10">
      <c r="E65" s="439" t="s">
        <v>111</v>
      </c>
      <c r="F65" s="439"/>
      <c r="G65" s="439"/>
      <c r="H65" s="486"/>
    </row>
    <row r="66" spans="5:10">
      <c r="E66" s="439" t="s">
        <v>32</v>
      </c>
      <c r="F66" s="443" t="s">
        <v>29</v>
      </c>
      <c r="G66" s="488"/>
      <c r="H66" s="542">
        <f>G66*H59</f>
        <v>0</v>
      </c>
    </row>
    <row r="67" spans="5:10">
      <c r="E67" s="439" t="s">
        <v>71</v>
      </c>
      <c r="F67" s="443" t="s">
        <v>29</v>
      </c>
      <c r="G67" s="488"/>
      <c r="H67" s="542">
        <f>G67*H59</f>
        <v>0</v>
      </c>
    </row>
    <row r="68" spans="5:10">
      <c r="E68" s="439"/>
      <c r="F68" s="439"/>
      <c r="G68" s="440"/>
      <c r="H68" s="443"/>
    </row>
    <row r="69" spans="5:10">
      <c r="E69" s="438" t="s">
        <v>54</v>
      </c>
      <c r="F69" s="439"/>
      <c r="G69" s="439"/>
      <c r="H69" s="542">
        <f>SUM(H64:H68)</f>
        <v>0</v>
      </c>
    </row>
    <row r="70" spans="5:10">
      <c r="E70" s="439"/>
      <c r="F70" s="439"/>
      <c r="G70" s="440"/>
      <c r="H70" s="443"/>
    </row>
    <row r="71" spans="5:10">
      <c r="F71" s="439" t="s">
        <v>101</v>
      </c>
      <c r="G71" s="487"/>
      <c r="H71" s="542">
        <f>G71*H69</f>
        <v>0</v>
      </c>
    </row>
    <row r="72" spans="5:10" ht="17">
      <c r="E72" s="197"/>
      <c r="F72" s="445"/>
      <c r="G72" s="433"/>
      <c r="H72" s="433"/>
    </row>
    <row r="73" spans="5:10">
      <c r="E73" s="508" t="s">
        <v>63</v>
      </c>
      <c r="F73" s="828"/>
      <c r="G73" s="829"/>
      <c r="H73" s="830"/>
    </row>
    <row r="74" spans="5:10">
      <c r="E74" s="509" t="s">
        <v>35</v>
      </c>
      <c r="F74" s="828"/>
      <c r="G74" s="829"/>
      <c r="H74" s="830"/>
    </row>
    <row r="75" spans="5:10">
      <c r="E75" s="439"/>
      <c r="F75" s="439"/>
      <c r="G75" s="440"/>
      <c r="H75" s="440"/>
    </row>
    <row r="76" spans="5:10" ht="17">
      <c r="E76" s="438" t="s">
        <v>82</v>
      </c>
      <c r="F76" s="439"/>
      <c r="G76" s="441"/>
      <c r="H76" s="442" t="s">
        <v>105</v>
      </c>
    </row>
    <row r="77" spans="5:10">
      <c r="E77" s="439" t="s">
        <v>66</v>
      </c>
      <c r="F77" s="439"/>
      <c r="G77" s="439"/>
      <c r="H77" s="486"/>
    </row>
    <row r="78" spans="5:10">
      <c r="E78" s="439" t="s">
        <v>38</v>
      </c>
      <c r="F78" s="439"/>
      <c r="G78" s="439"/>
      <c r="H78" s="486">
        <v>0</v>
      </c>
    </row>
    <row r="79" spans="5:10">
      <c r="E79" s="439" t="s">
        <v>98</v>
      </c>
      <c r="F79" s="439"/>
      <c r="G79" s="439"/>
      <c r="H79" s="540">
        <f>H77-H78</f>
        <v>0</v>
      </c>
    </row>
    <row r="80" spans="5:10">
      <c r="E80" s="439" t="s">
        <v>79</v>
      </c>
      <c r="F80" s="439"/>
      <c r="G80" s="439"/>
      <c r="H80" s="487"/>
      <c r="J80" s="772">
        <f>IF(H80&gt;4,"Afschrijving maximaal 4 jaar!",0)</f>
        <v>0</v>
      </c>
    </row>
    <row r="81" spans="5:9">
      <c r="E81" s="439" t="s">
        <v>99</v>
      </c>
      <c r="F81" s="439"/>
      <c r="G81" s="439"/>
      <c r="H81" s="541">
        <v>0</v>
      </c>
    </row>
    <row r="82" spans="5:9">
      <c r="E82" s="439"/>
      <c r="F82" s="439"/>
      <c r="G82" s="440"/>
      <c r="H82" s="443"/>
    </row>
    <row r="83" spans="5:9">
      <c r="E83" s="438" t="s">
        <v>57</v>
      </c>
      <c r="F83" s="439"/>
      <c r="G83" s="439"/>
      <c r="H83" s="444"/>
    </row>
    <row r="84" spans="5:9">
      <c r="E84" s="439" t="s">
        <v>103</v>
      </c>
      <c r="F84" s="439"/>
      <c r="G84" s="439"/>
      <c r="H84" s="542">
        <f>IF(H80=0,0,(H79-H81)/H80)</f>
        <v>0</v>
      </c>
    </row>
    <row r="85" spans="5:9">
      <c r="E85" s="439" t="s">
        <v>111</v>
      </c>
      <c r="F85" s="439"/>
      <c r="G85" s="439"/>
      <c r="H85" s="486">
        <v>0</v>
      </c>
    </row>
    <row r="86" spans="5:9">
      <c r="E86" s="439" t="s">
        <v>32</v>
      </c>
      <c r="F86" s="443" t="s">
        <v>29</v>
      </c>
      <c r="G86" s="488">
        <v>0</v>
      </c>
      <c r="H86" s="542">
        <f>G86*H79</f>
        <v>0</v>
      </c>
    </row>
    <row r="87" spans="5:9">
      <c r="E87" s="439" t="s">
        <v>71</v>
      </c>
      <c r="F87" s="443" t="s">
        <v>29</v>
      </c>
      <c r="G87" s="488">
        <v>0</v>
      </c>
      <c r="H87" s="542">
        <f>G87*H79</f>
        <v>0</v>
      </c>
    </row>
    <row r="88" spans="5:9">
      <c r="E88" s="439"/>
      <c r="F88" s="439"/>
      <c r="G88" s="440"/>
      <c r="H88" s="443"/>
    </row>
    <row r="89" spans="5:9">
      <c r="E89" s="438" t="s">
        <v>54</v>
      </c>
      <c r="F89" s="439"/>
      <c r="G89" s="439"/>
      <c r="H89" s="542">
        <f>SUM(H84:H88)</f>
        <v>0</v>
      </c>
    </row>
    <row r="90" spans="5:9">
      <c r="E90" s="439"/>
      <c r="F90" s="439"/>
      <c r="G90" s="440"/>
      <c r="H90" s="443"/>
    </row>
    <row r="91" spans="5:9">
      <c r="F91" s="439" t="s">
        <v>101</v>
      </c>
      <c r="G91" s="487"/>
      <c r="H91" s="542">
        <f>G91*H89</f>
        <v>0</v>
      </c>
    </row>
    <row r="92" spans="5:9" ht="17">
      <c r="E92" s="197"/>
      <c r="F92" s="445"/>
      <c r="G92" s="433"/>
      <c r="H92" s="433"/>
    </row>
    <row r="93" spans="5:9">
      <c r="E93" s="439"/>
      <c r="F93" s="439"/>
      <c r="G93" s="439"/>
      <c r="H93" s="446"/>
    </row>
    <row r="94" spans="5:9" ht="17">
      <c r="E94" s="438" t="s">
        <v>87</v>
      </c>
      <c r="G94" s="447"/>
      <c r="H94" s="543">
        <f>(H91+H71+H51+H31)</f>
        <v>0</v>
      </c>
      <c r="I94" s="449"/>
    </row>
    <row r="97" spans="5:10" ht="32" hidden="1">
      <c r="E97" s="451" t="s">
        <v>26</v>
      </c>
      <c r="F97" s="452" t="s">
        <v>142</v>
      </c>
      <c r="G97" s="453"/>
      <c r="H97" s="452" t="s">
        <v>143</v>
      </c>
      <c r="I97" s="453"/>
    </row>
    <row r="98" spans="5:10" hidden="1">
      <c r="E98" s="451"/>
      <c r="F98" s="452"/>
      <c r="G98" s="453"/>
      <c r="H98" s="452"/>
      <c r="I98" s="453"/>
    </row>
    <row r="99" spans="5:10" hidden="1">
      <c r="E99" s="83" t="e">
        <f>'1.1a-Jaarprijzen'!#REF!</f>
        <v>#REF!</v>
      </c>
      <c r="F99" s="454"/>
      <c r="H99" s="507">
        <f>F99*$H$94</f>
        <v>0</v>
      </c>
      <c r="J99" s="458"/>
    </row>
    <row r="100" spans="5:10" hidden="1">
      <c r="E100" s="83" t="e">
        <f>'1.1a-Jaarprijzen'!#REF!</f>
        <v>#REF!</v>
      </c>
      <c r="F100" s="454"/>
      <c r="H100" s="507">
        <f t="shared" ref="H100:H108" si="0">F100*$H$94</f>
        <v>0</v>
      </c>
      <c r="J100" s="458"/>
    </row>
    <row r="101" spans="5:10" hidden="1">
      <c r="E101" s="83" t="e">
        <f>'1.1a-Jaarprijzen'!#REF!</f>
        <v>#REF!</v>
      </c>
      <c r="F101" s="454"/>
      <c r="H101" s="507">
        <f t="shared" si="0"/>
        <v>0</v>
      </c>
      <c r="J101" s="458"/>
    </row>
    <row r="102" spans="5:10" hidden="1">
      <c r="E102" s="83" t="e">
        <f>'1.1a-Jaarprijzen'!#REF!</f>
        <v>#REF!</v>
      </c>
      <c r="F102" s="454"/>
      <c r="H102" s="507">
        <f t="shared" si="0"/>
        <v>0</v>
      </c>
      <c r="J102" s="458"/>
    </row>
    <row r="103" spans="5:10" hidden="1">
      <c r="E103" s="83" t="e">
        <f>'1.1a-Jaarprijzen'!#REF!</f>
        <v>#REF!</v>
      </c>
      <c r="F103" s="454"/>
      <c r="H103" s="507">
        <f t="shared" si="0"/>
        <v>0</v>
      </c>
      <c r="J103" s="458"/>
    </row>
    <row r="104" spans="5:10" hidden="1">
      <c r="E104" s="83" t="e">
        <f>'1.1a-Jaarprijzen'!#REF!</f>
        <v>#REF!</v>
      </c>
      <c r="F104" s="454"/>
      <c r="H104" s="507">
        <f t="shared" si="0"/>
        <v>0</v>
      </c>
      <c r="J104" s="458"/>
    </row>
    <row r="105" spans="5:10" hidden="1">
      <c r="E105" s="83" t="e">
        <f>'1.1a-Jaarprijzen'!#REF!</f>
        <v>#REF!</v>
      </c>
      <c r="F105" s="454"/>
      <c r="H105" s="507">
        <f t="shared" si="0"/>
        <v>0</v>
      </c>
      <c r="J105" s="458"/>
    </row>
    <row r="106" spans="5:10" hidden="1">
      <c r="E106" s="83" t="e">
        <f>'1.1a-Jaarprijzen'!#REF!</f>
        <v>#REF!</v>
      </c>
      <c r="F106" s="454"/>
      <c r="H106" s="507">
        <f t="shared" si="0"/>
        <v>0</v>
      </c>
      <c r="J106" s="458"/>
    </row>
    <row r="107" spans="5:10" hidden="1">
      <c r="E107" s="83" t="e">
        <f>'1.1a-Jaarprijzen'!#REF!</f>
        <v>#REF!</v>
      </c>
      <c r="F107" s="454"/>
      <c r="H107" s="507">
        <f t="shared" si="0"/>
        <v>0</v>
      </c>
      <c r="J107" s="458"/>
    </row>
    <row r="108" spans="5:10" hidden="1">
      <c r="E108" s="83" t="e">
        <f>'1.1a-Jaarprijzen'!#REF!</f>
        <v>#REF!</v>
      </c>
      <c r="F108" s="454"/>
      <c r="H108" s="507">
        <f t="shared" si="0"/>
        <v>0</v>
      </c>
      <c r="J108" s="458"/>
    </row>
    <row r="109" spans="5:10" hidden="1">
      <c r="E109" s="83" t="e">
        <f>'1.1a-Jaarprijzen'!#REF!</f>
        <v>#REF!</v>
      </c>
      <c r="F109" s="454"/>
      <c r="H109" s="507">
        <f t="shared" ref="H109:H149" si="1">F109*$H$94</f>
        <v>0</v>
      </c>
      <c r="J109" s="458"/>
    </row>
    <row r="110" spans="5:10" hidden="1">
      <c r="E110" s="83" t="e">
        <f>'1.1a-Jaarprijzen'!#REF!</f>
        <v>#REF!</v>
      </c>
      <c r="F110" s="454"/>
      <c r="H110" s="507">
        <f t="shared" si="1"/>
        <v>0</v>
      </c>
      <c r="J110" s="458"/>
    </row>
    <row r="111" spans="5:10" hidden="1">
      <c r="E111" s="83" t="e">
        <f>'1.1a-Jaarprijzen'!#REF!</f>
        <v>#REF!</v>
      </c>
      <c r="F111" s="454"/>
      <c r="H111" s="507">
        <f t="shared" si="1"/>
        <v>0</v>
      </c>
      <c r="J111" s="458"/>
    </row>
    <row r="112" spans="5:10" hidden="1">
      <c r="E112" s="83" t="e">
        <f>'1.1a-Jaarprijzen'!#REF!</f>
        <v>#REF!</v>
      </c>
      <c r="F112" s="454"/>
      <c r="H112" s="507">
        <f t="shared" si="1"/>
        <v>0</v>
      </c>
      <c r="J112" s="458"/>
    </row>
    <row r="113" spans="5:10" hidden="1">
      <c r="E113" s="83" t="e">
        <f>'1.1a-Jaarprijzen'!#REF!</f>
        <v>#REF!</v>
      </c>
      <c r="F113" s="454"/>
      <c r="H113" s="507">
        <f t="shared" si="1"/>
        <v>0</v>
      </c>
      <c r="J113" s="458"/>
    </row>
    <row r="114" spans="5:10" hidden="1">
      <c r="E114" s="83" t="e">
        <f>'1.1a-Jaarprijzen'!#REF!</f>
        <v>#REF!</v>
      </c>
      <c r="F114" s="454"/>
      <c r="H114" s="507">
        <f t="shared" si="1"/>
        <v>0</v>
      </c>
      <c r="J114" s="458"/>
    </row>
    <row r="115" spans="5:10" hidden="1">
      <c r="E115" s="83" t="e">
        <f>'1.1a-Jaarprijzen'!#REF!</f>
        <v>#REF!</v>
      </c>
      <c r="F115" s="454"/>
      <c r="H115" s="507">
        <f t="shared" si="1"/>
        <v>0</v>
      </c>
      <c r="J115" s="458"/>
    </row>
    <row r="116" spans="5:10" hidden="1">
      <c r="E116" s="83" t="e">
        <f>'1.1a-Jaarprijzen'!#REF!</f>
        <v>#REF!</v>
      </c>
      <c r="F116" s="454"/>
      <c r="H116" s="507">
        <f t="shared" si="1"/>
        <v>0</v>
      </c>
      <c r="J116" s="458"/>
    </row>
    <row r="117" spans="5:10" hidden="1">
      <c r="E117" s="83" t="e">
        <f>'1.1a-Jaarprijzen'!#REF!</f>
        <v>#REF!</v>
      </c>
      <c r="F117" s="454"/>
      <c r="H117" s="507">
        <f t="shared" si="1"/>
        <v>0</v>
      </c>
      <c r="J117" s="458"/>
    </row>
    <row r="118" spans="5:10" hidden="1">
      <c r="E118" s="83" t="e">
        <f>'1.1a-Jaarprijzen'!#REF!</f>
        <v>#REF!</v>
      </c>
      <c r="F118" s="454"/>
      <c r="H118" s="507">
        <f t="shared" si="1"/>
        <v>0</v>
      </c>
      <c r="J118" s="458"/>
    </row>
    <row r="119" spans="5:10" hidden="1">
      <c r="E119" s="83" t="e">
        <f>'1.1a-Jaarprijzen'!#REF!</f>
        <v>#REF!</v>
      </c>
      <c r="F119" s="454"/>
      <c r="H119" s="507">
        <f t="shared" si="1"/>
        <v>0</v>
      </c>
      <c r="J119" s="458"/>
    </row>
    <row r="120" spans="5:10" hidden="1">
      <c r="E120" s="83" t="e">
        <f>'1.1a-Jaarprijzen'!#REF!</f>
        <v>#REF!</v>
      </c>
      <c r="F120" s="454"/>
      <c r="H120" s="507">
        <f t="shared" si="1"/>
        <v>0</v>
      </c>
      <c r="J120" s="458"/>
    </row>
    <row r="121" spans="5:10" hidden="1">
      <c r="E121" s="83" t="e">
        <f>'1.1a-Jaarprijzen'!#REF!</f>
        <v>#REF!</v>
      </c>
      <c r="F121" s="454"/>
      <c r="H121" s="507">
        <f t="shared" si="1"/>
        <v>0</v>
      </c>
      <c r="J121" s="458"/>
    </row>
    <row r="122" spans="5:10" hidden="1">
      <c r="E122" s="83" t="e">
        <f>'1.1a-Jaarprijzen'!#REF!</f>
        <v>#REF!</v>
      </c>
      <c r="F122" s="454"/>
      <c r="H122" s="507">
        <f t="shared" si="1"/>
        <v>0</v>
      </c>
      <c r="J122" s="458"/>
    </row>
    <row r="123" spans="5:10" hidden="1">
      <c r="E123" s="83" t="e">
        <f>'1.1a-Jaarprijzen'!#REF!</f>
        <v>#REF!</v>
      </c>
      <c r="F123" s="454"/>
      <c r="H123" s="507">
        <f t="shared" si="1"/>
        <v>0</v>
      </c>
      <c r="J123" s="458"/>
    </row>
    <row r="124" spans="5:10" hidden="1">
      <c r="E124" s="83" t="e">
        <f>'1.1a-Jaarprijzen'!#REF!</f>
        <v>#REF!</v>
      </c>
      <c r="F124" s="454"/>
      <c r="H124" s="507">
        <f t="shared" si="1"/>
        <v>0</v>
      </c>
      <c r="J124" s="458"/>
    </row>
    <row r="125" spans="5:10" hidden="1">
      <c r="E125" s="83" t="e">
        <f>'1.1a-Jaarprijzen'!#REF!</f>
        <v>#REF!</v>
      </c>
      <c r="F125" s="454"/>
      <c r="H125" s="507">
        <f t="shared" si="1"/>
        <v>0</v>
      </c>
      <c r="J125" s="458"/>
    </row>
    <row r="126" spans="5:10" hidden="1">
      <c r="E126" s="83" t="e">
        <f>'1.1a-Jaarprijzen'!#REF!</f>
        <v>#REF!</v>
      </c>
      <c r="F126" s="454"/>
      <c r="H126" s="507">
        <f t="shared" si="1"/>
        <v>0</v>
      </c>
      <c r="J126" s="458"/>
    </row>
    <row r="127" spans="5:10" hidden="1">
      <c r="E127" s="83" t="e">
        <f>'1.1a-Jaarprijzen'!#REF!</f>
        <v>#REF!</v>
      </c>
      <c r="F127" s="454"/>
      <c r="H127" s="507">
        <f t="shared" si="1"/>
        <v>0</v>
      </c>
      <c r="J127" s="458"/>
    </row>
    <row r="128" spans="5:10" hidden="1">
      <c r="E128" s="83" t="e">
        <f>'1.1a-Jaarprijzen'!#REF!</f>
        <v>#REF!</v>
      </c>
      <c r="F128" s="454"/>
      <c r="H128" s="507">
        <f t="shared" si="1"/>
        <v>0</v>
      </c>
      <c r="J128" s="458"/>
    </row>
    <row r="129" spans="5:10" hidden="1">
      <c r="E129" s="83" t="e">
        <f>'1.1a-Jaarprijzen'!#REF!</f>
        <v>#REF!</v>
      </c>
      <c r="F129" s="454"/>
      <c r="H129" s="507">
        <f t="shared" si="1"/>
        <v>0</v>
      </c>
      <c r="J129" s="458"/>
    </row>
    <row r="130" spans="5:10" hidden="1">
      <c r="E130" s="83" t="e">
        <f>'1.1a-Jaarprijzen'!#REF!</f>
        <v>#REF!</v>
      </c>
      <c r="F130" s="454"/>
      <c r="H130" s="507">
        <f t="shared" si="1"/>
        <v>0</v>
      </c>
      <c r="J130" s="458"/>
    </row>
    <row r="131" spans="5:10" hidden="1">
      <c r="E131" s="83" t="e">
        <f>'1.1a-Jaarprijzen'!#REF!</f>
        <v>#REF!</v>
      </c>
      <c r="F131" s="454"/>
      <c r="H131" s="507">
        <f t="shared" si="1"/>
        <v>0</v>
      </c>
      <c r="J131" s="458"/>
    </row>
    <row r="132" spans="5:10" hidden="1">
      <c r="E132" s="83" t="e">
        <f>'1.1a-Jaarprijzen'!#REF!</f>
        <v>#REF!</v>
      </c>
      <c r="F132" s="454"/>
      <c r="H132" s="507">
        <f t="shared" si="1"/>
        <v>0</v>
      </c>
      <c r="J132" s="458"/>
    </row>
    <row r="133" spans="5:10" hidden="1">
      <c r="E133" s="83" t="str">
        <f>'1.1a-Jaarprijzen'!B13</f>
        <v>OBS De Ranonkel</v>
      </c>
      <c r="F133" s="454"/>
      <c r="H133" s="507">
        <f t="shared" si="1"/>
        <v>0</v>
      </c>
      <c r="J133" s="458"/>
    </row>
    <row r="134" spans="5:10" hidden="1">
      <c r="E134" s="83" t="str">
        <f>'1.1a-Jaarprijzen'!B14</f>
        <v>OBS De Koempoelan</v>
      </c>
      <c r="F134" s="454"/>
      <c r="H134" s="507">
        <f t="shared" si="1"/>
        <v>0</v>
      </c>
      <c r="J134" s="458"/>
    </row>
    <row r="135" spans="5:10" hidden="1">
      <c r="E135" s="83" t="str">
        <f>'1.1a-Jaarprijzen'!B15</f>
        <v>OBS Wijdewormer</v>
      </c>
      <c r="F135" s="454"/>
      <c r="H135" s="507">
        <f t="shared" si="1"/>
        <v>0</v>
      </c>
      <c r="J135" s="458"/>
    </row>
    <row r="136" spans="5:10" hidden="1">
      <c r="E136" s="83" t="str">
        <f>'1.1a-Jaarprijzen'!B16</f>
        <v>OBS De Harpoen</v>
      </c>
      <c r="F136" s="454"/>
      <c r="H136" s="507">
        <f t="shared" si="1"/>
        <v>0</v>
      </c>
      <c r="J136" s="458"/>
    </row>
    <row r="137" spans="5:10" hidden="1">
      <c r="E137" s="83" t="str">
        <f>'1.1a-Jaarprijzen'!B17</f>
        <v>OBS De Kweekvijver</v>
      </c>
      <c r="F137" s="454"/>
      <c r="H137" s="507">
        <f t="shared" si="1"/>
        <v>0</v>
      </c>
      <c r="J137" s="458"/>
    </row>
    <row r="138" spans="5:10" hidden="1">
      <c r="E138" s="83" t="str">
        <f>'1.1a-Jaarprijzen'!B18</f>
        <v>OBS De Rietkraag</v>
      </c>
      <c r="F138" s="454"/>
      <c r="H138" s="507">
        <f t="shared" si="1"/>
        <v>0</v>
      </c>
      <c r="J138" s="458"/>
    </row>
    <row r="139" spans="5:10" hidden="1">
      <c r="E139" s="83" t="str">
        <f>'1.1a-Jaarprijzen'!B19</f>
        <v>OBS Noorderschool</v>
      </c>
      <c r="F139" s="454"/>
      <c r="H139" s="507">
        <f t="shared" si="1"/>
        <v>0</v>
      </c>
      <c r="J139" s="458"/>
    </row>
    <row r="140" spans="5:10" hidden="1">
      <c r="E140" s="83" t="str">
        <f>'1.1a-Jaarprijzen'!B20</f>
        <v>OBS De Stap</v>
      </c>
      <c r="F140" s="454"/>
      <c r="H140" s="507">
        <f t="shared" si="1"/>
        <v>0</v>
      </c>
      <c r="J140" s="458"/>
    </row>
    <row r="141" spans="5:10" hidden="1">
      <c r="E141" s="83" t="str">
        <f>'1.1a-Jaarprijzen'!B21</f>
        <v>OBS Ds. J.L. de Wagemaker</v>
      </c>
      <c r="F141" s="454"/>
      <c r="H141" s="507">
        <f t="shared" si="1"/>
        <v>0</v>
      </c>
      <c r="J141" s="458"/>
    </row>
    <row r="142" spans="5:10" hidden="1">
      <c r="E142" s="83" t="str">
        <f>'1.1a-Jaarprijzen'!B22</f>
        <v>OBS De Fuik</v>
      </c>
      <c r="F142" s="454"/>
      <c r="H142" s="507">
        <f t="shared" si="1"/>
        <v>0</v>
      </c>
      <c r="J142" s="458"/>
    </row>
    <row r="143" spans="5:10" hidden="1">
      <c r="E143" s="83" t="str">
        <f>'1.1a-Jaarprijzen'!B23</f>
        <v>OBS De Eendragt</v>
      </c>
      <c r="F143" s="454"/>
      <c r="H143" s="507">
        <f t="shared" si="1"/>
        <v>0</v>
      </c>
      <c r="J143" s="458"/>
    </row>
    <row r="144" spans="5:10" hidden="1">
      <c r="E144" s="83" t="str">
        <f>'1.1a-Jaarprijzen'!B24</f>
        <v>OBS De Weremere</v>
      </c>
      <c r="F144" s="454"/>
      <c r="H144" s="507">
        <f t="shared" si="1"/>
        <v>0</v>
      </c>
      <c r="J144" s="458"/>
    </row>
    <row r="145" spans="5:10" hidden="1">
      <c r="E145" s="83" t="str">
        <f>'1.1a-Jaarprijzen'!B25</f>
        <v>OBS De Nieuwe Wereld</v>
      </c>
      <c r="F145" s="454"/>
      <c r="H145" s="507">
        <f t="shared" si="1"/>
        <v>0</v>
      </c>
      <c r="J145" s="458"/>
    </row>
    <row r="146" spans="5:10" hidden="1">
      <c r="E146" s="83" t="str">
        <f>'1.1a-Jaarprijzen'!B26</f>
        <v>OBS De Nieuwe Wereld Piek</v>
      </c>
      <c r="F146" s="454"/>
      <c r="H146" s="507">
        <f t="shared" si="1"/>
        <v>0</v>
      </c>
      <c r="J146" s="458"/>
    </row>
    <row r="147" spans="5:10" hidden="1">
      <c r="E147" s="83" t="str">
        <f>'1.1a-Jaarprijzen'!B27</f>
        <v>Kantoor OPSPOOR-SKOP</v>
      </c>
      <c r="F147" s="454"/>
      <c r="H147" s="507">
        <f t="shared" si="1"/>
        <v>0</v>
      </c>
      <c r="J147" s="458"/>
    </row>
    <row r="148" spans="5:10" hidden="1">
      <c r="E148" s="83">
        <f>'1.1a-Jaarprijzen'!B28</f>
        <v>0</v>
      </c>
      <c r="F148" s="454"/>
      <c r="H148" s="507">
        <f t="shared" si="1"/>
        <v>0</v>
      </c>
      <c r="J148" s="458"/>
    </row>
    <row r="149" spans="5:10" hidden="1">
      <c r="E149" s="83">
        <f>'1.1a-Jaarprijzen'!B29</f>
        <v>0</v>
      </c>
      <c r="F149" s="454"/>
      <c r="H149" s="507">
        <f t="shared" si="1"/>
        <v>0</v>
      </c>
      <c r="J149" s="458"/>
    </row>
    <row r="150" spans="5:10" hidden="1">
      <c r="E150" s="83"/>
      <c r="F150" s="454"/>
      <c r="H150" s="507"/>
      <c r="J150" s="458"/>
    </row>
    <row r="151" spans="5:10" hidden="1">
      <c r="E151" s="83"/>
      <c r="F151" s="454"/>
      <c r="H151" s="507"/>
      <c r="J151" s="458"/>
    </row>
    <row r="152" spans="5:10" hidden="1">
      <c r="E152" s="83"/>
      <c r="F152" s="454"/>
      <c r="H152" s="507"/>
      <c r="J152" s="458"/>
    </row>
    <row r="153" spans="5:10" hidden="1">
      <c r="E153" s="455"/>
      <c r="F153" s="454"/>
      <c r="H153" s="448"/>
      <c r="J153" s="458"/>
    </row>
    <row r="154" spans="5:10" hidden="1">
      <c r="E154" s="455"/>
      <c r="F154" s="456">
        <f>SUM(F99:F153)</f>
        <v>0</v>
      </c>
      <c r="H154" s="448">
        <f>SUM(H99:H153)</f>
        <v>0</v>
      </c>
      <c r="J154" s="448">
        <f>SUM(J99:J153)</f>
        <v>0</v>
      </c>
    </row>
    <row r="155" spans="5:10" hidden="1">
      <c r="E155" s="455"/>
      <c r="F155" s="457"/>
      <c r="H155" s="448"/>
    </row>
    <row r="156" spans="5:10" hidden="1">
      <c r="E156" s="455"/>
      <c r="F156" s="457"/>
      <c r="H156" s="448"/>
    </row>
    <row r="157" spans="5:10" hidden="1">
      <c r="E157" s="455">
        <f>'1.1a-Jaarprijzen'!B31</f>
        <v>0</v>
      </c>
      <c r="F157" s="457"/>
      <c r="H157" s="448"/>
    </row>
    <row r="158" spans="5:10">
      <c r="E158" s="455"/>
    </row>
    <row r="159" spans="5:10">
      <c r="G159" s="450"/>
    </row>
    <row r="160" spans="5:10" ht="16" thickBot="1">
      <c r="E160" s="3"/>
      <c r="F160" s="30"/>
      <c r="G160" s="30"/>
      <c r="H160" s="30"/>
    </row>
    <row r="161" spans="5:8">
      <c r="E161" s="183"/>
      <c r="F161" s="102"/>
      <c r="G161" s="102"/>
      <c r="H161" s="102"/>
    </row>
  </sheetData>
  <mergeCells count="8">
    <mergeCell ref="F74:H74"/>
    <mergeCell ref="F13:H13"/>
    <mergeCell ref="F33:H33"/>
    <mergeCell ref="F53:H53"/>
    <mergeCell ref="F73:H73"/>
    <mergeCell ref="F14:H14"/>
    <mergeCell ref="F34:H34"/>
    <mergeCell ref="F54:H54"/>
  </mergeCells>
  <phoneticPr fontId="10"/>
  <conditionalFormatting sqref="F154">
    <cfRule type="cellIs" dxfId="84" priority="132" stopIfTrue="1" operator="greaterThan">
      <formula>1</formula>
    </cfRule>
  </conditionalFormatting>
  <conditionalFormatting sqref="G26:G27">
    <cfRule type="cellIs" dxfId="83" priority="32" stopIfTrue="1" operator="greaterThan">
      <formula>0</formula>
    </cfRule>
  </conditionalFormatting>
  <conditionalFormatting sqref="G31">
    <cfRule type="cellIs" dxfId="82" priority="124" operator="greaterThan">
      <formula>0</formula>
    </cfRule>
  </conditionalFormatting>
  <conditionalFormatting sqref="G46:G47">
    <cfRule type="cellIs" dxfId="81" priority="16" stopIfTrue="1" operator="greaterThan">
      <formula>0</formula>
    </cfRule>
  </conditionalFormatting>
  <conditionalFormatting sqref="G51">
    <cfRule type="cellIs" dxfId="80" priority="18" operator="greaterThan">
      <formula>0</formula>
    </cfRule>
  </conditionalFormatting>
  <conditionalFormatting sqref="G66:G67">
    <cfRule type="cellIs" dxfId="79" priority="9" stopIfTrue="1" operator="greaterThan">
      <formula>0</formula>
    </cfRule>
  </conditionalFormatting>
  <conditionalFormatting sqref="G71">
    <cfRule type="cellIs" dxfId="78" priority="11" operator="greaterThan">
      <formula>0</formula>
    </cfRule>
  </conditionalFormatting>
  <conditionalFormatting sqref="G86:G87">
    <cfRule type="cellIs" dxfId="77" priority="2" stopIfTrue="1" operator="greaterThan">
      <formula>0</formula>
    </cfRule>
  </conditionalFormatting>
  <conditionalFormatting sqref="G91">
    <cfRule type="cellIs" dxfId="76" priority="4" operator="greaterThan">
      <formula>0</formula>
    </cfRule>
  </conditionalFormatting>
  <conditionalFormatting sqref="H17:H18">
    <cfRule type="cellIs" dxfId="75" priority="130" operator="greaterThan">
      <formula>0</formula>
    </cfRule>
  </conditionalFormatting>
  <conditionalFormatting sqref="H20">
    <cfRule type="cellIs" dxfId="74" priority="129" operator="greaterThan">
      <formula>0</formula>
    </cfRule>
  </conditionalFormatting>
  <conditionalFormatting sqref="H25">
    <cfRule type="cellIs" dxfId="73" priority="127" operator="greaterThan">
      <formula>0</formula>
    </cfRule>
  </conditionalFormatting>
  <conditionalFormatting sqref="H37:H38">
    <cfRule type="cellIs" dxfId="72" priority="21" operator="greaterThan">
      <formula>0</formula>
    </cfRule>
  </conditionalFormatting>
  <conditionalFormatting sqref="H40">
    <cfRule type="cellIs" dxfId="71" priority="20" operator="greaterThan">
      <formula>0</formula>
    </cfRule>
  </conditionalFormatting>
  <conditionalFormatting sqref="H45">
    <cfRule type="cellIs" dxfId="70" priority="19" operator="greaterThan">
      <formula>0</formula>
    </cfRule>
  </conditionalFormatting>
  <conditionalFormatting sqref="H57:H58">
    <cfRule type="cellIs" dxfId="69" priority="14" operator="greaterThan">
      <formula>0</formula>
    </cfRule>
  </conditionalFormatting>
  <conditionalFormatting sqref="H60">
    <cfRule type="cellIs" dxfId="68" priority="13" operator="greaterThan">
      <formula>0</formula>
    </cfRule>
  </conditionalFormatting>
  <conditionalFormatting sqref="H65">
    <cfRule type="cellIs" dxfId="67" priority="12" operator="greaterThan">
      <formula>0</formula>
    </cfRule>
  </conditionalFormatting>
  <conditionalFormatting sqref="H77:H78">
    <cfRule type="cellIs" dxfId="66" priority="7" operator="greaterThan">
      <formula>0</formula>
    </cfRule>
  </conditionalFormatting>
  <conditionalFormatting sqref="H80">
    <cfRule type="cellIs" dxfId="65" priority="6" operator="greaterThan">
      <formula>0</formula>
    </cfRule>
  </conditionalFormatting>
  <conditionalFormatting sqref="H85">
    <cfRule type="cellIs" dxfId="64" priority="5" operator="greaterThan">
      <formula>0</formula>
    </cfRule>
  </conditionalFormatting>
  <conditionalFormatting sqref="H99:H157">
    <cfRule type="cellIs" dxfId="63" priority="99" operator="greaterThan">
      <formula>0</formula>
    </cfRule>
  </conditionalFormatting>
  <conditionalFormatting sqref="J154">
    <cfRule type="cellIs" dxfId="62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3" xr:uid="{00000000-0002-0000-0A00-000000000000}"/>
  </dataValidations>
  <printOptions horizontalCentered="1"/>
  <pageMargins left="3.1496062992126001E-3" right="3.1496062992126001E-3" top="0.39" bottom="0.59" header="0.39" footer="0.2"/>
  <pageSetup paperSize="9" scale="48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V1440"/>
  <sheetViews>
    <sheetView showGridLines="0" showRowColHeaders="0" showZeros="0" tabSelected="1" showOutlineSymbols="0" topLeftCell="A92" zoomScaleNormal="100" zoomScaleSheetLayoutView="75" workbookViewId="0">
      <selection activeCell="Y107" sqref="Y107"/>
    </sheetView>
  </sheetViews>
  <sheetFormatPr baseColWidth="10" defaultColWidth="11" defaultRowHeight="16" zeroHeight="1"/>
  <cols>
    <col min="1" max="1" width="3.3984375" style="489" customWidth="1"/>
    <col min="2" max="2" width="14.59765625" style="489" customWidth="1"/>
    <col min="3" max="3" width="33" style="489" bestFit="1" customWidth="1"/>
    <col min="4" max="4" width="5.19921875" style="489" customWidth="1"/>
    <col min="5" max="5" width="5" style="489" customWidth="1"/>
    <col min="6" max="6" width="42.19921875" style="490" customWidth="1"/>
    <col min="7" max="7" width="19.796875" style="490" customWidth="1"/>
    <col min="8" max="8" width="15.3984375" style="490" customWidth="1"/>
    <col min="9" max="9" width="19.3984375" style="554" customWidth="1"/>
    <col min="10" max="10" width="20.19921875" style="555" customWidth="1"/>
    <col min="11" max="11" width="21" style="555" customWidth="1"/>
    <col min="12" max="12" width="21.796875" style="555" customWidth="1"/>
    <col min="13" max="13" width="10.796875" style="489" customWidth="1"/>
    <col min="14" max="14" width="12" style="489" hidden="1" customWidth="1"/>
    <col min="15" max="16" width="12.796875" style="489" hidden="1" customWidth="1"/>
    <col min="17" max="17" width="14.59765625" style="489" hidden="1" customWidth="1"/>
    <col min="18" max="18" width="12.3984375" style="489" hidden="1" customWidth="1"/>
    <col min="19" max="21" width="10.796875" style="489" hidden="1" customWidth="1"/>
    <col min="22" max="22" width="29" style="489" hidden="1" customWidth="1"/>
    <col min="23" max="23" width="5" style="489" customWidth="1"/>
    <col min="24" max="24" width="3.796875" style="489" customWidth="1"/>
    <col min="25" max="25" width="24.19921875" style="489" customWidth="1"/>
    <col min="26" max="16384" width="11" style="489"/>
  </cols>
  <sheetData>
    <row r="1" spans="2:12" ht="11" customHeight="1" thickBot="1">
      <c r="F1" s="30"/>
      <c r="G1" s="30"/>
      <c r="H1" s="30"/>
      <c r="I1" s="556"/>
      <c r="J1" s="556"/>
      <c r="K1" s="557"/>
      <c r="L1" s="557"/>
    </row>
    <row r="2" spans="2:12" ht="11" customHeight="1">
      <c r="F2" s="102"/>
      <c r="G2" s="102"/>
      <c r="H2" s="102"/>
      <c r="I2" s="558"/>
      <c r="J2" s="558"/>
      <c r="K2" s="557"/>
      <c r="L2" s="557"/>
    </row>
    <row r="3" spans="2:12" ht="11" customHeight="1">
      <c r="F3" s="492"/>
      <c r="K3" s="548"/>
      <c r="L3" s="548"/>
    </row>
    <row r="4" spans="2:12" ht="17">
      <c r="B4" s="569" t="s">
        <v>161</v>
      </c>
      <c r="C4" s="491"/>
      <c r="F4" s="337" t="s">
        <v>27</v>
      </c>
      <c r="G4" s="36" t="s">
        <v>23</v>
      </c>
      <c r="K4" s="559"/>
    </row>
    <row r="5" spans="2:12" ht="18" thickBot="1">
      <c r="B5" s="523"/>
      <c r="C5" s="505" t="s">
        <v>153</v>
      </c>
      <c r="F5" s="337" t="s">
        <v>85</v>
      </c>
      <c r="G5" s="38" t="str">
        <f>Voorblad!$E$16</f>
        <v>Stichting Opspoor</v>
      </c>
      <c r="H5" s="493"/>
      <c r="I5" s="555"/>
    </row>
    <row r="6" spans="2:12" ht="18" thickBot="1">
      <c r="B6" s="631"/>
      <c r="C6" s="505" t="s">
        <v>384</v>
      </c>
      <c r="F6" s="337" t="s">
        <v>33</v>
      </c>
      <c r="G6" s="38" t="str">
        <f>'1.0-Contractblad'!$E$7</f>
        <v>Purmerend e.o.</v>
      </c>
      <c r="H6" s="494"/>
      <c r="I6" s="555"/>
    </row>
    <row r="7" spans="2:12" ht="15.75" customHeight="1" thickBot="1">
      <c r="B7" s="533"/>
      <c r="C7" s="505" t="s">
        <v>272</v>
      </c>
      <c r="F7" s="337" t="s">
        <v>114</v>
      </c>
      <c r="G7" s="495" t="str">
        <f>Voorblad!$E$24</f>
        <v>1501-102-2026</v>
      </c>
      <c r="H7" s="496"/>
      <c r="I7" s="555"/>
    </row>
    <row r="8" spans="2:12" ht="17">
      <c r="B8" s="689"/>
      <c r="C8" s="505" t="s">
        <v>479</v>
      </c>
      <c r="F8" s="337" t="s">
        <v>145</v>
      </c>
      <c r="G8" s="41" t="str">
        <f ca="1">Voorblad!$E$26</f>
        <v>Calculatiemodule Opspoor Perceel 3 V1.1 | 01-jan-27 Wijziging bijgehouden</v>
      </c>
      <c r="H8" s="494"/>
      <c r="I8" s="555"/>
    </row>
    <row r="9" spans="2:12" ht="17">
      <c r="F9" s="337" t="s">
        <v>83</v>
      </c>
      <c r="G9" s="566" t="str">
        <f>Voorblad!$E$19</f>
        <v>Naam organisatie</v>
      </c>
      <c r="H9" s="494"/>
      <c r="I9" s="560"/>
    </row>
    <row r="10" spans="2:12" ht="17">
      <c r="F10" s="337" t="s">
        <v>6</v>
      </c>
      <c r="G10" s="45">
        <f>Voorblad!$E$22</f>
        <v>46388</v>
      </c>
      <c r="H10" s="494"/>
      <c r="I10" s="555"/>
    </row>
    <row r="11" spans="2:12" ht="17">
      <c r="F11" s="36" t="s">
        <v>15</v>
      </c>
      <c r="G11" s="790" t="s">
        <v>1045</v>
      </c>
      <c r="H11" s="494"/>
      <c r="I11" s="555"/>
    </row>
    <row r="12" spans="2:12" ht="17">
      <c r="H12" s="494"/>
      <c r="I12" s="561"/>
    </row>
    <row r="13" spans="2:12" ht="17">
      <c r="H13" s="494"/>
      <c r="I13" s="561"/>
    </row>
    <row r="14" spans="2:12">
      <c r="F14" s="497"/>
      <c r="G14" s="498"/>
      <c r="H14" s="498"/>
      <c r="I14" s="562"/>
    </row>
    <row r="15" spans="2:12">
      <c r="F15" s="497"/>
      <c r="G15" s="498"/>
      <c r="H15" s="498"/>
      <c r="I15" s="562"/>
    </row>
    <row r="16" spans="2:12" s="502" customFormat="1" ht="26" customHeight="1">
      <c r="B16" s="489"/>
      <c r="F16" s="831" t="s">
        <v>216</v>
      </c>
      <c r="G16" s="831"/>
      <c r="H16" s="831"/>
      <c r="I16" s="831"/>
      <c r="J16" s="831"/>
      <c r="K16" s="831"/>
      <c r="L16" s="831"/>
    </row>
    <row r="17" spans="3:18" ht="13" customHeight="1">
      <c r="F17" s="503"/>
      <c r="G17" s="503"/>
      <c r="I17" s="548"/>
      <c r="J17" s="548"/>
      <c r="K17" s="548"/>
      <c r="L17" s="548"/>
    </row>
    <row r="18" spans="3:18">
      <c r="C18" s="491"/>
      <c r="I18" s="832" t="s">
        <v>80</v>
      </c>
      <c r="J18" s="832"/>
      <c r="K18" s="832"/>
      <c r="L18" s="832"/>
    </row>
    <row r="19" spans="3:18">
      <c r="C19" s="505"/>
      <c r="F19" s="546"/>
      <c r="G19" s="501"/>
      <c r="H19" s="501"/>
      <c r="I19" s="563" t="s">
        <v>217</v>
      </c>
      <c r="J19" s="563" t="s">
        <v>218</v>
      </c>
      <c r="K19" s="564" t="s">
        <v>219</v>
      </c>
      <c r="L19" s="564" t="s">
        <v>220</v>
      </c>
      <c r="N19" s="617" t="s">
        <v>349</v>
      </c>
      <c r="O19" s="617" t="s">
        <v>350</v>
      </c>
      <c r="P19" s="617" t="s">
        <v>351</v>
      </c>
      <c r="Q19" s="617" t="s">
        <v>352</v>
      </c>
      <c r="R19" s="618" t="s">
        <v>353</v>
      </c>
    </row>
    <row r="20" spans="3:18">
      <c r="C20" s="505"/>
      <c r="F20" s="546"/>
      <c r="G20" s="501"/>
      <c r="H20" s="501"/>
      <c r="I20" s="546"/>
      <c r="J20" s="546"/>
      <c r="K20" s="546"/>
      <c r="L20" s="546"/>
      <c r="M20" s="499"/>
    </row>
    <row r="21" spans="3:18" ht="23" customHeight="1" thickBot="1">
      <c r="F21" s="546" t="s">
        <v>429</v>
      </c>
      <c r="G21" s="501"/>
      <c r="H21" s="501"/>
      <c r="I21" s="548"/>
      <c r="J21" s="548"/>
      <c r="K21" s="548"/>
      <c r="L21" s="548"/>
    </row>
    <row r="22" spans="3:18" ht="17" thickBot="1">
      <c r="F22" s="546" t="s">
        <v>1042</v>
      </c>
      <c r="G22" s="501"/>
      <c r="H22" s="501"/>
      <c r="I22" s="486"/>
      <c r="J22" s="486"/>
      <c r="K22" s="486"/>
      <c r="L22" s="486"/>
      <c r="M22" s="501"/>
      <c r="N22" s="669"/>
      <c r="O22" s="669"/>
      <c r="P22" s="669"/>
      <c r="Q22" s="669"/>
      <c r="R22" s="619"/>
    </row>
    <row r="23" spans="3:18">
      <c r="F23" s="546"/>
      <c r="G23" s="501"/>
      <c r="H23" s="501"/>
      <c r="N23" s="554"/>
      <c r="O23" s="555"/>
      <c r="P23" s="555"/>
      <c r="Q23" s="555"/>
    </row>
    <row r="24" spans="3:18" ht="17" thickBot="1">
      <c r="F24" s="546" t="s">
        <v>430</v>
      </c>
      <c r="G24" s="501"/>
      <c r="H24" s="501"/>
      <c r="N24" s="554"/>
      <c r="O24" s="555"/>
      <c r="P24" s="555"/>
      <c r="Q24" s="555"/>
    </row>
    <row r="25" spans="3:18" ht="17" thickBot="1">
      <c r="F25" s="546" t="s">
        <v>1042</v>
      </c>
      <c r="G25" s="501"/>
      <c r="H25" s="501"/>
      <c r="I25" s="486"/>
      <c r="J25" s="486"/>
      <c r="K25" s="486"/>
      <c r="L25" s="486"/>
      <c r="M25" s="501"/>
      <c r="N25" s="669"/>
      <c r="O25" s="669"/>
      <c r="P25" s="669"/>
      <c r="Q25" s="669"/>
      <c r="R25" s="619"/>
    </row>
    <row r="26" spans="3:18">
      <c r="F26" s="546"/>
      <c r="G26" s="501"/>
      <c r="H26" s="501"/>
      <c r="N26" s="554"/>
      <c r="O26" s="555"/>
      <c r="P26" s="555"/>
      <c r="Q26" s="555"/>
    </row>
    <row r="27" spans="3:18" ht="17" thickBot="1">
      <c r="F27" s="546" t="s">
        <v>431</v>
      </c>
      <c r="G27" s="501"/>
      <c r="H27" s="501"/>
      <c r="I27" s="546"/>
      <c r="J27" s="546"/>
      <c r="K27" s="546"/>
      <c r="L27" s="546"/>
      <c r="M27" s="499"/>
      <c r="N27" s="546"/>
      <c r="O27" s="546"/>
      <c r="P27" s="546"/>
      <c r="Q27" s="546"/>
    </row>
    <row r="28" spans="3:18" ht="17" thickBot="1">
      <c r="F28" s="547" t="s">
        <v>480</v>
      </c>
      <c r="G28" s="501"/>
      <c r="H28" s="501"/>
      <c r="I28" s="486"/>
      <c r="J28" s="486"/>
      <c r="K28" s="486"/>
      <c r="L28" s="486"/>
      <c r="N28" s="669"/>
      <c r="O28" s="669"/>
      <c r="P28" s="669"/>
      <c r="Q28" s="669"/>
      <c r="R28" s="619"/>
    </row>
    <row r="29" spans="3:18">
      <c r="F29" s="546"/>
      <c r="G29" s="501"/>
      <c r="H29" s="501"/>
      <c r="N29" s="554"/>
      <c r="O29" s="555"/>
      <c r="P29" s="555"/>
      <c r="Q29" s="555"/>
    </row>
    <row r="30" spans="3:18" ht="17" thickBot="1">
      <c r="F30" s="546" t="s">
        <v>431</v>
      </c>
      <c r="G30" s="501"/>
      <c r="H30" s="501"/>
      <c r="I30" s="546"/>
      <c r="J30" s="546"/>
      <c r="K30" s="546"/>
      <c r="L30" s="546"/>
      <c r="M30" s="499"/>
      <c r="N30" s="546"/>
      <c r="O30" s="546"/>
      <c r="P30" s="546"/>
      <c r="Q30" s="546"/>
    </row>
    <row r="31" spans="3:18" ht="17" thickBot="1">
      <c r="F31" s="547" t="s">
        <v>432</v>
      </c>
      <c r="G31" s="501"/>
      <c r="H31" s="501"/>
      <c r="I31" s="486"/>
      <c r="J31" s="486"/>
      <c r="K31" s="486"/>
      <c r="L31" s="486"/>
      <c r="N31" s="669"/>
      <c r="O31" s="669"/>
      <c r="P31" s="669"/>
      <c r="Q31" s="669"/>
      <c r="R31" s="619"/>
    </row>
    <row r="32" spans="3:18">
      <c r="F32" s="546"/>
      <c r="G32" s="501"/>
      <c r="H32" s="501"/>
      <c r="N32" s="554"/>
      <c r="O32" s="555"/>
      <c r="P32" s="555"/>
      <c r="Q32" s="555"/>
    </row>
    <row r="33" spans="6:18" ht="17" thickBot="1">
      <c r="F33" s="546" t="s">
        <v>431</v>
      </c>
      <c r="G33" s="501"/>
      <c r="H33" s="501"/>
      <c r="I33" s="546"/>
      <c r="J33" s="546"/>
      <c r="K33" s="546"/>
      <c r="L33" s="546"/>
      <c r="N33" s="546"/>
      <c r="O33" s="546"/>
      <c r="P33" s="546"/>
      <c r="Q33" s="546"/>
    </row>
    <row r="34" spans="6:18" ht="17" thickBot="1">
      <c r="F34" s="547" t="s">
        <v>433</v>
      </c>
      <c r="G34" s="501"/>
      <c r="H34" s="501"/>
      <c r="I34" s="486"/>
      <c r="J34" s="486"/>
      <c r="K34" s="486"/>
      <c r="L34" s="486"/>
      <c r="N34" s="669"/>
      <c r="O34" s="669"/>
      <c r="P34" s="669"/>
      <c r="Q34" s="669"/>
      <c r="R34" s="619"/>
    </row>
    <row r="35" spans="6:18">
      <c r="F35" s="546"/>
      <c r="G35" s="501"/>
      <c r="H35" s="501"/>
      <c r="N35" s="554"/>
      <c r="O35" s="555"/>
      <c r="P35" s="555"/>
      <c r="Q35" s="555"/>
    </row>
    <row r="36" spans="6:18" ht="17" thickBot="1">
      <c r="F36" s="546" t="s">
        <v>434</v>
      </c>
      <c r="G36" s="501"/>
      <c r="H36" s="501"/>
      <c r="I36" s="546"/>
      <c r="J36" s="546"/>
      <c r="K36" s="546"/>
      <c r="L36" s="546"/>
      <c r="N36" s="546"/>
      <c r="O36" s="546"/>
      <c r="P36" s="546"/>
      <c r="Q36" s="546"/>
    </row>
    <row r="37" spans="6:18" ht="17" thickBot="1">
      <c r="F37" s="547" t="s">
        <v>435</v>
      </c>
      <c r="G37" s="501"/>
      <c r="H37" s="501"/>
      <c r="I37" s="486"/>
      <c r="J37" s="486"/>
      <c r="K37" s="486"/>
      <c r="L37" s="486"/>
      <c r="N37" s="669"/>
      <c r="O37" s="669"/>
      <c r="P37" s="669"/>
      <c r="Q37" s="669"/>
      <c r="R37" s="619"/>
    </row>
    <row r="38" spans="6:18">
      <c r="F38" s="546"/>
      <c r="G38" s="501"/>
      <c r="H38" s="501"/>
      <c r="N38" s="554"/>
      <c r="O38" s="555"/>
      <c r="P38" s="555"/>
      <c r="Q38" s="555"/>
    </row>
    <row r="39" spans="6:18" ht="17" thickBot="1">
      <c r="F39" s="546" t="s">
        <v>434</v>
      </c>
      <c r="G39" s="501"/>
      <c r="H39" s="501"/>
      <c r="I39" s="546"/>
      <c r="J39" s="546"/>
      <c r="K39" s="546"/>
      <c r="L39" s="546"/>
      <c r="N39" s="546"/>
      <c r="O39" s="546"/>
      <c r="P39" s="546"/>
      <c r="Q39" s="546"/>
    </row>
    <row r="40" spans="6:18" ht="17" thickBot="1">
      <c r="F40" s="547" t="s">
        <v>436</v>
      </c>
      <c r="G40" s="501"/>
      <c r="H40" s="501"/>
      <c r="I40" s="486"/>
      <c r="J40" s="486"/>
      <c r="K40" s="486"/>
      <c r="L40" s="486"/>
      <c r="N40" s="669"/>
      <c r="O40" s="669"/>
      <c r="P40" s="669"/>
      <c r="Q40" s="669"/>
      <c r="R40" s="619"/>
    </row>
    <row r="41" spans="6:18">
      <c r="F41" s="546"/>
      <c r="G41" s="501"/>
      <c r="H41" s="501"/>
      <c r="N41" s="554"/>
      <c r="O41" s="555"/>
      <c r="P41" s="555"/>
      <c r="Q41" s="555"/>
    </row>
    <row r="42" spans="6:18" ht="17" thickBot="1">
      <c r="F42" s="546" t="s">
        <v>437</v>
      </c>
      <c r="G42" s="501"/>
      <c r="H42" s="501"/>
      <c r="I42" s="546"/>
      <c r="J42" s="546"/>
      <c r="K42" s="546"/>
      <c r="L42" s="546"/>
      <c r="N42" s="546"/>
      <c r="O42" s="546"/>
      <c r="P42" s="546"/>
      <c r="Q42" s="546"/>
    </row>
    <row r="43" spans="6:18" ht="17" thickBot="1">
      <c r="F43" s="547" t="s">
        <v>435</v>
      </c>
      <c r="G43" s="501"/>
      <c r="H43" s="501"/>
      <c r="I43" s="486"/>
      <c r="J43" s="486"/>
      <c r="K43" s="486"/>
      <c r="L43" s="486"/>
      <c r="N43" s="669"/>
      <c r="O43" s="669"/>
      <c r="P43" s="669"/>
      <c r="Q43" s="669"/>
      <c r="R43" s="619"/>
    </row>
    <row r="44" spans="6:18">
      <c r="F44" s="546"/>
      <c r="G44" s="501"/>
      <c r="H44" s="501"/>
      <c r="N44" s="554"/>
      <c r="O44" s="555"/>
      <c r="P44" s="555"/>
      <c r="Q44" s="555"/>
    </row>
    <row r="45" spans="6:18">
      <c r="F45" s="546" t="s">
        <v>437</v>
      </c>
      <c r="G45" s="501"/>
      <c r="H45" s="501"/>
      <c r="I45" s="546"/>
      <c r="J45" s="546"/>
      <c r="K45" s="546"/>
      <c r="L45" s="546"/>
      <c r="N45" s="546"/>
      <c r="O45" s="546"/>
      <c r="P45" s="546"/>
      <c r="Q45" s="546"/>
    </row>
    <row r="46" spans="6:18" ht="17" hidden="1" thickBot="1">
      <c r="F46" s="547" t="s">
        <v>436</v>
      </c>
      <c r="G46" s="501"/>
      <c r="H46" s="501"/>
      <c r="I46" s="486"/>
      <c r="J46" s="486"/>
      <c r="K46" s="486"/>
      <c r="L46" s="486"/>
      <c r="N46" s="669"/>
      <c r="O46" s="669"/>
      <c r="P46" s="669"/>
      <c r="Q46" s="669"/>
      <c r="R46" s="619"/>
    </row>
    <row r="47" spans="6:18">
      <c r="F47" s="547"/>
      <c r="G47" s="501"/>
      <c r="H47" s="501"/>
      <c r="I47" s="546"/>
      <c r="J47" s="546"/>
      <c r="K47" s="546"/>
      <c r="L47" s="546"/>
      <c r="N47" s="546"/>
      <c r="O47" s="546"/>
      <c r="P47" s="546"/>
      <c r="Q47" s="546"/>
    </row>
    <row r="48" spans="6:18" ht="17" thickBot="1">
      <c r="F48" s="546" t="s">
        <v>48</v>
      </c>
      <c r="G48" s="501"/>
      <c r="H48" s="501"/>
      <c r="I48" s="546"/>
      <c r="J48" s="546"/>
      <c r="K48" s="546"/>
      <c r="L48" s="546"/>
      <c r="N48" s="546"/>
      <c r="O48" s="546"/>
      <c r="P48" s="546"/>
      <c r="Q48" s="546"/>
    </row>
    <row r="49" spans="6:18" ht="17" thickBot="1">
      <c r="F49" s="547" t="s">
        <v>438</v>
      </c>
      <c r="G49" s="501"/>
      <c r="H49" s="501"/>
      <c r="I49" s="486"/>
      <c r="J49" s="486"/>
      <c r="K49" s="486"/>
      <c r="L49" s="486"/>
      <c r="N49" s="669"/>
      <c r="O49" s="669"/>
      <c r="P49" s="669"/>
      <c r="Q49" s="669"/>
      <c r="R49" s="619"/>
    </row>
    <row r="50" spans="6:18">
      <c r="F50" s="547"/>
      <c r="G50" s="501"/>
      <c r="H50" s="501"/>
      <c r="I50" s="546"/>
      <c r="J50" s="546"/>
      <c r="K50" s="546"/>
      <c r="L50" s="546"/>
      <c r="N50" s="546"/>
      <c r="O50" s="546"/>
      <c r="P50" s="546"/>
      <c r="Q50" s="546"/>
    </row>
    <row r="51" spans="6:18" ht="17" thickBot="1">
      <c r="F51" s="546" t="s">
        <v>48</v>
      </c>
      <c r="G51" s="501"/>
      <c r="H51" s="501"/>
      <c r="I51" s="546"/>
      <c r="J51" s="546"/>
      <c r="K51" s="546"/>
      <c r="L51" s="546"/>
      <c r="N51" s="546"/>
      <c r="O51" s="546"/>
      <c r="P51" s="546"/>
      <c r="Q51" s="546"/>
    </row>
    <row r="52" spans="6:18" ht="17" thickBot="1">
      <c r="F52" s="547" t="s">
        <v>439</v>
      </c>
      <c r="G52" s="501"/>
      <c r="H52" s="501"/>
      <c r="I52" s="486"/>
      <c r="J52" s="486"/>
      <c r="K52" s="486"/>
      <c r="L52" s="486"/>
      <c r="N52" s="669"/>
      <c r="O52" s="669"/>
      <c r="P52" s="669"/>
      <c r="Q52" s="669"/>
      <c r="R52" s="619"/>
    </row>
    <row r="53" spans="6:18">
      <c r="F53" s="547"/>
      <c r="G53" s="501"/>
      <c r="H53" s="501"/>
      <c r="I53" s="546"/>
      <c r="J53" s="546"/>
      <c r="K53" s="546"/>
      <c r="L53" s="546"/>
      <c r="N53" s="546"/>
      <c r="O53" s="546"/>
      <c r="P53" s="546"/>
      <c r="Q53" s="546"/>
    </row>
    <row r="54" spans="6:18" ht="17" thickBot="1">
      <c r="F54" s="546" t="s">
        <v>48</v>
      </c>
      <c r="G54" s="501"/>
      <c r="H54" s="501"/>
      <c r="I54" s="546"/>
      <c r="J54" s="546"/>
      <c r="K54" s="546"/>
      <c r="L54" s="546"/>
      <c r="N54" s="546"/>
      <c r="O54" s="546"/>
      <c r="P54" s="546"/>
      <c r="Q54" s="546"/>
    </row>
    <row r="55" spans="6:18" ht="17" thickBot="1">
      <c r="F55" s="547" t="s">
        <v>440</v>
      </c>
      <c r="G55" s="501"/>
      <c r="H55" s="501"/>
      <c r="I55" s="486"/>
      <c r="J55" s="486"/>
      <c r="K55" s="486"/>
      <c r="L55" s="486"/>
      <c r="N55" s="669"/>
      <c r="O55" s="669"/>
      <c r="P55" s="669"/>
      <c r="Q55" s="669"/>
      <c r="R55" s="619"/>
    </row>
    <row r="56" spans="6:18">
      <c r="F56" s="547"/>
      <c r="G56" s="501"/>
      <c r="H56" s="501"/>
      <c r="I56" s="546"/>
      <c r="J56" s="546"/>
      <c r="K56" s="546"/>
      <c r="L56" s="546"/>
      <c r="N56" s="546"/>
      <c r="O56" s="546"/>
      <c r="P56" s="546"/>
      <c r="Q56" s="546"/>
    </row>
    <row r="57" spans="6:18" ht="17" thickBot="1">
      <c r="F57" s="546" t="s">
        <v>48</v>
      </c>
      <c r="G57" s="501"/>
      <c r="H57" s="501"/>
      <c r="I57" s="546"/>
      <c r="J57" s="546"/>
      <c r="K57" s="546"/>
      <c r="L57" s="546"/>
      <c r="N57" s="546"/>
      <c r="O57" s="546"/>
      <c r="P57" s="546"/>
      <c r="Q57" s="546"/>
    </row>
    <row r="58" spans="6:18" ht="17" thickBot="1">
      <c r="F58" s="547" t="s">
        <v>441</v>
      </c>
      <c r="G58" s="501"/>
      <c r="H58" s="501"/>
      <c r="I58" s="486"/>
      <c r="J58" s="486"/>
      <c r="K58" s="486"/>
      <c r="L58" s="486"/>
      <c r="N58" s="669"/>
      <c r="O58" s="669"/>
      <c r="P58" s="669"/>
      <c r="Q58" s="669"/>
      <c r="R58" s="619"/>
    </row>
    <row r="59" spans="6:18">
      <c r="F59" s="546"/>
      <c r="G59" s="501"/>
      <c r="H59" s="501"/>
    </row>
    <row r="60" spans="6:18">
      <c r="F60" s="500"/>
      <c r="G60" s="499"/>
      <c r="H60" s="499"/>
      <c r="I60" s="546"/>
      <c r="J60" s="546"/>
      <c r="K60" s="546"/>
      <c r="L60" s="546"/>
    </row>
    <row r="61" spans="6:18" s="502" customFormat="1" ht="26" customHeight="1">
      <c r="F61" s="833" t="s">
        <v>241</v>
      </c>
      <c r="G61" s="833"/>
      <c r="H61" s="833"/>
      <c r="I61" s="833"/>
      <c r="J61" s="833"/>
      <c r="K61" s="833"/>
      <c r="L61" s="833"/>
    </row>
    <row r="62" spans="6:18" ht="13" customHeight="1">
      <c r="F62" s="503"/>
      <c r="G62" s="503"/>
      <c r="I62" s="548"/>
      <c r="J62" s="548"/>
      <c r="K62" s="548"/>
      <c r="L62" s="548"/>
    </row>
    <row r="63" spans="6:18">
      <c r="F63" s="489"/>
      <c r="G63" s="489"/>
      <c r="H63" s="489"/>
      <c r="I63" s="548"/>
      <c r="J63" s="548"/>
      <c r="K63" s="548"/>
      <c r="L63" s="548"/>
    </row>
    <row r="64" spans="6:18">
      <c r="F64" s="548"/>
      <c r="G64" s="670"/>
      <c r="H64" s="670"/>
      <c r="I64" s="832" t="s">
        <v>104</v>
      </c>
      <c r="J64" s="832"/>
      <c r="K64" s="832"/>
      <c r="L64" s="832"/>
    </row>
    <row r="65" spans="6:17">
      <c r="F65" s="549" t="s">
        <v>227</v>
      </c>
      <c r="G65" s="549"/>
      <c r="H65" s="549"/>
      <c r="I65" s="583" t="s">
        <v>221</v>
      </c>
      <c r="J65" s="583" t="s">
        <v>222</v>
      </c>
      <c r="K65" s="583" t="s">
        <v>223</v>
      </c>
      <c r="L65" s="583" t="s">
        <v>224</v>
      </c>
    </row>
    <row r="66" spans="6:17" ht="17" thickBot="1">
      <c r="F66" s="548" t="s">
        <v>225</v>
      </c>
      <c r="G66" s="548"/>
      <c r="H66" s="548"/>
      <c r="I66" s="548"/>
      <c r="J66" s="548"/>
      <c r="K66" s="548"/>
      <c r="L66" s="548"/>
    </row>
    <row r="67" spans="6:17" ht="17" thickBot="1">
      <c r="F67" s="551" t="s">
        <v>228</v>
      </c>
      <c r="G67" s="548"/>
      <c r="H67" s="548"/>
      <c r="I67" s="486"/>
      <c r="J67" s="486"/>
      <c r="K67" s="486"/>
      <c r="L67" s="486"/>
      <c r="N67" s="669"/>
      <c r="O67" s="669"/>
      <c r="P67" s="669"/>
      <c r="Q67" s="669"/>
    </row>
    <row r="68" spans="6:17">
      <c r="F68" s="548"/>
      <c r="G68" s="548"/>
      <c r="H68" s="548"/>
      <c r="I68" s="548"/>
      <c r="J68" s="548"/>
      <c r="K68" s="548"/>
      <c r="L68" s="548"/>
      <c r="N68" s="548"/>
      <c r="O68" s="548"/>
      <c r="P68" s="548"/>
      <c r="Q68" s="548"/>
    </row>
    <row r="69" spans="6:17" ht="17" thickBot="1">
      <c r="F69" s="548" t="s">
        <v>226</v>
      </c>
      <c r="G69" s="548"/>
      <c r="H69" s="548"/>
      <c r="I69" s="548"/>
      <c r="J69" s="548"/>
      <c r="K69" s="548"/>
      <c r="L69" s="548"/>
      <c r="N69" s="548"/>
      <c r="O69" s="548"/>
      <c r="P69" s="548"/>
      <c r="Q69" s="548"/>
    </row>
    <row r="70" spans="6:17" ht="17" thickBot="1">
      <c r="F70" s="551" t="s">
        <v>228</v>
      </c>
      <c r="G70" s="548"/>
      <c r="H70" s="548"/>
      <c r="I70" s="486"/>
      <c r="J70" s="486"/>
      <c r="K70" s="486"/>
      <c r="L70" s="486"/>
      <c r="N70" s="669"/>
      <c r="O70" s="669"/>
      <c r="P70" s="669"/>
      <c r="Q70" s="669"/>
    </row>
    <row r="71" spans="6:17">
      <c r="F71" s="548"/>
      <c r="G71" s="548"/>
      <c r="H71" s="548"/>
      <c r="I71" s="548"/>
      <c r="J71" s="548"/>
      <c r="K71" s="548"/>
      <c r="L71" s="548"/>
      <c r="N71" s="548"/>
      <c r="O71" s="548"/>
      <c r="P71" s="548"/>
      <c r="Q71" s="548"/>
    </row>
    <row r="72" spans="6:17">
      <c r="F72" s="548"/>
      <c r="G72" s="548"/>
      <c r="H72" s="548"/>
      <c r="I72" s="548"/>
      <c r="J72" s="548"/>
      <c r="K72" s="548"/>
      <c r="L72" s="548"/>
      <c r="N72" s="548"/>
      <c r="O72" s="548"/>
      <c r="P72" s="548"/>
      <c r="Q72" s="548"/>
    </row>
    <row r="73" spans="6:17">
      <c r="F73" s="548"/>
      <c r="G73" s="548"/>
      <c r="H73" s="548"/>
      <c r="I73" s="548"/>
      <c r="J73" s="548"/>
      <c r="K73" s="548"/>
      <c r="L73" s="548"/>
      <c r="N73" s="548"/>
      <c r="O73" s="548"/>
      <c r="P73" s="548"/>
      <c r="Q73" s="548"/>
    </row>
    <row r="74" spans="6:17">
      <c r="F74" s="548"/>
      <c r="G74" s="548"/>
      <c r="H74" s="548"/>
      <c r="I74" s="832" t="s">
        <v>104</v>
      </c>
      <c r="J74" s="832"/>
      <c r="K74" s="832"/>
      <c r="L74" s="832"/>
      <c r="N74" s="832" t="s">
        <v>104</v>
      </c>
      <c r="O74" s="832"/>
      <c r="P74" s="832"/>
      <c r="Q74" s="832"/>
    </row>
    <row r="75" spans="6:17">
      <c r="F75" s="549" t="s">
        <v>242</v>
      </c>
      <c r="G75" s="546"/>
      <c r="H75" s="546"/>
      <c r="I75" s="583" t="s">
        <v>221</v>
      </c>
      <c r="J75" s="583" t="s">
        <v>222</v>
      </c>
      <c r="K75" s="583" t="s">
        <v>223</v>
      </c>
      <c r="L75" s="583" t="s">
        <v>224</v>
      </c>
      <c r="N75" s="583" t="s">
        <v>221</v>
      </c>
      <c r="O75" s="583" t="s">
        <v>222</v>
      </c>
      <c r="P75" s="583" t="s">
        <v>223</v>
      </c>
      <c r="Q75" s="583" t="s">
        <v>224</v>
      </c>
    </row>
    <row r="76" spans="6:17" ht="17" thickBot="1">
      <c r="F76" s="546" t="s">
        <v>442</v>
      </c>
      <c r="G76" s="548"/>
      <c r="H76" s="546"/>
      <c r="I76" s="548"/>
      <c r="J76" s="548"/>
      <c r="K76" s="548"/>
      <c r="L76" s="548"/>
      <c r="N76" s="548"/>
      <c r="O76" s="548"/>
      <c r="P76" s="548"/>
      <c r="Q76" s="548"/>
    </row>
    <row r="77" spans="6:17" ht="17" thickBot="1">
      <c r="F77" s="547" t="s">
        <v>443</v>
      </c>
      <c r="G77" s="546"/>
      <c r="H77" s="546"/>
      <c r="I77" s="486"/>
      <c r="J77" s="486"/>
      <c r="K77" s="486"/>
      <c r="L77" s="486"/>
      <c r="N77" s="669"/>
      <c r="O77" s="669"/>
      <c r="P77" s="669"/>
      <c r="Q77" s="669"/>
    </row>
    <row r="78" spans="6:17">
      <c r="F78" s="546"/>
      <c r="G78" s="546"/>
      <c r="H78" s="546"/>
      <c r="N78" s="554"/>
      <c r="O78" s="555"/>
      <c r="P78" s="555"/>
      <c r="Q78" s="555"/>
    </row>
    <row r="79" spans="6:17" ht="21" customHeight="1">
      <c r="F79" s="548"/>
      <c r="G79" s="548"/>
      <c r="H79" s="548"/>
      <c r="I79" s="548"/>
      <c r="J79" s="548"/>
      <c r="K79" s="564" t="s">
        <v>444</v>
      </c>
      <c r="L79" s="564" t="s">
        <v>444</v>
      </c>
      <c r="N79" s="548"/>
      <c r="O79" s="548"/>
      <c r="P79" s="564" t="s">
        <v>444</v>
      </c>
      <c r="Q79" s="564" t="s">
        <v>444</v>
      </c>
    </row>
    <row r="80" spans="6:17" ht="21" customHeight="1" thickBot="1">
      <c r="F80" s="550" t="s">
        <v>445</v>
      </c>
      <c r="G80" s="550" t="s">
        <v>240</v>
      </c>
      <c r="H80" s="548"/>
      <c r="I80" s="548"/>
      <c r="J80" s="548"/>
      <c r="K80" s="564" t="s">
        <v>446</v>
      </c>
      <c r="L80" s="564" t="s">
        <v>447</v>
      </c>
      <c r="N80" s="548"/>
      <c r="O80" s="548"/>
      <c r="P80" s="564" t="s">
        <v>446</v>
      </c>
      <c r="Q80" s="564" t="s">
        <v>447</v>
      </c>
    </row>
    <row r="81" spans="6:17" ht="21" customHeight="1" thickBot="1">
      <c r="F81" s="548" t="s">
        <v>448</v>
      </c>
      <c r="G81" s="548" t="s">
        <v>449</v>
      </c>
      <c r="H81" s="548"/>
      <c r="I81" s="548"/>
      <c r="J81" s="548"/>
      <c r="K81" s="486"/>
      <c r="L81" s="548"/>
      <c r="N81" s="548"/>
      <c r="O81" s="548"/>
      <c r="P81" s="669"/>
      <c r="Q81" s="548"/>
    </row>
    <row r="82" spans="6:17" ht="21" customHeight="1" thickBot="1">
      <c r="F82" s="548" t="s">
        <v>450</v>
      </c>
      <c r="G82" s="548" t="s">
        <v>451</v>
      </c>
      <c r="H82" s="548"/>
      <c r="I82" s="548"/>
      <c r="J82" s="548"/>
      <c r="K82" s="486"/>
      <c r="L82" s="548"/>
      <c r="N82" s="548"/>
      <c r="O82" s="548"/>
      <c r="P82" s="669"/>
      <c r="Q82" s="548"/>
    </row>
    <row r="83" spans="6:17" ht="21" customHeight="1" thickBot="1">
      <c r="F83" s="548" t="s">
        <v>452</v>
      </c>
      <c r="G83" s="548" t="s">
        <v>453</v>
      </c>
      <c r="H83" s="548"/>
      <c r="I83" s="548"/>
      <c r="J83" s="548"/>
      <c r="K83" s="548"/>
      <c r="L83" s="486"/>
      <c r="N83" s="548"/>
      <c r="O83" s="548"/>
      <c r="P83" s="548"/>
      <c r="Q83" s="669"/>
    </row>
    <row r="84" spans="6:17" ht="21" customHeight="1" thickBot="1">
      <c r="F84" s="548" t="s">
        <v>454</v>
      </c>
      <c r="G84" s="548" t="s">
        <v>453</v>
      </c>
      <c r="H84" s="548"/>
      <c r="I84" s="548"/>
      <c r="J84" s="548"/>
      <c r="K84" s="548"/>
      <c r="L84" s="486"/>
      <c r="N84" s="548"/>
      <c r="O84" s="548"/>
      <c r="P84" s="548"/>
      <c r="Q84" s="669"/>
    </row>
    <row r="85" spans="6:17" ht="21" customHeight="1">
      <c r="F85" s="548"/>
      <c r="G85" s="548"/>
      <c r="H85" s="548"/>
      <c r="I85" s="548"/>
      <c r="J85" s="548"/>
      <c r="K85" s="548"/>
      <c r="L85" s="548"/>
      <c r="N85" s="548"/>
      <c r="O85" s="548"/>
      <c r="P85" s="548"/>
      <c r="Q85" s="548"/>
    </row>
    <row r="86" spans="6:17">
      <c r="F86" s="548"/>
      <c r="G86" s="548"/>
      <c r="H86" s="548"/>
      <c r="I86" s="832"/>
      <c r="J86" s="832"/>
      <c r="K86" s="832"/>
      <c r="L86" s="832"/>
      <c r="N86" s="832"/>
      <c r="O86" s="832"/>
      <c r="P86" s="832"/>
      <c r="Q86" s="832"/>
    </row>
    <row r="87" spans="6:17">
      <c r="F87" s="549" t="s">
        <v>242</v>
      </c>
      <c r="G87" s="546"/>
      <c r="H87" s="546"/>
      <c r="I87" s="453" t="s">
        <v>356</v>
      </c>
      <c r="J87" s="453" t="s">
        <v>357</v>
      </c>
      <c r="K87" s="453" t="s">
        <v>358</v>
      </c>
      <c r="L87" s="583" t="s">
        <v>224</v>
      </c>
      <c r="N87" s="453" t="s">
        <v>356</v>
      </c>
      <c r="O87" s="453" t="s">
        <v>357</v>
      </c>
      <c r="P87" s="453" t="s">
        <v>358</v>
      </c>
      <c r="Q87" s="583" t="s">
        <v>224</v>
      </c>
    </row>
    <row r="88" spans="6:17">
      <c r="F88" s="546" t="s">
        <v>354</v>
      </c>
      <c r="G88" s="548"/>
      <c r="H88" s="546"/>
      <c r="I88" s="548"/>
      <c r="J88" s="548"/>
      <c r="K88" s="548"/>
      <c r="L88" s="548"/>
      <c r="N88" s="548"/>
      <c r="O88" s="548"/>
      <c r="P88" s="548"/>
      <c r="Q88" s="548"/>
    </row>
    <row r="89" spans="6:17">
      <c r="F89" s="547" t="s">
        <v>355</v>
      </c>
      <c r="G89" s="546"/>
      <c r="H89" s="546"/>
      <c r="I89" s="634">
        <v>400</v>
      </c>
      <c r="J89" s="614">
        <v>1</v>
      </c>
      <c r="K89" s="486"/>
      <c r="L89" s="837">
        <f>K89*J89*I89</f>
        <v>0</v>
      </c>
      <c r="N89" s="634">
        <v>400</v>
      </c>
      <c r="O89" s="614">
        <v>1</v>
      </c>
      <c r="P89" s="486"/>
      <c r="Q89" s="636"/>
    </row>
    <row r="90" spans="6:17">
      <c r="F90" s="546"/>
      <c r="G90" s="546"/>
      <c r="H90" s="546"/>
      <c r="N90" s="554"/>
      <c r="O90" s="555"/>
      <c r="P90" s="555"/>
      <c r="Q90" s="555"/>
    </row>
    <row r="91" spans="6:17">
      <c r="F91" s="546"/>
      <c r="G91" s="546"/>
      <c r="H91" s="546"/>
      <c r="N91" s="554"/>
      <c r="O91" s="555"/>
      <c r="P91" s="555"/>
      <c r="Q91" s="555"/>
    </row>
    <row r="92" spans="6:17" ht="15">
      <c r="F92" s="612" t="s">
        <v>360</v>
      </c>
      <c r="G92" s="612"/>
      <c r="H92" s="612"/>
      <c r="I92" s="453" t="s">
        <v>356</v>
      </c>
      <c r="J92" s="453" t="s">
        <v>357</v>
      </c>
      <c r="K92" s="453" t="s">
        <v>358</v>
      </c>
      <c r="L92" s="453" t="s">
        <v>359</v>
      </c>
      <c r="N92" s="453" t="s">
        <v>356</v>
      </c>
      <c r="O92" s="453" t="s">
        <v>357</v>
      </c>
      <c r="P92" s="453" t="s">
        <v>358</v>
      </c>
      <c r="Q92" s="453" t="s">
        <v>359</v>
      </c>
    </row>
    <row r="93" spans="6:17" ht="64">
      <c r="F93" s="613" t="s">
        <v>361</v>
      </c>
      <c r="G93" s="489"/>
      <c r="H93" s="489"/>
      <c r="I93" s="634">
        <v>4</v>
      </c>
      <c r="J93" s="614">
        <v>4</v>
      </c>
      <c r="K93" s="486"/>
      <c r="L93" s="837">
        <f>K93*J93*I93</f>
        <v>0</v>
      </c>
      <c r="N93" s="634"/>
      <c r="O93" s="614"/>
      <c r="P93" s="486"/>
      <c r="Q93" s="635"/>
    </row>
    <row r="94" spans="6:17" ht="15">
      <c r="F94" s="489"/>
      <c r="G94" s="489"/>
      <c r="H94" s="489"/>
      <c r="I94" s="489"/>
      <c r="J94" s="489"/>
      <c r="K94" s="615"/>
      <c r="L94" s="616"/>
      <c r="P94" s="615"/>
      <c r="Q94" s="616"/>
    </row>
    <row r="95" spans="6:17" ht="15">
      <c r="F95" s="489"/>
      <c r="G95" s="489"/>
      <c r="H95" s="489"/>
      <c r="I95" s="489"/>
      <c r="J95" s="489"/>
      <c r="K95" s="615"/>
      <c r="L95" s="616"/>
      <c r="P95" s="615"/>
      <c r="Q95" s="616"/>
    </row>
    <row r="96" spans="6:17" ht="15">
      <c r="F96" s="489"/>
      <c r="G96" s="489"/>
      <c r="H96" s="489"/>
      <c r="I96" s="489"/>
      <c r="J96" s="489"/>
      <c r="K96" s="615"/>
      <c r="L96" s="616"/>
      <c r="P96" s="615"/>
      <c r="Q96" s="616"/>
    </row>
    <row r="97" spans="6:17" ht="15">
      <c r="F97" s="612" t="s">
        <v>363</v>
      </c>
      <c r="G97" s="489"/>
      <c r="H97" s="489"/>
      <c r="I97" s="453" t="s">
        <v>356</v>
      </c>
      <c r="J97" s="453" t="s">
        <v>357</v>
      </c>
      <c r="K97" s="453" t="s">
        <v>358</v>
      </c>
      <c r="L97" s="453" t="s">
        <v>359</v>
      </c>
      <c r="N97" s="453" t="s">
        <v>356</v>
      </c>
      <c r="O97" s="453" t="s">
        <v>357</v>
      </c>
      <c r="P97" s="453" t="s">
        <v>358</v>
      </c>
      <c r="Q97" s="453" t="s">
        <v>359</v>
      </c>
    </row>
    <row r="98" spans="6:17" ht="15">
      <c r="F98" s="489" t="s">
        <v>364</v>
      </c>
      <c r="G98" s="489"/>
      <c r="H98" s="489"/>
      <c r="I98" s="634">
        <v>1</v>
      </c>
      <c r="J98" s="614">
        <v>12</v>
      </c>
      <c r="K98" s="486"/>
      <c r="L98" s="837">
        <f>K98*J98*I98</f>
        <v>0</v>
      </c>
      <c r="N98" s="634"/>
      <c r="O98" s="614"/>
      <c r="P98" s="486"/>
      <c r="Q98" s="635"/>
    </row>
    <row r="99" spans="6:17" ht="15">
      <c r="F99" s="489"/>
      <c r="G99" s="489"/>
      <c r="H99" s="489"/>
      <c r="I99" s="489"/>
      <c r="J99" s="489"/>
      <c r="K99" s="489"/>
      <c r="L99" s="616"/>
      <c r="Q99" s="616"/>
    </row>
    <row r="100" spans="6:17" ht="15">
      <c r="F100" s="489"/>
      <c r="G100" s="489"/>
      <c r="H100" s="489"/>
      <c r="I100" s="489"/>
      <c r="J100" s="489"/>
      <c r="K100" s="489"/>
      <c r="L100" s="616"/>
      <c r="Q100" s="616"/>
    </row>
    <row r="101" spans="6:17" ht="15">
      <c r="F101" s="489"/>
      <c r="G101" s="489"/>
      <c r="H101" s="489"/>
      <c r="I101" s="489"/>
      <c r="J101" s="489"/>
      <c r="K101" s="489"/>
      <c r="L101" s="616"/>
      <c r="Q101" s="616"/>
    </row>
    <row r="102" spans="6:17" ht="15">
      <c r="F102" s="489"/>
      <c r="G102" s="489"/>
      <c r="H102" s="489"/>
      <c r="I102" s="489"/>
      <c r="J102" s="489"/>
      <c r="K102" s="489"/>
      <c r="L102" s="616"/>
      <c r="Q102" s="616"/>
    </row>
    <row r="103" spans="6:17" ht="15">
      <c r="F103" s="612" t="s">
        <v>365</v>
      </c>
      <c r="G103" s="489"/>
      <c r="H103" s="489"/>
      <c r="I103" s="453" t="s">
        <v>356</v>
      </c>
      <c r="J103" s="453" t="s">
        <v>357</v>
      </c>
      <c r="K103" s="453" t="s">
        <v>358</v>
      </c>
      <c r="L103" s="453" t="s">
        <v>359</v>
      </c>
      <c r="N103" s="453" t="s">
        <v>356</v>
      </c>
      <c r="O103" s="453" t="s">
        <v>357</v>
      </c>
      <c r="P103" s="453" t="s">
        <v>358</v>
      </c>
      <c r="Q103" s="453" t="s">
        <v>359</v>
      </c>
    </row>
    <row r="104" spans="6:17" ht="15">
      <c r="F104" s="489" t="s">
        <v>364</v>
      </c>
      <c r="G104" s="489"/>
      <c r="H104" s="489"/>
      <c r="I104" s="634">
        <v>1</v>
      </c>
      <c r="J104" s="614">
        <v>12</v>
      </c>
      <c r="K104" s="486"/>
      <c r="L104" s="837">
        <f>K104*J104*I104</f>
        <v>0</v>
      </c>
      <c r="N104" s="634"/>
      <c r="O104" s="614"/>
      <c r="P104" s="486"/>
      <c r="Q104" s="635"/>
    </row>
    <row r="105" spans="6:17" ht="15">
      <c r="F105" s="489"/>
      <c r="G105" s="489"/>
      <c r="H105" s="489"/>
      <c r="I105" s="489"/>
      <c r="J105" s="489"/>
      <c r="K105" s="489"/>
      <c r="L105" s="616"/>
      <c r="N105" s="611"/>
      <c r="O105" s="611"/>
      <c r="P105" s="611"/>
      <c r="Q105" s="611"/>
    </row>
    <row r="106" spans="6:17" ht="15">
      <c r="F106" s="489"/>
      <c r="G106" s="489"/>
      <c r="H106" s="489"/>
      <c r="I106" s="489"/>
      <c r="J106" s="489"/>
      <c r="K106" s="489"/>
      <c r="L106" s="616"/>
      <c r="N106" s="611"/>
      <c r="O106" s="611"/>
      <c r="P106" s="611"/>
      <c r="Q106" s="611"/>
    </row>
    <row r="107" spans="6:17" s="502" customFormat="1" ht="26" customHeight="1">
      <c r="F107" s="833" t="s">
        <v>455</v>
      </c>
      <c r="G107" s="833"/>
      <c r="H107" s="833"/>
      <c r="I107" s="833"/>
      <c r="J107" s="833"/>
      <c r="K107" s="833"/>
      <c r="L107" s="833"/>
    </row>
    <row r="108" spans="6:17" ht="13" customHeight="1">
      <c r="F108" s="503"/>
      <c r="G108" s="503"/>
      <c r="I108" s="548"/>
      <c r="J108" s="548"/>
      <c r="K108" s="548"/>
      <c r="L108" s="548"/>
    </row>
    <row r="109" spans="6:17">
      <c r="F109" s="499"/>
      <c r="G109" s="499"/>
      <c r="H109" s="499"/>
      <c r="I109" s="832" t="s">
        <v>80</v>
      </c>
      <c r="J109" s="832"/>
      <c r="K109" s="832"/>
      <c r="L109" s="832"/>
    </row>
    <row r="110" spans="6:17">
      <c r="F110" s="499"/>
      <c r="G110" s="499"/>
      <c r="H110" s="499"/>
      <c r="I110" s="563" t="s">
        <v>217</v>
      </c>
      <c r="J110" s="563" t="s">
        <v>218</v>
      </c>
      <c r="K110" s="564" t="s">
        <v>219</v>
      </c>
      <c r="L110" s="564" t="s">
        <v>220</v>
      </c>
    </row>
    <row r="111" spans="6:17" ht="17" thickBot="1">
      <c r="F111" s="546" t="s">
        <v>456</v>
      </c>
      <c r="G111" s="499"/>
      <c r="H111" s="499"/>
      <c r="I111" s="548"/>
      <c r="J111" s="548"/>
      <c r="K111" s="548"/>
      <c r="L111" s="548"/>
    </row>
    <row r="112" spans="6:17" ht="17" thickBot="1">
      <c r="F112" s="546" t="s">
        <v>457</v>
      </c>
      <c r="G112" s="499"/>
      <c r="H112" s="499"/>
      <c r="I112" s="486"/>
      <c r="J112" s="486"/>
      <c r="K112" s="486"/>
      <c r="L112" s="486"/>
      <c r="N112" s="669"/>
      <c r="O112" s="669"/>
      <c r="P112" s="669"/>
      <c r="Q112" s="669"/>
    </row>
    <row r="113" spans="6:17">
      <c r="F113" s="548"/>
      <c r="G113" s="499"/>
      <c r="H113" s="499"/>
      <c r="N113" s="554"/>
      <c r="O113" s="555"/>
      <c r="P113" s="555"/>
      <c r="Q113" s="555"/>
    </row>
    <row r="114" spans="6:17" ht="17" thickBot="1">
      <c r="F114" s="546" t="s">
        <v>456</v>
      </c>
      <c r="G114" s="499"/>
      <c r="H114" s="499"/>
      <c r="I114" s="548"/>
      <c r="J114" s="548"/>
      <c r="K114" s="548"/>
      <c r="L114" s="548"/>
      <c r="N114" s="548"/>
      <c r="O114" s="548"/>
      <c r="P114" s="548"/>
      <c r="Q114" s="548"/>
    </row>
    <row r="115" spans="6:17" ht="17" thickBot="1">
      <c r="F115" s="546" t="s">
        <v>458</v>
      </c>
      <c r="G115" s="499"/>
      <c r="H115" s="499"/>
      <c r="I115" s="486"/>
      <c r="J115" s="486"/>
      <c r="K115" s="486"/>
      <c r="L115" s="486"/>
      <c r="N115" s="669"/>
      <c r="O115" s="669"/>
      <c r="P115" s="669"/>
      <c r="Q115" s="669"/>
    </row>
    <row r="116" spans="6:17">
      <c r="F116" s="548"/>
      <c r="G116" s="499"/>
      <c r="H116" s="499"/>
      <c r="N116" s="554"/>
      <c r="O116" s="555"/>
      <c r="P116" s="555"/>
      <c r="Q116" s="555"/>
    </row>
    <row r="117" spans="6:17" ht="17" thickBot="1">
      <c r="F117" s="546" t="s">
        <v>456</v>
      </c>
      <c r="G117" s="499"/>
      <c r="H117" s="499"/>
      <c r="I117" s="548"/>
      <c r="J117" s="548"/>
      <c r="K117" s="548"/>
      <c r="L117" s="548"/>
      <c r="N117" s="548"/>
      <c r="O117" s="548"/>
      <c r="P117" s="548"/>
      <c r="Q117" s="548"/>
    </row>
    <row r="118" spans="6:17" ht="17" thickBot="1">
      <c r="F118" s="546" t="s">
        <v>459</v>
      </c>
      <c r="G118" s="499"/>
      <c r="H118" s="499"/>
      <c r="I118" s="486"/>
      <c r="J118" s="486"/>
      <c r="K118" s="486"/>
      <c r="L118" s="486"/>
      <c r="N118" s="669"/>
      <c r="O118" s="669"/>
      <c r="P118" s="669"/>
      <c r="Q118" s="669"/>
    </row>
    <row r="119" spans="6:17">
      <c r="F119" s="548"/>
      <c r="G119" s="499"/>
      <c r="H119" s="499"/>
      <c r="N119" s="554"/>
      <c r="O119" s="555"/>
      <c r="P119" s="555"/>
      <c r="Q119" s="555"/>
    </row>
    <row r="120" spans="6:17" ht="17" thickBot="1">
      <c r="F120" s="546" t="s">
        <v>456</v>
      </c>
      <c r="G120" s="499"/>
      <c r="H120" s="499"/>
      <c r="I120" s="548"/>
      <c r="J120" s="548"/>
      <c r="K120" s="548"/>
      <c r="L120" s="548"/>
      <c r="N120" s="548"/>
      <c r="O120" s="548"/>
      <c r="P120" s="548"/>
      <c r="Q120" s="548"/>
    </row>
    <row r="121" spans="6:17" ht="17" thickBot="1">
      <c r="F121" s="546" t="s">
        <v>460</v>
      </c>
      <c r="G121" s="499"/>
      <c r="H121" s="499"/>
      <c r="I121" s="486"/>
      <c r="J121" s="486"/>
      <c r="K121" s="486"/>
      <c r="L121" s="486"/>
      <c r="N121" s="669"/>
      <c r="O121" s="669"/>
      <c r="P121" s="669"/>
      <c r="Q121" s="669"/>
    </row>
    <row r="122" spans="6:17">
      <c r="F122" s="499"/>
      <c r="G122" s="499"/>
      <c r="H122" s="499"/>
    </row>
    <row r="123" spans="6:17" ht="15">
      <c r="F123" s="489"/>
      <c r="G123" s="489"/>
      <c r="H123" s="489"/>
      <c r="I123" s="489"/>
      <c r="J123" s="489"/>
      <c r="K123" s="489"/>
      <c r="L123" s="616"/>
      <c r="N123" s="611"/>
      <c r="O123" s="611"/>
      <c r="P123" s="611"/>
      <c r="Q123" s="611"/>
    </row>
    <row r="124" spans="6:17">
      <c r="F124" s="489"/>
      <c r="G124" s="489"/>
      <c r="H124" s="489"/>
      <c r="I124" s="548"/>
      <c r="J124" s="548"/>
      <c r="K124" s="548"/>
      <c r="L124" s="548"/>
    </row>
    <row r="125" spans="6:17" ht="26" customHeight="1">
      <c r="F125" s="835" t="s">
        <v>165</v>
      </c>
      <c r="G125" s="835"/>
      <c r="H125" s="835"/>
      <c r="I125" s="835"/>
      <c r="J125" s="835"/>
      <c r="K125" s="835"/>
      <c r="L125" s="835"/>
    </row>
    <row r="126" spans="6:17" ht="13" customHeight="1">
      <c r="F126" s="503"/>
      <c r="G126" s="503"/>
      <c r="I126" s="548"/>
      <c r="J126" s="548"/>
      <c r="K126" s="548"/>
      <c r="L126" s="548"/>
    </row>
    <row r="127" spans="6:17" ht="13" customHeight="1">
      <c r="F127" s="489"/>
      <c r="G127" s="489"/>
      <c r="H127" s="489"/>
      <c r="I127" s="548"/>
      <c r="J127" s="548"/>
      <c r="K127" s="548"/>
      <c r="L127" s="548"/>
    </row>
    <row r="128" spans="6:17" ht="13" customHeight="1">
      <c r="F128" s="489"/>
      <c r="G128" s="489"/>
      <c r="H128" s="489"/>
      <c r="I128" s="548"/>
      <c r="J128" s="548"/>
      <c r="K128" s="548"/>
      <c r="L128" s="548"/>
    </row>
    <row r="129" spans="6:17" ht="12.75" customHeight="1">
      <c r="F129" s="834" t="s">
        <v>229</v>
      </c>
      <c r="G129" s="834"/>
      <c r="H129" s="834"/>
      <c r="I129" s="834"/>
      <c r="J129" s="834"/>
      <c r="K129" s="834"/>
      <c r="L129" s="834"/>
    </row>
    <row r="130" spans="6:17" ht="15">
      <c r="F130" s="834"/>
      <c r="G130" s="834"/>
      <c r="H130" s="834"/>
      <c r="I130" s="834"/>
      <c r="J130" s="834"/>
      <c r="K130" s="834"/>
      <c r="L130" s="834"/>
    </row>
    <row r="131" spans="6:17" ht="15">
      <c r="F131" s="834"/>
      <c r="G131" s="834"/>
      <c r="H131" s="834"/>
      <c r="I131" s="834"/>
      <c r="J131" s="834"/>
      <c r="K131" s="834"/>
      <c r="L131" s="834"/>
    </row>
    <row r="132" spans="6:17">
      <c r="F132" s="550"/>
      <c r="G132" s="550"/>
      <c r="H132" s="550"/>
      <c r="I132" s="550"/>
      <c r="J132" s="550"/>
      <c r="K132" s="550"/>
      <c r="L132" s="550"/>
    </row>
    <row r="133" spans="6:17">
      <c r="F133" s="550" t="s">
        <v>13</v>
      </c>
      <c r="G133" s="548"/>
      <c r="H133" s="550" t="s">
        <v>37</v>
      </c>
      <c r="I133" s="550"/>
      <c r="J133" s="550"/>
      <c r="K133" s="550"/>
      <c r="L133" s="550"/>
    </row>
    <row r="134" spans="6:17" ht="20" customHeight="1">
      <c r="F134" s="551" t="s">
        <v>117</v>
      </c>
      <c r="G134" s="548"/>
      <c r="H134" s="548" t="s">
        <v>92</v>
      </c>
      <c r="I134" s="548"/>
      <c r="J134" s="552"/>
      <c r="K134" s="552"/>
      <c r="L134" s="486"/>
      <c r="Q134" s="608"/>
    </row>
    <row r="135" spans="6:17" ht="20" customHeight="1">
      <c r="F135" s="548" t="s">
        <v>21</v>
      </c>
      <c r="G135" s="548"/>
      <c r="H135" s="548" t="s">
        <v>95</v>
      </c>
      <c r="I135" s="548"/>
      <c r="J135" s="552"/>
      <c r="K135" s="552"/>
      <c r="L135" s="486"/>
      <c r="Q135" s="486"/>
    </row>
    <row r="136" spans="6:17" ht="20" customHeight="1">
      <c r="F136" s="548" t="s">
        <v>117</v>
      </c>
      <c r="G136" s="548"/>
      <c r="H136" s="548" t="s">
        <v>61</v>
      </c>
      <c r="I136" s="548"/>
      <c r="J136" s="552"/>
      <c r="K136" s="552"/>
      <c r="L136" s="486"/>
      <c r="Q136" s="608"/>
    </row>
    <row r="137" spans="6:17" ht="20" customHeight="1">
      <c r="F137" s="551" t="s">
        <v>21</v>
      </c>
      <c r="G137" s="548"/>
      <c r="H137" s="551" t="s">
        <v>61</v>
      </c>
      <c r="I137" s="548"/>
      <c r="J137" s="582"/>
      <c r="K137" s="552"/>
      <c r="L137" s="486"/>
      <c r="Q137" s="486"/>
    </row>
    <row r="138" spans="6:17" ht="20" customHeight="1">
      <c r="F138" s="548" t="s">
        <v>117</v>
      </c>
      <c r="G138" s="548"/>
      <c r="H138" s="548" t="s">
        <v>40</v>
      </c>
      <c r="I138" s="548"/>
      <c r="J138" s="552"/>
      <c r="K138" s="582"/>
      <c r="L138" s="486"/>
      <c r="Q138" s="608"/>
    </row>
    <row r="139" spans="6:17" ht="20" customHeight="1">
      <c r="F139" s="551" t="s">
        <v>21</v>
      </c>
      <c r="G139" s="548"/>
      <c r="H139" s="551" t="s">
        <v>40</v>
      </c>
      <c r="I139" s="548"/>
      <c r="J139" s="582"/>
      <c r="K139" s="552"/>
      <c r="L139" s="486"/>
      <c r="Q139" s="486"/>
    </row>
    <row r="140" spans="6:17">
      <c r="F140" s="548"/>
      <c r="G140" s="548"/>
      <c r="H140" s="548"/>
      <c r="I140" s="548"/>
      <c r="J140" s="548"/>
      <c r="K140" s="582"/>
      <c r="L140" s="582"/>
    </row>
    <row r="141" spans="6:17" ht="12.75" customHeight="1">
      <c r="F141" s="553" t="s">
        <v>43</v>
      </c>
      <c r="G141" s="546"/>
      <c r="H141" s="546"/>
      <c r="K141" s="548"/>
      <c r="L141" s="548"/>
    </row>
    <row r="142" spans="6:17" ht="12.75" customHeight="1">
      <c r="F142" s="546" t="s">
        <v>230</v>
      </c>
      <c r="G142" s="546"/>
      <c r="H142" s="546"/>
    </row>
    <row r="143" spans="6:17" ht="12.75" customHeight="1">
      <c r="F143" s="546" t="s">
        <v>68</v>
      </c>
      <c r="G143" s="546"/>
      <c r="H143" s="546"/>
    </row>
    <row r="144" spans="6:17"/>
    <row r="145" spans="6:12" ht="17" thickBot="1">
      <c r="F145" s="30"/>
      <c r="G145" s="30"/>
      <c r="H145" s="30"/>
      <c r="I145" s="556"/>
      <c r="J145" s="556"/>
      <c r="K145" s="556"/>
      <c r="L145" s="556"/>
    </row>
    <row r="146" spans="6:12">
      <c r="F146" s="102"/>
      <c r="G146" s="102"/>
      <c r="H146" s="102"/>
      <c r="I146" s="558"/>
      <c r="J146" s="558"/>
      <c r="K146" s="558"/>
      <c r="L146" s="558"/>
    </row>
    <row r="147" spans="6:12"/>
    <row r="148" spans="6:12"/>
    <row r="149" spans="6:12"/>
    <row r="150" spans="6:12"/>
    <row r="151" spans="6:12"/>
    <row r="152" spans="6:12"/>
    <row r="153" spans="6:12"/>
    <row r="154" spans="6:12"/>
    <row r="155" spans="6:12"/>
    <row r="156" spans="6:12"/>
    <row r="157" spans="6:12"/>
    <row r="158" spans="6:12"/>
    <row r="159" spans="6:12"/>
    <row r="160" spans="6:12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2"/>
    <row r="1433"/>
    <row r="1434"/>
    <row r="1435"/>
    <row r="1436"/>
    <row r="1437"/>
    <row r="1438"/>
    <row r="1439"/>
    <row r="1440"/>
  </sheetData>
  <mergeCells count="12">
    <mergeCell ref="N74:Q74"/>
    <mergeCell ref="F129:L131"/>
    <mergeCell ref="F125:L125"/>
    <mergeCell ref="I86:L86"/>
    <mergeCell ref="F107:L107"/>
    <mergeCell ref="I109:L109"/>
    <mergeCell ref="N86:Q86"/>
    <mergeCell ref="F16:L16"/>
    <mergeCell ref="I18:L18"/>
    <mergeCell ref="F61:L61"/>
    <mergeCell ref="I64:L64"/>
    <mergeCell ref="I74:L74"/>
  </mergeCells>
  <phoneticPr fontId="13"/>
  <conditionalFormatting sqref="I22:L22">
    <cfRule type="cellIs" dxfId="61" priority="39" operator="greaterThan">
      <formula>0</formula>
    </cfRule>
  </conditionalFormatting>
  <conditionalFormatting sqref="I25:L25">
    <cfRule type="cellIs" dxfId="60" priority="34" operator="greaterThan">
      <formula>0</formula>
    </cfRule>
  </conditionalFormatting>
  <conditionalFormatting sqref="I28:L28">
    <cfRule type="cellIs" dxfId="59" priority="33" operator="greaterThan">
      <formula>0</formula>
    </cfRule>
  </conditionalFormatting>
  <conditionalFormatting sqref="I31:L31">
    <cfRule type="cellIs" dxfId="58" priority="32" operator="greaterThan">
      <formula>0</formula>
    </cfRule>
  </conditionalFormatting>
  <conditionalFormatting sqref="I34:L34">
    <cfRule type="cellIs" dxfId="57" priority="31" operator="greaterThan">
      <formula>0</formula>
    </cfRule>
  </conditionalFormatting>
  <conditionalFormatting sqref="I37:L37">
    <cfRule type="cellIs" dxfId="56" priority="30" operator="greaterThan">
      <formula>0</formula>
    </cfRule>
  </conditionalFormatting>
  <conditionalFormatting sqref="I40:L40">
    <cfRule type="cellIs" dxfId="55" priority="29" operator="greaterThan">
      <formula>0</formula>
    </cfRule>
  </conditionalFormatting>
  <conditionalFormatting sqref="I43:L43">
    <cfRule type="cellIs" dxfId="54" priority="28" operator="greaterThan">
      <formula>0</formula>
    </cfRule>
  </conditionalFormatting>
  <conditionalFormatting sqref="I46:L46">
    <cfRule type="cellIs" dxfId="53" priority="27" operator="greaterThan">
      <formula>0</formula>
    </cfRule>
  </conditionalFormatting>
  <conditionalFormatting sqref="I49:L49">
    <cfRule type="cellIs" dxfId="52" priority="26" operator="greaterThan">
      <formula>0</formula>
    </cfRule>
  </conditionalFormatting>
  <conditionalFormatting sqref="I52:L52">
    <cfRule type="cellIs" dxfId="51" priority="25" operator="greaterThan">
      <formula>0</formula>
    </cfRule>
  </conditionalFormatting>
  <conditionalFormatting sqref="I55:L55">
    <cfRule type="cellIs" dxfId="50" priority="24" operator="greaterThan">
      <formula>0</formula>
    </cfRule>
  </conditionalFormatting>
  <conditionalFormatting sqref="I58:L58">
    <cfRule type="cellIs" dxfId="49" priority="23" operator="greaterThan">
      <formula>0</formula>
    </cfRule>
  </conditionalFormatting>
  <conditionalFormatting sqref="I67:L67">
    <cfRule type="cellIs" dxfId="48" priority="22" operator="greaterThan">
      <formula>0</formula>
    </cfRule>
  </conditionalFormatting>
  <conditionalFormatting sqref="I70:L70">
    <cfRule type="cellIs" dxfId="47" priority="21" operator="greaterThan">
      <formula>0</formula>
    </cfRule>
  </conditionalFormatting>
  <conditionalFormatting sqref="I77:L77">
    <cfRule type="cellIs" dxfId="46" priority="20" operator="greaterThan">
      <formula>0</formula>
    </cfRule>
  </conditionalFormatting>
  <conditionalFormatting sqref="I112:L112">
    <cfRule type="cellIs" dxfId="45" priority="13" operator="greaterThan">
      <formula>0</formula>
    </cfRule>
  </conditionalFormatting>
  <conditionalFormatting sqref="I115:L115">
    <cfRule type="cellIs" dxfId="44" priority="12" operator="greaterThan">
      <formula>0</formula>
    </cfRule>
  </conditionalFormatting>
  <conditionalFormatting sqref="I118:L118">
    <cfRule type="cellIs" dxfId="43" priority="11" operator="greaterThan">
      <formula>0</formula>
    </cfRule>
  </conditionalFormatting>
  <conditionalFormatting sqref="I121:L121">
    <cfRule type="cellIs" dxfId="42" priority="10" operator="greaterThan">
      <formula>0</formula>
    </cfRule>
  </conditionalFormatting>
  <conditionalFormatting sqref="K81:K82">
    <cfRule type="cellIs" dxfId="41" priority="19" operator="greaterThan">
      <formula>0</formula>
    </cfRule>
  </conditionalFormatting>
  <conditionalFormatting sqref="K89">
    <cfRule type="cellIs" dxfId="40" priority="17" operator="greaterThan">
      <formula>0</formula>
    </cfRule>
  </conditionalFormatting>
  <conditionalFormatting sqref="K93:L93">
    <cfRule type="cellIs" dxfId="39" priority="16" operator="greaterThan">
      <formula>0</formula>
    </cfRule>
  </conditionalFormatting>
  <conditionalFormatting sqref="K98">
    <cfRule type="cellIs" dxfId="38" priority="15" operator="greaterThan">
      <formula>0</formula>
    </cfRule>
  </conditionalFormatting>
  <conditionalFormatting sqref="K104">
    <cfRule type="cellIs" dxfId="37" priority="14" operator="greaterThan">
      <formula>0</formula>
    </cfRule>
  </conditionalFormatting>
  <conditionalFormatting sqref="L83:L84">
    <cfRule type="cellIs" dxfId="36" priority="18" operator="greaterThan">
      <formula>0</formula>
    </cfRule>
  </conditionalFormatting>
  <conditionalFormatting sqref="L134:L139">
    <cfRule type="cellIs" dxfId="35" priority="7" operator="greaterThan">
      <formula>0</formula>
    </cfRule>
  </conditionalFormatting>
  <conditionalFormatting sqref="N22:Q22">
    <cfRule type="cellIs" dxfId="34" priority="72" operator="greaterThan">
      <formula>0</formula>
    </cfRule>
  </conditionalFormatting>
  <conditionalFormatting sqref="N25:Q25">
    <cfRule type="cellIs" dxfId="33" priority="71" operator="greaterThan">
      <formula>0</formula>
    </cfRule>
  </conditionalFormatting>
  <conditionalFormatting sqref="N28:Q28">
    <cfRule type="cellIs" dxfId="32" priority="63" operator="greaterThan">
      <formula>0</formula>
    </cfRule>
  </conditionalFormatting>
  <conditionalFormatting sqref="N31:Q31">
    <cfRule type="cellIs" dxfId="31" priority="70" operator="greaterThan">
      <formula>0</formula>
    </cfRule>
  </conditionalFormatting>
  <conditionalFormatting sqref="N34:Q34">
    <cfRule type="cellIs" dxfId="30" priority="69" operator="greaterThan">
      <formula>0</formula>
    </cfRule>
  </conditionalFormatting>
  <conditionalFormatting sqref="N37:Q37">
    <cfRule type="cellIs" dxfId="29" priority="68" operator="greaterThan">
      <formula>0</formula>
    </cfRule>
  </conditionalFormatting>
  <conditionalFormatting sqref="N40:Q40">
    <cfRule type="cellIs" dxfId="28" priority="67" operator="greaterThan">
      <formula>0</formula>
    </cfRule>
  </conditionalFormatting>
  <conditionalFormatting sqref="N43:Q43">
    <cfRule type="cellIs" dxfId="27" priority="62" operator="greaterThan">
      <formula>0</formula>
    </cfRule>
  </conditionalFormatting>
  <conditionalFormatting sqref="N46:Q46">
    <cfRule type="cellIs" dxfId="26" priority="61" operator="greaterThan">
      <formula>0</formula>
    </cfRule>
  </conditionalFormatting>
  <conditionalFormatting sqref="N49:Q49">
    <cfRule type="cellIs" dxfId="25" priority="66" operator="greaterThan">
      <formula>0</formula>
    </cfRule>
  </conditionalFormatting>
  <conditionalFormatting sqref="N52:Q52">
    <cfRule type="cellIs" dxfId="24" priority="65" operator="greaterThan">
      <formula>0</formula>
    </cfRule>
  </conditionalFormatting>
  <conditionalFormatting sqref="N55:Q55">
    <cfRule type="cellIs" dxfId="23" priority="64" operator="greaterThan">
      <formula>0</formula>
    </cfRule>
  </conditionalFormatting>
  <conditionalFormatting sqref="N58:Q58">
    <cfRule type="cellIs" dxfId="22" priority="60" operator="greaterThan">
      <formula>0</formula>
    </cfRule>
  </conditionalFormatting>
  <conditionalFormatting sqref="N67:Q67">
    <cfRule type="cellIs" dxfId="21" priority="59" operator="greaterThan">
      <formula>0</formula>
    </cfRule>
  </conditionalFormatting>
  <conditionalFormatting sqref="N70:Q70">
    <cfRule type="cellIs" dxfId="20" priority="58" operator="greaterThan">
      <formula>0</formula>
    </cfRule>
  </conditionalFormatting>
  <conditionalFormatting sqref="N77:Q77">
    <cfRule type="cellIs" dxfId="19" priority="53" operator="greaterThan">
      <formula>0</formula>
    </cfRule>
  </conditionalFormatting>
  <conditionalFormatting sqref="N112:Q112">
    <cfRule type="cellIs" dxfId="18" priority="50" operator="greaterThan">
      <formula>0</formula>
    </cfRule>
  </conditionalFormatting>
  <conditionalFormatting sqref="N115:Q115">
    <cfRule type="cellIs" dxfId="17" priority="49" operator="greaterThan">
      <formula>0</formula>
    </cfRule>
  </conditionalFormatting>
  <conditionalFormatting sqref="N118:Q118">
    <cfRule type="cellIs" dxfId="16" priority="48" operator="greaterThan">
      <formula>0</formula>
    </cfRule>
  </conditionalFormatting>
  <conditionalFormatting sqref="N121:Q121">
    <cfRule type="cellIs" dxfId="15" priority="47" operator="greaterThan">
      <formula>0</formula>
    </cfRule>
  </conditionalFormatting>
  <conditionalFormatting sqref="P81:P82">
    <cfRule type="cellIs" dxfId="14" priority="52" operator="greaterThan">
      <formula>0</formula>
    </cfRule>
  </conditionalFormatting>
  <conditionalFormatting sqref="P89:Q89">
    <cfRule type="cellIs" dxfId="13" priority="57" operator="greaterThan">
      <formula>0</formula>
    </cfRule>
  </conditionalFormatting>
  <conditionalFormatting sqref="P93:Q93">
    <cfRule type="cellIs" dxfId="12" priority="56" operator="greaterThan">
      <formula>0</formula>
    </cfRule>
  </conditionalFormatting>
  <conditionalFormatting sqref="P98:Q98">
    <cfRule type="cellIs" dxfId="11" priority="55" operator="greaterThan">
      <formula>0</formula>
    </cfRule>
  </conditionalFormatting>
  <conditionalFormatting sqref="P104:Q104">
    <cfRule type="cellIs" dxfId="10" priority="54" operator="greaterThan">
      <formula>0</formula>
    </cfRule>
  </conditionalFormatting>
  <conditionalFormatting sqref="Q83:Q84">
    <cfRule type="cellIs" dxfId="9" priority="51" operator="greaterThan">
      <formula>0</formula>
    </cfRule>
  </conditionalFormatting>
  <conditionalFormatting sqref="Q134:Q139">
    <cfRule type="cellIs" dxfId="8" priority="44" operator="greaterThan">
      <formula>0</formula>
    </cfRule>
  </conditionalFormatting>
  <conditionalFormatting sqref="L89">
    <cfRule type="cellIs" dxfId="2" priority="3" operator="greaterThan">
      <formula>0</formula>
    </cfRule>
  </conditionalFormatting>
  <conditionalFormatting sqref="L98">
    <cfRule type="cellIs" dxfId="1" priority="2" operator="greaterThan">
      <formula>0</formula>
    </cfRule>
  </conditionalFormatting>
  <conditionalFormatting sqref="L104">
    <cfRule type="cellIs" dxfId="0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4" xr:uid="{00000000-0002-0000-0B00-000000000000}"/>
  </dataValidations>
  <printOptions horizontalCentered="1"/>
  <pageMargins left="0.28999999999999998" right="0.09" top="1.38" bottom="0.79" header="0.39" footer="0.2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2D43-D673-9640-895D-A3FA8E69FA4D}">
  <sheetPr>
    <pageSetUpPr fitToPage="1"/>
  </sheetPr>
  <dimension ref="B1:AO60"/>
  <sheetViews>
    <sheetView showGridLines="0" showRowColHeaders="0" topLeftCell="A8" zoomScale="101" zoomScaleNormal="100" workbookViewId="0">
      <selection activeCell="I20" sqref="I20:I34"/>
    </sheetView>
  </sheetViews>
  <sheetFormatPr baseColWidth="10" defaultColWidth="11" defaultRowHeight="15"/>
  <cols>
    <col min="1" max="1" width="8.796875" style="305" customWidth="1"/>
    <col min="2" max="2" width="13.59765625" style="305" customWidth="1"/>
    <col min="3" max="3" width="33" style="305" bestFit="1" customWidth="1"/>
    <col min="4" max="4" width="37" style="305" customWidth="1"/>
    <col min="5" max="5" width="21.59765625" style="305" customWidth="1"/>
    <col min="6" max="6" width="14.59765625" style="305" customWidth="1"/>
    <col min="7" max="7" width="15.59765625" style="305" customWidth="1"/>
    <col min="8" max="8" width="17.19921875" style="510" bestFit="1" customWidth="1"/>
    <col min="9" max="9" width="8.59765625" style="305" bestFit="1" customWidth="1"/>
    <col min="10" max="10" width="9.19921875" style="305" bestFit="1" customWidth="1"/>
    <col min="11" max="11" width="8.59765625" style="510" bestFit="1" customWidth="1"/>
    <col min="12" max="12" width="10.59765625" style="510" customWidth="1"/>
    <col min="13" max="13" width="5.19921875" style="510" customWidth="1"/>
    <col min="14" max="15" width="11.19921875" style="305" customWidth="1"/>
    <col min="16" max="16" width="11.19921875" style="510" customWidth="1"/>
    <col min="17" max="17" width="3.19921875" style="305" customWidth="1"/>
    <col min="18" max="18" width="17.19921875" style="305" customWidth="1"/>
    <col min="19" max="19" width="16.59765625" style="305" customWidth="1"/>
    <col min="20" max="20" width="19.19921875" style="305" customWidth="1"/>
    <col min="21" max="21" width="15.59765625" style="305" customWidth="1"/>
    <col min="22" max="22" width="17.59765625" style="305" customWidth="1"/>
    <col min="23" max="41" width="15.796875" style="305" hidden="1" customWidth="1"/>
    <col min="42" max="45" width="15.796875" style="305" customWidth="1"/>
    <col min="46" max="54" width="11" style="305" customWidth="1"/>
    <col min="55" max="16384" width="11" style="305"/>
  </cols>
  <sheetData>
    <row r="1" spans="2:33" ht="9" customHeight="1" thickBot="1"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99"/>
      <c r="S1" s="99"/>
      <c r="T1" s="99"/>
      <c r="U1" s="99"/>
    </row>
    <row r="2" spans="2:33" ht="9" customHeight="1"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99"/>
      <c r="S2" s="99"/>
      <c r="T2" s="99"/>
      <c r="U2" s="99"/>
    </row>
    <row r="3" spans="2:33" ht="9" customHeight="1"/>
    <row r="5" spans="2:33" ht="17">
      <c r="D5" s="337" t="s">
        <v>27</v>
      </c>
      <c r="E5" s="36" t="s">
        <v>41</v>
      </c>
      <c r="F5" s="490"/>
    </row>
    <row r="6" spans="2:33" ht="17">
      <c r="D6" s="337" t="s">
        <v>85</v>
      </c>
      <c r="E6" s="38" t="str">
        <f>Voorblad!$E$16</f>
        <v>Stichting Opspoor</v>
      </c>
      <c r="F6" s="493"/>
      <c r="I6" s="539"/>
    </row>
    <row r="7" spans="2:33" ht="17">
      <c r="D7" s="337" t="s">
        <v>33</v>
      </c>
      <c r="E7" s="38" t="str">
        <f>'1.0-Contractblad'!$E$7</f>
        <v>Purmerend e.o.</v>
      </c>
      <c r="F7" s="494"/>
      <c r="I7" s="539"/>
    </row>
    <row r="8" spans="2:33" ht="17">
      <c r="D8" s="337" t="s">
        <v>114</v>
      </c>
      <c r="E8" s="495" t="str">
        <f>Voorblad!$E$24</f>
        <v>1501-102-2026</v>
      </c>
      <c r="F8" s="496"/>
    </row>
    <row r="9" spans="2:33" ht="17">
      <c r="D9" s="337" t="s">
        <v>145</v>
      </c>
      <c r="E9" s="41" t="str">
        <f ca="1">Voorblad!$E$26</f>
        <v>Calculatiemodule Opspoor Perceel 3 V1.1 | 01-jan-27 Wijziging bijgehouden</v>
      </c>
      <c r="F9" s="494"/>
    </row>
    <row r="10" spans="2:33" ht="17">
      <c r="B10" s="569" t="s">
        <v>161</v>
      </c>
      <c r="C10" s="491"/>
      <c r="D10" s="337" t="s">
        <v>83</v>
      </c>
      <c r="E10" s="566" t="str">
        <f>Voorblad!$E$19</f>
        <v>Naam organisatie</v>
      </c>
      <c r="F10" s="494"/>
      <c r="O10" s="489"/>
    </row>
    <row r="11" spans="2:33" ht="18" thickBot="1">
      <c r="B11" s="523"/>
      <c r="C11" s="505" t="s">
        <v>153</v>
      </c>
      <c r="D11" s="337" t="s">
        <v>6</v>
      </c>
      <c r="E11" s="45">
        <f>Voorblad!$E$22</f>
        <v>46388</v>
      </c>
      <c r="F11" s="494"/>
      <c r="O11" s="489"/>
    </row>
    <row r="12" spans="2:33" ht="18" thickBot="1">
      <c r="B12" s="631"/>
      <c r="C12" s="505" t="s">
        <v>384</v>
      </c>
      <c r="D12" s="36" t="s">
        <v>15</v>
      </c>
      <c r="E12" s="790" t="s">
        <v>1045</v>
      </c>
      <c r="F12" s="494"/>
      <c r="AC12" s="511"/>
      <c r="AD12" s="511"/>
      <c r="AE12" s="511"/>
      <c r="AF12" s="511"/>
    </row>
    <row r="13" spans="2:33" ht="16" thickBot="1">
      <c r="B13" s="533"/>
      <c r="C13" s="505" t="s">
        <v>272</v>
      </c>
      <c r="AC13" s="511"/>
      <c r="AD13" s="511"/>
      <c r="AE13" s="511"/>
      <c r="AF13" s="511"/>
    </row>
    <row r="14" spans="2:33">
      <c r="B14" s="689"/>
      <c r="C14" s="505" t="s">
        <v>479</v>
      </c>
      <c r="H14" s="305"/>
      <c r="I14" s="510"/>
      <c r="J14" s="510"/>
      <c r="L14" s="305"/>
      <c r="M14" s="305"/>
      <c r="P14" s="305"/>
      <c r="AC14" s="511"/>
      <c r="AD14" s="511"/>
      <c r="AE14" s="511"/>
      <c r="AF14" s="511"/>
    </row>
    <row r="15" spans="2:33">
      <c r="H15" s="305"/>
      <c r="I15" s="510"/>
      <c r="J15" s="510"/>
      <c r="L15" s="305"/>
      <c r="M15" s="305"/>
      <c r="P15" s="305"/>
      <c r="AC15" s="511"/>
      <c r="AD15" s="511"/>
      <c r="AE15" s="511"/>
      <c r="AF15" s="511"/>
    </row>
    <row r="16" spans="2:33">
      <c r="H16" s="305"/>
      <c r="J16" s="510"/>
      <c r="M16" s="305"/>
      <c r="P16" s="305"/>
      <c r="AD16" s="511"/>
      <c r="AE16" s="511"/>
      <c r="AF16" s="511"/>
      <c r="AG16" s="511"/>
    </row>
    <row r="17" spans="2:40">
      <c r="H17" s="305"/>
      <c r="J17" s="510"/>
      <c r="M17" s="305"/>
      <c r="P17" s="305"/>
      <c r="AD17" s="511"/>
      <c r="AE17" s="511"/>
      <c r="AF17" s="511"/>
      <c r="AG17" s="511"/>
    </row>
    <row r="18" spans="2:40" ht="64">
      <c r="D18" s="567" t="s">
        <v>270</v>
      </c>
      <c r="E18" s="568" t="s">
        <v>51</v>
      </c>
      <c r="F18" s="568" t="s">
        <v>281</v>
      </c>
      <c r="G18" s="568" t="s">
        <v>280</v>
      </c>
      <c r="H18" s="568" t="s">
        <v>343</v>
      </c>
      <c r="I18" s="568"/>
      <c r="J18" s="568" t="s">
        <v>282</v>
      </c>
      <c r="K18" s="568" t="s">
        <v>284</v>
      </c>
      <c r="L18" s="568" t="s">
        <v>283</v>
      </c>
      <c r="M18" s="568"/>
      <c r="N18" s="568" t="s">
        <v>286</v>
      </c>
      <c r="O18" s="568" t="s">
        <v>287</v>
      </c>
      <c r="P18" s="568" t="s">
        <v>288</v>
      </c>
      <c r="Q18" s="568"/>
      <c r="R18" s="568" t="s">
        <v>285</v>
      </c>
      <c r="S18" s="568" t="s">
        <v>289</v>
      </c>
      <c r="T18" s="568" t="s">
        <v>308</v>
      </c>
      <c r="U18" s="568" t="s">
        <v>344</v>
      </c>
      <c r="V18" s="568"/>
      <c r="Y18" s="695"/>
      <c r="AD18" s="511"/>
      <c r="AE18" s="511"/>
      <c r="AF18" s="511"/>
      <c r="AG18" s="511"/>
    </row>
    <row r="19" spans="2:40">
      <c r="D19" s="512"/>
      <c r="E19" s="512"/>
      <c r="F19" s="513"/>
      <c r="H19" s="305"/>
      <c r="J19" s="510"/>
      <c r="M19" s="305"/>
      <c r="P19" s="305"/>
      <c r="Y19" s="305" t="s">
        <v>428</v>
      </c>
      <c r="Z19" s="305" t="s">
        <v>427</v>
      </c>
      <c r="AA19" s="305" t="s">
        <v>426</v>
      </c>
      <c r="AD19" s="511"/>
      <c r="AE19" s="511"/>
      <c r="AF19" s="511"/>
      <c r="AG19" s="511"/>
    </row>
    <row r="20" spans="2:40" s="43" customFormat="1" ht="22" customHeight="1">
      <c r="B20" s="305"/>
      <c r="C20" s="305"/>
      <c r="D20" s="124" t="str">
        <f>'1.1a-Jaarprijzen'!B13</f>
        <v>OBS De Ranonkel</v>
      </c>
      <c r="E20" s="124"/>
      <c r="F20" s="694">
        <v>444.8</v>
      </c>
      <c r="G20" s="694">
        <v>467.3</v>
      </c>
      <c r="H20" s="694">
        <v>340.2</v>
      </c>
      <c r="I20" s="514">
        <f t="shared" ref="I20:I34" si="0">F20+G20+H20</f>
        <v>1252.3</v>
      </c>
      <c r="J20" s="515">
        <v>1</v>
      </c>
      <c r="K20" s="515">
        <v>2</v>
      </c>
      <c r="L20" s="515">
        <v>1</v>
      </c>
      <c r="N20" s="633"/>
      <c r="O20" s="633"/>
      <c r="P20" s="633"/>
      <c r="R20" s="643">
        <f t="shared" ref="R20:R34" si="1">(F20*J20*N20)+(H20*L20*P20)+(G20*K20*O20)</f>
        <v>0</v>
      </c>
      <c r="S20" s="637"/>
      <c r="T20" s="638"/>
      <c r="U20" s="791"/>
      <c r="V20" s="792"/>
      <c r="W20" s="142">
        <f t="shared" ref="W20:W34" si="2">IF(R20="NVT",0,R20+T20*S20)</f>
        <v>0</v>
      </c>
      <c r="X20" s="142">
        <f t="shared" ref="X20:X34" si="3">S20*K20</f>
        <v>0</v>
      </c>
      <c r="Y20" s="142">
        <f t="shared" ref="Y20:Y34" si="4">F20*J20*N20</f>
        <v>0</v>
      </c>
      <c r="Z20" s="142">
        <f t="shared" ref="Z20:Z34" si="5">G20*K20*O20</f>
        <v>0</v>
      </c>
      <c r="AA20" s="142">
        <f t="shared" ref="AA20:AA34" si="6">H20*L20*P20</f>
        <v>0</v>
      </c>
      <c r="AC20" s="130"/>
      <c r="AD20" s="571">
        <f t="shared" ref="AD20:AD34" si="7">AC20-W20</f>
        <v>0</v>
      </c>
      <c r="AE20" s="511"/>
      <c r="AF20" s="511"/>
      <c r="AG20" s="511"/>
      <c r="AH20" s="570"/>
      <c r="AI20" s="570"/>
      <c r="AJ20" s="570"/>
      <c r="AK20" s="305"/>
      <c r="AL20" s="305"/>
      <c r="AN20" s="130">
        <f>SUMIF('1.8-Glasbewassing'!AF:AF,'1.1a-Jaarprijzen'!#REF!,'1.8-Glasbewassing'!AY:AY)</f>
        <v>0</v>
      </c>
    </row>
    <row r="21" spans="2:40" s="43" customFormat="1" ht="22" customHeight="1">
      <c r="B21" s="305"/>
      <c r="C21" s="305"/>
      <c r="D21" s="124" t="str">
        <f>'1.1a-Jaarprijzen'!B14</f>
        <v>OBS De Koempoelan</v>
      </c>
      <c r="E21" s="124"/>
      <c r="F21" s="694">
        <v>231</v>
      </c>
      <c r="G21" s="694">
        <v>231</v>
      </c>
      <c r="H21" s="694">
        <v>262.5</v>
      </c>
      <c r="I21" s="514">
        <f t="shared" si="0"/>
        <v>724.5</v>
      </c>
      <c r="J21" s="515">
        <v>1</v>
      </c>
      <c r="K21" s="515">
        <v>2</v>
      </c>
      <c r="L21" s="515">
        <v>1</v>
      </c>
      <c r="N21" s="633"/>
      <c r="O21" s="633"/>
      <c r="P21" s="633"/>
      <c r="R21" s="643">
        <f t="shared" si="1"/>
        <v>0</v>
      </c>
      <c r="S21" s="637"/>
      <c r="T21" s="638"/>
      <c r="U21" s="791"/>
      <c r="V21" s="792"/>
      <c r="W21" s="142">
        <f t="shared" si="2"/>
        <v>0</v>
      </c>
      <c r="X21" s="142">
        <f t="shared" si="3"/>
        <v>0</v>
      </c>
      <c r="Y21" s="142">
        <f t="shared" si="4"/>
        <v>0</v>
      </c>
      <c r="Z21" s="142">
        <f t="shared" si="5"/>
        <v>0</v>
      </c>
      <c r="AA21" s="142">
        <f t="shared" si="6"/>
        <v>0</v>
      </c>
      <c r="AC21" s="130"/>
      <c r="AD21" s="571">
        <f t="shared" si="7"/>
        <v>0</v>
      </c>
      <c r="AE21" s="511"/>
      <c r="AF21" s="511"/>
      <c r="AG21" s="511"/>
      <c r="AH21" s="570"/>
      <c r="AI21" s="570"/>
      <c r="AJ21" s="570"/>
      <c r="AK21" s="305"/>
      <c r="AL21" s="305"/>
      <c r="AN21" s="130">
        <f>SUMIF('1.8-Glasbewassing'!AF:AF,'1.1a-Jaarprijzen'!#REF!,'1.8-Glasbewassing'!AY:AY)</f>
        <v>0</v>
      </c>
    </row>
    <row r="22" spans="2:40" s="43" customFormat="1" ht="22" customHeight="1">
      <c r="D22" s="124" t="str">
        <f>'1.1a-Jaarprijzen'!B15</f>
        <v>OBS Wijdewormer</v>
      </c>
      <c r="E22" s="124"/>
      <c r="F22" s="694">
        <v>129</v>
      </c>
      <c r="G22" s="694">
        <v>129</v>
      </c>
      <c r="H22" s="694">
        <v>256</v>
      </c>
      <c r="I22" s="514">
        <f t="shared" si="0"/>
        <v>514</v>
      </c>
      <c r="J22" s="515">
        <v>1</v>
      </c>
      <c r="K22" s="515">
        <v>2</v>
      </c>
      <c r="L22" s="515">
        <v>1</v>
      </c>
      <c r="N22" s="633"/>
      <c r="O22" s="633"/>
      <c r="P22" s="633"/>
      <c r="R22" s="643">
        <f t="shared" si="1"/>
        <v>0</v>
      </c>
      <c r="S22" s="637"/>
      <c r="T22" s="638"/>
      <c r="U22" s="791"/>
      <c r="V22" s="792"/>
      <c r="W22" s="142">
        <f t="shared" si="2"/>
        <v>0</v>
      </c>
      <c r="X22" s="142">
        <f t="shared" si="3"/>
        <v>0</v>
      </c>
      <c r="Y22" s="142">
        <f t="shared" si="4"/>
        <v>0</v>
      </c>
      <c r="Z22" s="142">
        <f t="shared" si="5"/>
        <v>0</v>
      </c>
      <c r="AA22" s="142">
        <f t="shared" si="6"/>
        <v>0</v>
      </c>
      <c r="AC22" s="130"/>
      <c r="AD22" s="571">
        <f t="shared" si="7"/>
        <v>0</v>
      </c>
      <c r="AE22" s="511"/>
      <c r="AF22" s="511"/>
      <c r="AG22" s="511"/>
      <c r="AH22" s="570"/>
      <c r="AI22" s="570"/>
      <c r="AJ22" s="570"/>
      <c r="AK22" s="305"/>
      <c r="AL22" s="305"/>
      <c r="AN22" s="130">
        <f>SUMIF('1.8-Glasbewassing'!AF:AF,'1.1a-Jaarprijzen'!#REF!,'1.8-Glasbewassing'!AY:AY)</f>
        <v>0</v>
      </c>
    </row>
    <row r="23" spans="2:40" s="43" customFormat="1" ht="22" customHeight="1">
      <c r="B23" s="305"/>
      <c r="C23" s="305"/>
      <c r="D23" s="124" t="str">
        <f>'1.1a-Jaarprijzen'!B16</f>
        <v>OBS De Harpoen</v>
      </c>
      <c r="E23" s="124"/>
      <c r="F23" s="694">
        <v>257</v>
      </c>
      <c r="G23" s="694">
        <v>257</v>
      </c>
      <c r="H23" s="694">
        <v>206</v>
      </c>
      <c r="I23" s="514">
        <f t="shared" si="0"/>
        <v>720</v>
      </c>
      <c r="J23" s="515">
        <v>1</v>
      </c>
      <c r="K23" s="515">
        <v>2</v>
      </c>
      <c r="L23" s="515">
        <v>1</v>
      </c>
      <c r="N23" s="633"/>
      <c r="O23" s="633"/>
      <c r="P23" s="633"/>
      <c r="R23" s="643">
        <f t="shared" si="1"/>
        <v>0</v>
      </c>
      <c r="S23" s="637"/>
      <c r="T23" s="638"/>
      <c r="U23" s="791"/>
      <c r="V23" s="792"/>
      <c r="W23" s="142">
        <f t="shared" si="2"/>
        <v>0</v>
      </c>
      <c r="X23" s="142">
        <f t="shared" si="3"/>
        <v>0</v>
      </c>
      <c r="Y23" s="142">
        <f t="shared" si="4"/>
        <v>0</v>
      </c>
      <c r="Z23" s="142">
        <f t="shared" si="5"/>
        <v>0</v>
      </c>
      <c r="AA23" s="142">
        <f t="shared" si="6"/>
        <v>0</v>
      </c>
      <c r="AC23" s="130"/>
      <c r="AD23" s="571">
        <f t="shared" si="7"/>
        <v>0</v>
      </c>
      <c r="AE23" s="511"/>
      <c r="AF23" s="511"/>
      <c r="AG23" s="511"/>
      <c r="AH23" s="570"/>
      <c r="AI23" s="570"/>
      <c r="AJ23" s="570"/>
      <c r="AK23" s="305"/>
      <c r="AL23" s="305"/>
      <c r="AN23" s="130">
        <f>SUMIF('1.8-Glasbewassing'!AF:AF,'1.1a-Jaarprijzen'!#REF!,'1.8-Glasbewassing'!AY:AY)</f>
        <v>0</v>
      </c>
    </row>
    <row r="24" spans="2:40" s="43" customFormat="1" ht="22" customHeight="1">
      <c r="B24" s="305"/>
      <c r="C24" s="305"/>
      <c r="D24" s="124" t="str">
        <f>'1.1a-Jaarprijzen'!B17</f>
        <v>OBS De Kweekvijver</v>
      </c>
      <c r="E24" s="124"/>
      <c r="F24" s="694">
        <v>305</v>
      </c>
      <c r="G24" s="694">
        <v>305</v>
      </c>
      <c r="H24" s="694">
        <v>339</v>
      </c>
      <c r="I24" s="514">
        <f t="shared" si="0"/>
        <v>949</v>
      </c>
      <c r="J24" s="515">
        <v>1</v>
      </c>
      <c r="K24" s="515">
        <v>2</v>
      </c>
      <c r="L24" s="515">
        <v>1</v>
      </c>
      <c r="N24" s="633"/>
      <c r="O24" s="633"/>
      <c r="P24" s="633"/>
      <c r="R24" s="643">
        <f t="shared" si="1"/>
        <v>0</v>
      </c>
      <c r="S24" s="637"/>
      <c r="T24" s="638"/>
      <c r="U24" s="791"/>
      <c r="V24" s="792"/>
      <c r="W24" s="142">
        <f t="shared" si="2"/>
        <v>0</v>
      </c>
      <c r="X24" s="142">
        <f t="shared" si="3"/>
        <v>0</v>
      </c>
      <c r="Y24" s="142">
        <f t="shared" si="4"/>
        <v>0</v>
      </c>
      <c r="Z24" s="142">
        <f t="shared" si="5"/>
        <v>0</v>
      </c>
      <c r="AA24" s="142">
        <f t="shared" si="6"/>
        <v>0</v>
      </c>
      <c r="AC24" s="130"/>
      <c r="AD24" s="571">
        <f t="shared" si="7"/>
        <v>0</v>
      </c>
      <c r="AE24" s="511"/>
      <c r="AF24" s="511"/>
      <c r="AG24" s="511"/>
      <c r="AH24" s="570"/>
      <c r="AI24" s="570"/>
      <c r="AJ24" s="570"/>
      <c r="AK24" s="305"/>
      <c r="AL24" s="305"/>
    </row>
    <row r="25" spans="2:40" s="43" customFormat="1" ht="22" customHeight="1">
      <c r="D25" s="124" t="str">
        <f>'1.1a-Jaarprijzen'!B18</f>
        <v>OBS De Rietkraag</v>
      </c>
      <c r="E25" s="124"/>
      <c r="F25" s="694">
        <v>201</v>
      </c>
      <c r="G25" s="694">
        <v>201</v>
      </c>
      <c r="H25" s="694">
        <v>205</v>
      </c>
      <c r="I25" s="514">
        <f t="shared" si="0"/>
        <v>607</v>
      </c>
      <c r="J25" s="515">
        <v>1</v>
      </c>
      <c r="K25" s="515">
        <v>2</v>
      </c>
      <c r="L25" s="515">
        <v>1</v>
      </c>
      <c r="N25" s="633"/>
      <c r="O25" s="633"/>
      <c r="P25" s="633"/>
      <c r="R25" s="643">
        <f t="shared" si="1"/>
        <v>0</v>
      </c>
      <c r="S25" s="637"/>
      <c r="T25" s="638"/>
      <c r="U25" s="791"/>
      <c r="V25" s="792"/>
      <c r="W25" s="142">
        <f t="shared" si="2"/>
        <v>0</v>
      </c>
      <c r="X25" s="142">
        <f t="shared" si="3"/>
        <v>0</v>
      </c>
      <c r="Y25" s="142">
        <f t="shared" si="4"/>
        <v>0</v>
      </c>
      <c r="Z25" s="142">
        <f t="shared" si="5"/>
        <v>0</v>
      </c>
      <c r="AA25" s="142">
        <f t="shared" si="6"/>
        <v>0</v>
      </c>
      <c r="AC25" s="130"/>
      <c r="AD25" s="571">
        <f t="shared" si="7"/>
        <v>0</v>
      </c>
      <c r="AE25" s="511"/>
      <c r="AF25" s="511"/>
      <c r="AG25" s="511"/>
      <c r="AH25" s="570"/>
      <c r="AI25" s="570"/>
      <c r="AJ25" s="570"/>
      <c r="AK25" s="305"/>
      <c r="AL25" s="305"/>
    </row>
    <row r="26" spans="2:40" s="43" customFormat="1" ht="22" customHeight="1">
      <c r="B26" s="305"/>
      <c r="C26" s="305"/>
      <c r="D26" s="124" t="str">
        <f>'1.1a-Jaarprijzen'!B19</f>
        <v>OBS Noorderschool</v>
      </c>
      <c r="E26" s="124"/>
      <c r="F26" s="694">
        <v>131</v>
      </c>
      <c r="G26" s="694">
        <v>262</v>
      </c>
      <c r="H26" s="694">
        <v>64</v>
      </c>
      <c r="I26" s="514">
        <f t="shared" si="0"/>
        <v>457</v>
      </c>
      <c r="J26" s="515">
        <v>1</v>
      </c>
      <c r="K26" s="515">
        <v>2</v>
      </c>
      <c r="L26" s="515">
        <v>1</v>
      </c>
      <c r="N26" s="633"/>
      <c r="O26" s="633"/>
      <c r="P26" s="633"/>
      <c r="R26" s="643">
        <f t="shared" si="1"/>
        <v>0</v>
      </c>
      <c r="S26" s="637"/>
      <c r="T26" s="638"/>
      <c r="U26" s="791"/>
      <c r="V26" s="792"/>
      <c r="W26" s="142">
        <f t="shared" si="2"/>
        <v>0</v>
      </c>
      <c r="X26" s="142">
        <f t="shared" si="3"/>
        <v>0</v>
      </c>
      <c r="Y26" s="142">
        <f t="shared" si="4"/>
        <v>0</v>
      </c>
      <c r="Z26" s="142">
        <f t="shared" si="5"/>
        <v>0</v>
      </c>
      <c r="AA26" s="142">
        <f t="shared" si="6"/>
        <v>0</v>
      </c>
      <c r="AC26" s="130"/>
      <c r="AD26" s="571">
        <f t="shared" si="7"/>
        <v>0</v>
      </c>
      <c r="AE26" s="511"/>
      <c r="AF26" s="511"/>
      <c r="AG26" s="511"/>
      <c r="AH26" s="570"/>
      <c r="AI26" s="570"/>
      <c r="AJ26" s="570"/>
      <c r="AK26" s="305"/>
      <c r="AL26" s="305"/>
    </row>
    <row r="27" spans="2:40" s="43" customFormat="1" ht="22" customHeight="1">
      <c r="B27" s="305"/>
      <c r="C27" s="305"/>
      <c r="D27" s="124" t="str">
        <f>'1.1a-Jaarprijzen'!B20</f>
        <v>OBS De Stap</v>
      </c>
      <c r="E27" s="124"/>
      <c r="F27" s="694">
        <v>315</v>
      </c>
      <c r="G27" s="694">
        <v>315</v>
      </c>
      <c r="H27" s="694">
        <v>345</v>
      </c>
      <c r="I27" s="514">
        <f t="shared" si="0"/>
        <v>975</v>
      </c>
      <c r="J27" s="515">
        <v>1</v>
      </c>
      <c r="K27" s="515">
        <v>2</v>
      </c>
      <c r="L27" s="515">
        <v>1</v>
      </c>
      <c r="N27" s="633"/>
      <c r="O27" s="633"/>
      <c r="P27" s="633"/>
      <c r="R27" s="643">
        <f t="shared" si="1"/>
        <v>0</v>
      </c>
      <c r="S27" s="637"/>
      <c r="T27" s="638"/>
      <c r="U27" s="791"/>
      <c r="V27" s="792"/>
      <c r="W27" s="142">
        <f t="shared" si="2"/>
        <v>0</v>
      </c>
      <c r="X27" s="142">
        <f t="shared" si="3"/>
        <v>0</v>
      </c>
      <c r="Y27" s="142">
        <f t="shared" si="4"/>
        <v>0</v>
      </c>
      <c r="Z27" s="142">
        <f t="shared" si="5"/>
        <v>0</v>
      </c>
      <c r="AA27" s="142">
        <f t="shared" si="6"/>
        <v>0</v>
      </c>
      <c r="AC27" s="130"/>
      <c r="AD27" s="571">
        <f t="shared" si="7"/>
        <v>0</v>
      </c>
      <c r="AE27" s="511"/>
      <c r="AF27" s="511"/>
      <c r="AG27" s="511"/>
      <c r="AH27" s="570"/>
      <c r="AI27" s="570"/>
      <c r="AJ27" s="570"/>
      <c r="AK27" s="305"/>
      <c r="AL27" s="305"/>
    </row>
    <row r="28" spans="2:40" s="43" customFormat="1" ht="22" customHeight="1">
      <c r="D28" s="124" t="str">
        <f>'1.1a-Jaarprijzen'!B21</f>
        <v>OBS Ds. J.L. de Wagemaker</v>
      </c>
      <c r="E28" s="124"/>
      <c r="F28" s="694">
        <v>252</v>
      </c>
      <c r="G28" s="694">
        <v>252</v>
      </c>
      <c r="H28" s="694">
        <v>208</v>
      </c>
      <c r="I28" s="514">
        <f t="shared" si="0"/>
        <v>712</v>
      </c>
      <c r="J28" s="515">
        <v>1</v>
      </c>
      <c r="K28" s="515">
        <v>2</v>
      </c>
      <c r="L28" s="515">
        <v>1</v>
      </c>
      <c r="N28" s="633"/>
      <c r="O28" s="633"/>
      <c r="P28" s="633"/>
      <c r="R28" s="643">
        <f t="shared" si="1"/>
        <v>0</v>
      </c>
      <c r="S28" s="637"/>
      <c r="T28" s="638"/>
      <c r="U28" s="791"/>
      <c r="V28" s="792"/>
      <c r="W28" s="142">
        <f t="shared" si="2"/>
        <v>0</v>
      </c>
      <c r="X28" s="142">
        <f t="shared" si="3"/>
        <v>0</v>
      </c>
      <c r="Y28" s="142">
        <f t="shared" si="4"/>
        <v>0</v>
      </c>
      <c r="Z28" s="142">
        <f t="shared" si="5"/>
        <v>0</v>
      </c>
      <c r="AA28" s="142">
        <f t="shared" si="6"/>
        <v>0</v>
      </c>
      <c r="AC28" s="130"/>
      <c r="AD28" s="571">
        <f t="shared" si="7"/>
        <v>0</v>
      </c>
      <c r="AE28" s="511"/>
      <c r="AF28" s="511"/>
      <c r="AG28" s="511"/>
      <c r="AH28" s="570"/>
      <c r="AI28" s="570"/>
      <c r="AJ28" s="570"/>
      <c r="AK28" s="305"/>
      <c r="AL28" s="305"/>
    </row>
    <row r="29" spans="2:40" s="43" customFormat="1" ht="22" customHeight="1">
      <c r="B29" s="305"/>
      <c r="C29" s="305"/>
      <c r="D29" s="124" t="str">
        <f>'1.1a-Jaarprijzen'!B22</f>
        <v>OBS De Fuik</v>
      </c>
      <c r="E29" s="124"/>
      <c r="F29" s="694">
        <v>190</v>
      </c>
      <c r="G29" s="694">
        <v>190</v>
      </c>
      <c r="H29" s="694">
        <v>142</v>
      </c>
      <c r="I29" s="514">
        <f t="shared" si="0"/>
        <v>522</v>
      </c>
      <c r="J29" s="515">
        <v>1</v>
      </c>
      <c r="K29" s="515">
        <v>2</v>
      </c>
      <c r="L29" s="515">
        <v>1</v>
      </c>
      <c r="N29" s="633"/>
      <c r="O29" s="633"/>
      <c r="P29" s="633"/>
      <c r="R29" s="643">
        <f t="shared" si="1"/>
        <v>0</v>
      </c>
      <c r="S29" s="637"/>
      <c r="T29" s="638"/>
      <c r="U29" s="791"/>
      <c r="V29" s="792"/>
      <c r="W29" s="142">
        <f t="shared" si="2"/>
        <v>0</v>
      </c>
      <c r="X29" s="142">
        <f t="shared" si="3"/>
        <v>0</v>
      </c>
      <c r="Y29" s="142">
        <f t="shared" si="4"/>
        <v>0</v>
      </c>
      <c r="Z29" s="142">
        <f t="shared" si="5"/>
        <v>0</v>
      </c>
      <c r="AA29" s="142">
        <f t="shared" si="6"/>
        <v>0</v>
      </c>
      <c r="AC29" s="130"/>
      <c r="AD29" s="571">
        <f t="shared" si="7"/>
        <v>0</v>
      </c>
      <c r="AE29" s="511"/>
      <c r="AF29" s="511"/>
      <c r="AG29" s="511"/>
      <c r="AH29" s="570"/>
      <c r="AI29" s="570"/>
      <c r="AJ29" s="570"/>
      <c r="AK29" s="305"/>
      <c r="AL29" s="305"/>
    </row>
    <row r="30" spans="2:40" s="43" customFormat="1" ht="22" customHeight="1">
      <c r="B30" s="305"/>
      <c r="C30" s="305"/>
      <c r="D30" s="124" t="str">
        <f>'1.1a-Jaarprijzen'!B23</f>
        <v>OBS De Eendragt</v>
      </c>
      <c r="E30" s="124"/>
      <c r="F30" s="694">
        <v>272</v>
      </c>
      <c r="G30" s="694">
        <v>272</v>
      </c>
      <c r="H30" s="694">
        <v>152</v>
      </c>
      <c r="I30" s="514">
        <f t="shared" si="0"/>
        <v>696</v>
      </c>
      <c r="J30" s="515">
        <v>1</v>
      </c>
      <c r="K30" s="515">
        <v>2</v>
      </c>
      <c r="L30" s="515">
        <v>1</v>
      </c>
      <c r="N30" s="633"/>
      <c r="O30" s="633"/>
      <c r="P30" s="633"/>
      <c r="R30" s="643">
        <f t="shared" si="1"/>
        <v>0</v>
      </c>
      <c r="S30" s="637"/>
      <c r="T30" s="638"/>
      <c r="U30" s="791"/>
      <c r="V30" s="792"/>
      <c r="W30" s="142">
        <f t="shared" si="2"/>
        <v>0</v>
      </c>
      <c r="X30" s="142">
        <f t="shared" si="3"/>
        <v>0</v>
      </c>
      <c r="Y30" s="142">
        <f t="shared" si="4"/>
        <v>0</v>
      </c>
      <c r="Z30" s="142">
        <f t="shared" si="5"/>
        <v>0</v>
      </c>
      <c r="AA30" s="142">
        <f t="shared" si="6"/>
        <v>0</v>
      </c>
      <c r="AC30" s="130"/>
      <c r="AD30" s="571">
        <f t="shared" si="7"/>
        <v>0</v>
      </c>
      <c r="AE30" s="511"/>
      <c r="AF30" s="511"/>
      <c r="AG30" s="511"/>
      <c r="AH30" s="570"/>
      <c r="AI30" s="570"/>
      <c r="AJ30" s="570"/>
      <c r="AK30" s="305"/>
      <c r="AL30" s="305"/>
    </row>
    <row r="31" spans="2:40" s="43" customFormat="1" ht="22" customHeight="1">
      <c r="B31" s="305"/>
      <c r="C31" s="305"/>
      <c r="D31" s="124" t="str">
        <f>'1.1a-Jaarprijzen'!B24</f>
        <v>OBS De Weremere</v>
      </c>
      <c r="E31" s="124"/>
      <c r="F31" s="694">
        <v>389</v>
      </c>
      <c r="G31" s="694">
        <v>389</v>
      </c>
      <c r="H31" s="694">
        <v>266</v>
      </c>
      <c r="I31" s="514">
        <f t="shared" si="0"/>
        <v>1044</v>
      </c>
      <c r="J31" s="515">
        <v>1</v>
      </c>
      <c r="K31" s="515">
        <v>2</v>
      </c>
      <c r="L31" s="515">
        <v>1</v>
      </c>
      <c r="N31" s="633"/>
      <c r="O31" s="633"/>
      <c r="P31" s="633"/>
      <c r="R31" s="643">
        <f t="shared" si="1"/>
        <v>0</v>
      </c>
      <c r="S31" s="637"/>
      <c r="T31" s="638"/>
      <c r="U31" s="791"/>
      <c r="V31" s="792"/>
      <c r="W31" s="142">
        <f t="shared" si="2"/>
        <v>0</v>
      </c>
      <c r="X31" s="142">
        <f t="shared" si="3"/>
        <v>0</v>
      </c>
      <c r="Y31" s="142">
        <f t="shared" si="4"/>
        <v>0</v>
      </c>
      <c r="Z31" s="142">
        <f t="shared" si="5"/>
        <v>0</v>
      </c>
      <c r="AA31" s="142">
        <f t="shared" si="6"/>
        <v>0</v>
      </c>
      <c r="AC31" s="130"/>
      <c r="AD31" s="571">
        <f t="shared" si="7"/>
        <v>0</v>
      </c>
      <c r="AE31" s="511"/>
      <c r="AF31" s="511"/>
      <c r="AG31" s="511"/>
      <c r="AH31" s="570"/>
      <c r="AI31" s="570"/>
      <c r="AJ31" s="570"/>
      <c r="AK31" s="305"/>
      <c r="AL31" s="305"/>
    </row>
    <row r="32" spans="2:40" s="43" customFormat="1" ht="22" customHeight="1">
      <c r="B32" s="305"/>
      <c r="C32" s="305"/>
      <c r="D32" s="124" t="str">
        <f>'1.1a-Jaarprijzen'!B25</f>
        <v>OBS De Nieuwe Wereld</v>
      </c>
      <c r="E32" s="124"/>
      <c r="F32" s="694">
        <v>159.6</v>
      </c>
      <c r="G32" s="694">
        <v>159.6</v>
      </c>
      <c r="H32" s="694">
        <v>205.8</v>
      </c>
      <c r="I32" s="514">
        <f t="shared" si="0"/>
        <v>525</v>
      </c>
      <c r="J32" s="515">
        <v>1</v>
      </c>
      <c r="K32" s="515">
        <v>2</v>
      </c>
      <c r="L32" s="515">
        <v>1</v>
      </c>
      <c r="N32" s="633"/>
      <c r="O32" s="633"/>
      <c r="P32" s="633"/>
      <c r="R32" s="643">
        <f t="shared" si="1"/>
        <v>0</v>
      </c>
      <c r="S32" s="637"/>
      <c r="T32" s="638"/>
      <c r="U32" s="791"/>
      <c r="V32" s="792"/>
      <c r="W32" s="142">
        <f t="shared" si="2"/>
        <v>0</v>
      </c>
      <c r="X32" s="142">
        <f t="shared" si="3"/>
        <v>0</v>
      </c>
      <c r="Y32" s="142">
        <f t="shared" si="4"/>
        <v>0</v>
      </c>
      <c r="Z32" s="142">
        <f t="shared" si="5"/>
        <v>0</v>
      </c>
      <c r="AA32" s="142">
        <f t="shared" si="6"/>
        <v>0</v>
      </c>
      <c r="AC32" s="130"/>
      <c r="AD32" s="571">
        <f t="shared" si="7"/>
        <v>0</v>
      </c>
      <c r="AE32" s="511"/>
      <c r="AF32" s="511"/>
      <c r="AG32" s="511"/>
      <c r="AH32" s="570"/>
      <c r="AI32" s="570"/>
      <c r="AJ32" s="570"/>
      <c r="AK32" s="305"/>
      <c r="AL32" s="305"/>
    </row>
    <row r="33" spans="2:38" s="43" customFormat="1" ht="22" customHeight="1">
      <c r="B33" s="305"/>
      <c r="C33" s="305"/>
      <c r="D33" s="124" t="str">
        <f>'1.1a-Jaarprijzen'!B26</f>
        <v>OBS De Nieuwe Wereld Piek</v>
      </c>
      <c r="E33" s="124"/>
      <c r="F33" s="694">
        <v>266.7</v>
      </c>
      <c r="G33" s="694">
        <v>266.7</v>
      </c>
      <c r="H33" s="694">
        <v>201.6</v>
      </c>
      <c r="I33" s="514">
        <f t="shared" si="0"/>
        <v>735</v>
      </c>
      <c r="J33" s="515">
        <v>1</v>
      </c>
      <c r="K33" s="515">
        <v>2</v>
      </c>
      <c r="L33" s="515">
        <v>1</v>
      </c>
      <c r="N33" s="633"/>
      <c r="O33" s="633"/>
      <c r="P33" s="633"/>
      <c r="R33" s="643">
        <f t="shared" si="1"/>
        <v>0</v>
      </c>
      <c r="S33" s="637"/>
      <c r="T33" s="638"/>
      <c r="U33" s="791"/>
      <c r="V33" s="792"/>
      <c r="W33" s="142">
        <f t="shared" si="2"/>
        <v>0</v>
      </c>
      <c r="X33" s="142">
        <f t="shared" si="3"/>
        <v>0</v>
      </c>
      <c r="Y33" s="142">
        <f t="shared" si="4"/>
        <v>0</v>
      </c>
      <c r="Z33" s="142">
        <f t="shared" si="5"/>
        <v>0</v>
      </c>
      <c r="AA33" s="142">
        <f t="shared" si="6"/>
        <v>0</v>
      </c>
      <c r="AC33" s="130"/>
      <c r="AD33" s="571">
        <f t="shared" si="7"/>
        <v>0</v>
      </c>
      <c r="AE33" s="511"/>
      <c r="AF33" s="511"/>
      <c r="AG33" s="511"/>
      <c r="AH33" s="570"/>
      <c r="AI33" s="570"/>
      <c r="AJ33" s="570"/>
      <c r="AK33" s="305"/>
      <c r="AL33" s="305"/>
    </row>
    <row r="34" spans="2:38" s="43" customFormat="1" ht="22" customHeight="1">
      <c r="B34" s="305"/>
      <c r="C34" s="305"/>
      <c r="D34" s="124" t="str">
        <f>'1.1a-Jaarprijzen'!B27</f>
        <v>Kantoor OPSPOOR-SKOP</v>
      </c>
      <c r="E34" s="124"/>
      <c r="F34" s="694">
        <v>0</v>
      </c>
      <c r="G34" s="694">
        <v>0</v>
      </c>
      <c r="H34" s="694">
        <v>0</v>
      </c>
      <c r="I34" s="514">
        <f t="shared" si="0"/>
        <v>0</v>
      </c>
      <c r="J34" s="515">
        <v>1</v>
      </c>
      <c r="K34" s="515">
        <v>2</v>
      </c>
      <c r="L34" s="515">
        <v>1</v>
      </c>
      <c r="N34" s="633"/>
      <c r="O34" s="633"/>
      <c r="P34" s="633"/>
      <c r="R34" s="643">
        <f t="shared" si="1"/>
        <v>0</v>
      </c>
      <c r="S34" s="637"/>
      <c r="T34" s="638"/>
      <c r="U34" s="791"/>
      <c r="V34" s="792"/>
      <c r="W34" s="142">
        <f t="shared" si="2"/>
        <v>0</v>
      </c>
      <c r="X34" s="142">
        <f t="shared" si="3"/>
        <v>0</v>
      </c>
      <c r="Y34" s="142">
        <f t="shared" si="4"/>
        <v>0</v>
      </c>
      <c r="Z34" s="142">
        <f t="shared" si="5"/>
        <v>0</v>
      </c>
      <c r="AA34" s="142">
        <f t="shared" si="6"/>
        <v>0</v>
      </c>
      <c r="AC34" s="130"/>
      <c r="AD34" s="571">
        <f t="shared" si="7"/>
        <v>0</v>
      </c>
      <c r="AE34" s="511"/>
      <c r="AF34" s="511"/>
      <c r="AG34" s="511"/>
      <c r="AH34" s="570"/>
      <c r="AI34" s="570"/>
      <c r="AJ34" s="570"/>
      <c r="AK34" s="305"/>
      <c r="AL34" s="305"/>
    </row>
    <row r="35" spans="2:38" s="43" customFormat="1" ht="22" hidden="1" customHeight="1">
      <c r="B35" s="305"/>
      <c r="C35" s="305"/>
      <c r="D35" s="124"/>
      <c r="E35" s="124"/>
      <c r="F35" s="694"/>
      <c r="G35" s="694"/>
      <c r="H35" s="694"/>
      <c r="I35" s="514"/>
      <c r="J35" s="515"/>
      <c r="K35" s="515"/>
      <c r="L35" s="515"/>
      <c r="N35" s="633"/>
      <c r="O35" s="633"/>
      <c r="P35" s="633"/>
      <c r="R35" s="643"/>
      <c r="S35" s="637"/>
      <c r="T35" s="638"/>
      <c r="U35" s="791"/>
      <c r="V35" s="792"/>
      <c r="W35" s="142"/>
      <c r="X35" s="142"/>
      <c r="Y35" s="142"/>
      <c r="Z35" s="142"/>
      <c r="AA35" s="142"/>
      <c r="AC35" s="130"/>
      <c r="AD35" s="571"/>
      <c r="AE35" s="511"/>
      <c r="AF35" s="511"/>
      <c r="AG35" s="511"/>
      <c r="AH35" s="570"/>
      <c r="AI35" s="570"/>
      <c r="AJ35" s="570"/>
      <c r="AK35" s="305"/>
      <c r="AL35" s="305"/>
    </row>
    <row r="36" spans="2:38" s="43" customFormat="1" ht="22" hidden="1" customHeight="1">
      <c r="B36" s="305"/>
      <c r="C36" s="305"/>
      <c r="D36" s="124"/>
      <c r="E36" s="124"/>
      <c r="F36" s="694"/>
      <c r="G36" s="694"/>
      <c r="H36" s="694"/>
      <c r="I36" s="514"/>
      <c r="J36" s="515"/>
      <c r="K36" s="515"/>
      <c r="L36" s="515"/>
      <c r="N36" s="633"/>
      <c r="O36" s="633"/>
      <c r="P36" s="633"/>
      <c r="R36" s="643"/>
      <c r="S36" s="637"/>
      <c r="T36" s="638"/>
      <c r="U36" s="791"/>
      <c r="V36" s="792"/>
      <c r="W36" s="142"/>
      <c r="X36" s="142"/>
      <c r="Y36" s="142"/>
      <c r="Z36" s="142"/>
      <c r="AA36" s="142"/>
      <c r="AC36" s="130"/>
      <c r="AD36" s="571"/>
      <c r="AE36" s="511"/>
      <c r="AF36" s="511"/>
      <c r="AG36" s="511"/>
      <c r="AH36" s="570"/>
      <c r="AI36" s="570"/>
      <c r="AJ36" s="570"/>
      <c r="AK36" s="305"/>
      <c r="AL36" s="305"/>
    </row>
    <row r="37" spans="2:38" s="43" customFormat="1" ht="22" hidden="1" customHeight="1">
      <c r="B37" s="305"/>
      <c r="C37" s="305"/>
      <c r="D37" s="124"/>
      <c r="E37" s="124"/>
      <c r="F37" s="694"/>
      <c r="G37" s="694"/>
      <c r="H37" s="694"/>
      <c r="I37" s="514"/>
      <c r="J37" s="515"/>
      <c r="K37" s="515"/>
      <c r="L37" s="515"/>
      <c r="N37" s="633"/>
      <c r="O37" s="633"/>
      <c r="P37" s="633"/>
      <c r="R37" s="643"/>
      <c r="S37" s="637"/>
      <c r="T37" s="638"/>
      <c r="U37" s="791"/>
      <c r="V37" s="792"/>
      <c r="W37" s="142"/>
      <c r="X37" s="142"/>
      <c r="Y37" s="142"/>
      <c r="Z37" s="142"/>
      <c r="AA37" s="142"/>
      <c r="AC37" s="130"/>
      <c r="AD37" s="571"/>
      <c r="AE37" s="511"/>
      <c r="AF37" s="511"/>
      <c r="AG37" s="511"/>
      <c r="AH37" s="570"/>
      <c r="AI37" s="570"/>
      <c r="AJ37" s="570"/>
      <c r="AK37" s="305"/>
      <c r="AL37" s="305"/>
    </row>
    <row r="38" spans="2:38" s="43" customFormat="1" ht="22" hidden="1" customHeight="1">
      <c r="B38" s="305"/>
      <c r="C38" s="305"/>
      <c r="D38" s="124"/>
      <c r="E38" s="124"/>
      <c r="F38" s="694"/>
      <c r="G38" s="694"/>
      <c r="H38" s="694"/>
      <c r="I38" s="514"/>
      <c r="J38" s="515"/>
      <c r="K38" s="515"/>
      <c r="L38" s="515"/>
      <c r="N38" s="773"/>
      <c r="O38" s="773"/>
      <c r="P38" s="773"/>
      <c r="R38" s="774"/>
      <c r="S38" s="775"/>
      <c r="T38" s="776"/>
      <c r="U38" s="777"/>
      <c r="V38" s="777"/>
      <c r="W38" s="142"/>
      <c r="X38" s="142"/>
      <c r="Y38" s="142"/>
      <c r="Z38" s="142"/>
      <c r="AA38" s="142"/>
      <c r="AC38" s="130"/>
      <c r="AD38" s="571"/>
      <c r="AE38" s="511"/>
      <c r="AF38" s="511"/>
      <c r="AG38" s="511"/>
      <c r="AH38" s="777"/>
      <c r="AI38" s="777"/>
      <c r="AJ38" s="777"/>
      <c r="AK38" s="305"/>
      <c r="AL38" s="305"/>
    </row>
    <row r="39" spans="2:38" s="43" customFormat="1" ht="22" customHeight="1">
      <c r="D39" s="124"/>
      <c r="E39" s="124"/>
      <c r="F39" s="513"/>
      <c r="G39" s="513"/>
      <c r="H39" s="513"/>
      <c r="I39" s="514"/>
      <c r="J39" s="515"/>
      <c r="K39" s="515"/>
      <c r="L39" s="515"/>
    </row>
    <row r="40" spans="2:38">
      <c r="H40" s="305"/>
      <c r="J40" s="510"/>
      <c r="M40" s="305"/>
      <c r="N40" s="516"/>
      <c r="O40" s="516"/>
      <c r="P40" s="516"/>
      <c r="AD40" s="511"/>
      <c r="AE40" s="511"/>
      <c r="AF40" s="511"/>
      <c r="AG40" s="511"/>
    </row>
    <row r="41" spans="2:38">
      <c r="D41" s="305" t="s">
        <v>345</v>
      </c>
      <c r="H41" s="305"/>
      <c r="J41" s="510"/>
      <c r="M41" s="305"/>
      <c r="N41" s="516"/>
      <c r="O41" s="516"/>
      <c r="R41" s="616" t="s">
        <v>362</v>
      </c>
      <c r="AD41" s="511"/>
      <c r="AE41" s="511"/>
      <c r="AF41" s="511"/>
      <c r="AG41" s="511"/>
    </row>
    <row r="42" spans="2:38"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AD42" s="511"/>
      <c r="AE42" s="511"/>
      <c r="AF42" s="511"/>
      <c r="AG42" s="511"/>
    </row>
    <row r="43" spans="2:38"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</row>
    <row r="44" spans="2:38">
      <c r="H44" s="305"/>
      <c r="J44" s="510"/>
      <c r="M44" s="305"/>
      <c r="N44" s="516"/>
      <c r="O44" s="516"/>
      <c r="P44" s="516"/>
    </row>
    <row r="45" spans="2:38">
      <c r="H45" s="305"/>
      <c r="J45" s="510"/>
      <c r="M45" s="305"/>
      <c r="N45" s="516"/>
      <c r="O45" s="516"/>
      <c r="P45" s="516"/>
    </row>
    <row r="46" spans="2:38">
      <c r="D46" s="620" t="s">
        <v>43</v>
      </c>
      <c r="H46" s="305"/>
      <c r="I46" s="510"/>
      <c r="J46" s="510"/>
      <c r="L46" s="305"/>
      <c r="M46" s="305"/>
      <c r="P46" s="305"/>
    </row>
    <row r="47" spans="2:38">
      <c r="D47" s="305" t="s">
        <v>366</v>
      </c>
      <c r="H47" s="305"/>
      <c r="I47" s="510"/>
      <c r="J47" s="510"/>
      <c r="L47" s="305"/>
      <c r="M47" s="305"/>
      <c r="P47" s="305"/>
    </row>
    <row r="48" spans="2:38">
      <c r="D48" s="305" t="s">
        <v>68</v>
      </c>
      <c r="H48" s="305"/>
      <c r="I48" s="510"/>
      <c r="J48" s="510"/>
      <c r="L48" s="305"/>
      <c r="M48" s="305"/>
      <c r="P48" s="305"/>
    </row>
    <row r="49" spans="4:16">
      <c r="H49" s="305"/>
      <c r="I49" s="510"/>
      <c r="J49" s="510"/>
      <c r="L49" s="305"/>
      <c r="M49" s="305"/>
      <c r="P49" s="305"/>
    </row>
    <row r="50" spans="4:16">
      <c r="H50" s="305"/>
      <c r="I50" s="510"/>
      <c r="J50" s="510"/>
      <c r="L50" s="305"/>
      <c r="M50" s="305"/>
      <c r="P50" s="305"/>
    </row>
    <row r="51" spans="4:16">
      <c r="D51" s="620" t="s">
        <v>367</v>
      </c>
      <c r="H51" s="305"/>
      <c r="I51" s="510"/>
      <c r="J51" s="510"/>
      <c r="L51" s="305"/>
      <c r="M51" s="305"/>
      <c r="P51" s="305"/>
    </row>
    <row r="52" spans="4:16">
      <c r="H52" s="305"/>
      <c r="I52" s="510"/>
      <c r="J52" s="510"/>
      <c r="L52" s="305"/>
      <c r="M52" s="305"/>
      <c r="P52" s="305"/>
    </row>
    <row r="53" spans="4:16">
      <c r="D53" s="620" t="s">
        <v>15</v>
      </c>
      <c r="H53" s="305"/>
      <c r="I53" s="510"/>
      <c r="J53" s="510"/>
      <c r="L53" s="305"/>
      <c r="M53" s="305"/>
      <c r="P53" s="305"/>
    </row>
    <row r="54" spans="4:16">
      <c r="D54" s="620" t="s">
        <v>368</v>
      </c>
      <c r="E54" s="305" t="s">
        <v>369</v>
      </c>
      <c r="H54" s="305"/>
      <c r="I54" s="510"/>
      <c r="J54" s="510"/>
      <c r="L54" s="305"/>
      <c r="M54" s="305"/>
      <c r="P54" s="305"/>
    </row>
    <row r="55" spans="4:16">
      <c r="D55" s="620"/>
      <c r="H55" s="305"/>
      <c r="I55" s="510"/>
      <c r="J55" s="510"/>
      <c r="L55" s="305"/>
      <c r="M55" s="305"/>
      <c r="P55" s="305"/>
    </row>
    <row r="56" spans="4:16">
      <c r="D56" s="620"/>
      <c r="E56" s="305" t="s">
        <v>370</v>
      </c>
      <c r="H56" s="305"/>
      <c r="I56" s="510"/>
      <c r="J56" s="510"/>
      <c r="L56" s="305"/>
      <c r="M56" s="305"/>
      <c r="P56" s="305"/>
    </row>
    <row r="57" spans="4:16">
      <c r="D57" s="620"/>
      <c r="H57" s="305"/>
      <c r="I57" s="510"/>
      <c r="J57" s="510"/>
      <c r="L57" s="305"/>
      <c r="M57" s="305"/>
      <c r="P57" s="305"/>
    </row>
    <row r="58" spans="4:16">
      <c r="D58" s="620" t="s">
        <v>371</v>
      </c>
      <c r="E58" s="305" t="s">
        <v>372</v>
      </c>
    </row>
    <row r="59" spans="4:16">
      <c r="D59" s="620"/>
      <c r="E59" s="305" t="s">
        <v>373</v>
      </c>
    </row>
    <row r="60" spans="4:16">
      <c r="E60" s="305" t="s">
        <v>374</v>
      </c>
    </row>
  </sheetData>
  <mergeCells count="18">
    <mergeCell ref="U20:V20"/>
    <mergeCell ref="U27:V27"/>
    <mergeCell ref="U28:V28"/>
    <mergeCell ref="U21:V21"/>
    <mergeCell ref="U22:V22"/>
    <mergeCell ref="U23:V23"/>
    <mergeCell ref="U29:V29"/>
    <mergeCell ref="U24:V24"/>
    <mergeCell ref="U25:V25"/>
    <mergeCell ref="U26:V26"/>
    <mergeCell ref="U35:V35"/>
    <mergeCell ref="U36:V36"/>
    <mergeCell ref="U37:V37"/>
    <mergeCell ref="U30:V30"/>
    <mergeCell ref="U31:V31"/>
    <mergeCell ref="U32:V32"/>
    <mergeCell ref="U33:V33"/>
    <mergeCell ref="U34:V34"/>
  </mergeCells>
  <conditionalFormatting sqref="N20:P38">
    <cfRule type="cellIs" dxfId="7" priority="29" operator="greaterThan">
      <formula>0</formula>
    </cfRule>
  </conditionalFormatting>
  <conditionalFormatting sqref="R20:R38">
    <cfRule type="cellIs" dxfId="6" priority="37" operator="greaterThan">
      <formula>0.01</formula>
    </cfRule>
  </conditionalFormatting>
  <conditionalFormatting sqref="S20:S38 AH20:AJ38">
    <cfRule type="cellIs" dxfId="5" priority="22" operator="greaterThan">
      <formula>0.01</formula>
    </cfRule>
  </conditionalFormatting>
  <conditionalFormatting sqref="AN20:AN23 AC20:AC38">
    <cfRule type="cellIs" dxfId="4" priority="35" operator="greaterThan">
      <formula>0</formula>
    </cfRule>
  </conditionalFormatting>
  <dataValidations disablePrompts="1" count="1">
    <dataValidation allowBlank="1" showInputMessage="1" showErrorMessage="1" promptTitle="Toelichting" prompt="Vul in deze gekleurde cellen de gevraagde informatie in._x000d_" sqref="B10" xr:uid="{3E66330E-FE8E-D442-93CC-453129DFEF8C}"/>
  </dataValidations>
  <pageMargins left="0.7" right="0.7" top="0.75" bottom="0.75" header="0.3" footer="0.3"/>
  <pageSetup paperSize="9" scale="54" orientation="landscape" horizontalDpi="0" verticalDpi="0"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F3747756217A4590CCCF7C7994B207" ma:contentTypeVersion="19" ma:contentTypeDescription="Een nieuw document maken." ma:contentTypeScope="" ma:versionID="5942428e7f4355efb922f985d1d6de33">
  <xsd:schema xmlns:xsd="http://www.w3.org/2001/XMLSchema" xmlns:xs="http://www.w3.org/2001/XMLSchema" xmlns:p="http://schemas.microsoft.com/office/2006/metadata/properties" xmlns:ns2="72b48375-7ee8-444e-84c0-4e65aeda0613" xmlns:ns3="a1344442-3a37-42dd-afd3-17e599cea5cd" targetNamespace="http://schemas.microsoft.com/office/2006/metadata/properties" ma:root="true" ma:fieldsID="e46727be359f8942ba002a3f358cbd9b" ns2:_="" ns3:_="">
    <xsd:import namespace="72b48375-7ee8-444e-84c0-4e65aeda0613"/>
    <xsd:import namespace="a1344442-3a37-42dd-afd3-17e599cea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48375-7ee8-444e-84c0-4e65aeda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d8b07bb-9a1c-481d-9490-58824569d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44442-3a37-42dd-afd3-17e599cea5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5f145-db48-431b-9bc9-31ca6ccad8df}" ma:internalName="TaxCatchAll" ma:showField="CatchAllData" ma:web="a1344442-3a37-42dd-afd3-17e599cea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7FDAF-6648-4BF1-9E33-71A4CE485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18424D-293B-4E9F-B2BA-F2E0684FD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48375-7ee8-444e-84c0-4e65aeda0613"/>
    <ds:schemaRef ds:uri="a1344442-3a37-42dd-afd3-17e599cea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52</vt:i4>
      </vt:variant>
    </vt:vector>
  </HeadingPairs>
  <TitlesOfParts>
    <vt:vector size="64" baseType="lpstr">
      <vt:lpstr>Toelichting Calculatiemodel</vt:lpstr>
      <vt:lpstr>Voorblad</vt:lpstr>
      <vt:lpstr>1.0-Contractblad</vt:lpstr>
      <vt:lpstr>1.1a-Jaarprijzen</vt:lpstr>
      <vt:lpstr>1.2-Kengetal</vt:lpstr>
      <vt:lpstr>1.3-Basis ruimtestaat</vt:lpstr>
      <vt:lpstr>1.3b Verrekening mutaties</vt:lpstr>
      <vt:lpstr>1. 3A-Mutaties</vt:lpstr>
      <vt:lpstr>1.4-Opbouw uurtarieven</vt:lpstr>
      <vt:lpstr>1.6-Machine-investeringskosten</vt:lpstr>
      <vt:lpstr>1.7-Afroepprijs</vt:lpstr>
      <vt:lpstr>1.8-Glasbewassing</vt:lpstr>
      <vt:lpstr>'1.0-Contractblad'!Afdrukbereik</vt:lpstr>
      <vt:lpstr>'1.1a-Jaarprijzen'!Afdrukbereik</vt:lpstr>
      <vt:lpstr>'1.2-Kengetal'!Afdrukbereik</vt:lpstr>
      <vt:lpstr>'1.4-Opbouw uurtarieven'!Afdrukbereik</vt:lpstr>
      <vt:lpstr>'1.6-Machine-investeringskosten'!Afdrukbereik</vt:lpstr>
      <vt:lpstr>'1.7-Afroepprijs'!Afdrukbereik</vt:lpstr>
      <vt:lpstr>'1.8-Glasbewassing'!Afdrukbereik</vt:lpstr>
      <vt:lpstr>'Toelichting Calculatiemodel'!Afdrukbereik</vt:lpstr>
      <vt:lpstr>Voorblad!Afdrukbereik</vt:lpstr>
      <vt:lpstr>'1. 3A-Mutaties'!Afdruktitels</vt:lpstr>
      <vt:lpstr>'1.0-Contractblad'!Afdruktitels</vt:lpstr>
      <vt:lpstr>'1.2-Kengetal'!Afdruktitels</vt:lpstr>
      <vt:lpstr>'1.3-Basis ruimtestaat'!Afdruktitels</vt:lpstr>
      <vt:lpstr>'1.6-Machine-investeringskosten'!Afdruktitels</vt:lpstr>
      <vt:lpstr>'1.7-Afroepprijs'!Afdruktitels</vt:lpstr>
      <vt:lpstr>'1. 3A-Mutaties'!Allelocaties</vt:lpstr>
      <vt:lpstr>Allelocaties</vt:lpstr>
      <vt:lpstr>'1.4-Opbouw uurtarieven'!BasisTarief</vt:lpstr>
      <vt:lpstr>basistarieftoez</vt:lpstr>
      <vt:lpstr>basistariefuit</vt:lpstr>
      <vt:lpstr>'1.4-Opbouw uurtarieven'!CatMedewschoonmaak</vt:lpstr>
      <vt:lpstr>'1. 3A-Mutaties'!Dataase3</vt:lpstr>
      <vt:lpstr>Dataase3</vt:lpstr>
      <vt:lpstr>'1. 3A-Mutaties'!Database</vt:lpstr>
      <vt:lpstr>Database</vt:lpstr>
      <vt:lpstr>'1. 3A-Mutaties'!database2</vt:lpstr>
      <vt:lpstr>database2</vt:lpstr>
      <vt:lpstr>Kengetal</vt:lpstr>
      <vt:lpstr>'1. 3A-Mutaties'!LOCATIE</vt:lpstr>
      <vt:lpstr>LOCATIE</vt:lpstr>
      <vt:lpstr>'1.4-Opbouw uurtarieven'!Loongroepen</vt:lpstr>
      <vt:lpstr>'1. 3A-Mutaties'!Meters</vt:lpstr>
      <vt:lpstr>Meters</vt:lpstr>
      <vt:lpstr>'1. 3A-Mutaties'!Perceel</vt:lpstr>
      <vt:lpstr>Perceel</vt:lpstr>
      <vt:lpstr>'1. 3A-Mutaties'!PERCEEL2</vt:lpstr>
      <vt:lpstr>PERCEEL2</vt:lpstr>
      <vt:lpstr>'1.4-Opbouw uurtarieven'!Tabel</vt:lpstr>
      <vt:lpstr>TariefGLAS</vt:lpstr>
      <vt:lpstr>'1.4-Opbouw uurtarieven'!tariefschoonmaak</vt:lpstr>
      <vt:lpstr>tariefSMO</vt:lpstr>
      <vt:lpstr>tariefTZ</vt:lpstr>
      <vt:lpstr>tarievenglas</vt:lpstr>
      <vt:lpstr>'1. 3A-Mutaties'!Totaal</vt:lpstr>
      <vt:lpstr>Totaal</vt:lpstr>
      <vt:lpstr>'1. 3A-Mutaties'!Totaal2</vt:lpstr>
      <vt:lpstr>Totaal2</vt:lpstr>
      <vt:lpstr>'1. 3A-Mutaties'!UREMAVR</vt:lpstr>
      <vt:lpstr>UREMAVR</vt:lpstr>
      <vt:lpstr>'1. 3A-Mutaties'!URENEWEEKEND</vt:lpstr>
      <vt:lpstr>'1. 3A-Mutaties'!URENNALOOP</vt:lpstr>
      <vt:lpstr>URENNALOOP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van leijen</dc:creator>
  <cp:lastModifiedBy>ICCA</cp:lastModifiedBy>
  <cp:lastPrinted>2026-08-31T06:48:58Z</cp:lastPrinted>
  <dcterms:created xsi:type="dcterms:W3CDTF">1999-10-05T12:28:40Z</dcterms:created>
  <dcterms:modified xsi:type="dcterms:W3CDTF">2026-10-08T11:48:38Z</dcterms:modified>
</cp:coreProperties>
</file>