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piet/iCloud Drive (archief) - 1/Documents/Documenten - ICCA/  ICCA/  ICCA/01. Projecten Dashboard/03. OPSPOOR/Opspoor EUA/01. Publicatie Documenten concept/Nota van Inlichtingen/NvI2/"/>
    </mc:Choice>
  </mc:AlternateContent>
  <xr:revisionPtr revIDLastSave="0" documentId="8_{391B4A19-E68B-2843-AC95-361AD1592DAA}" xr6:coauthVersionLast="47" xr6:coauthVersionMax="47" xr10:uidLastSave="{00000000-0000-0000-0000-000000000000}"/>
  <bookViews>
    <workbookView xWindow="25680" yWindow="500" windowWidth="25520" windowHeight="14060" tabRatio="812" firstSheet="3" activeTab="10" xr2:uid="{00000000-000D-0000-FFFF-FFFF00000000}"/>
  </bookViews>
  <sheets>
    <sheet name="Toelichting Calculatiemodel" sheetId="45" r:id="rId1"/>
    <sheet name="Voorblad" sheetId="33" r:id="rId2"/>
    <sheet name="1.0-Contractblad" sheetId="31" r:id="rId3"/>
    <sheet name="1.1a-Jaarprijzen" sheetId="28" r:id="rId4"/>
    <sheet name="1.2-Kengetal" sheetId="1" r:id="rId5"/>
    <sheet name="1.3-Basis ruimtestaat" sheetId="2" r:id="rId6"/>
    <sheet name="1.3b Verrekening mutaties" sheetId="44" state="hidden" r:id="rId7"/>
    <sheet name="1. 3A-Mutaties" sheetId="58" r:id="rId8"/>
    <sheet name="1.4-Opbouw uurtarieven" sheetId="55" r:id="rId9"/>
    <sheet name="1.6-Machine-investeringskosten" sheetId="10" r:id="rId10"/>
    <sheet name="1.7-Afroepprijs" sheetId="5" r:id="rId11"/>
    <sheet name="1.8-Glasbewassing" sheetId="56" r:id="rId12"/>
  </sheets>
  <externalReferences>
    <externalReference r:id="rId13"/>
    <externalReference r:id="rId14"/>
    <externalReference r:id="rId15"/>
    <externalReference r:id="rId16"/>
  </externalReferences>
  <definedNames>
    <definedName name="_2F" localSheetId="6" hidden="1">[1]Blad1!#REF!</definedName>
    <definedName name="_2F" localSheetId="8" hidden="1">[2]Blad1!#REF!</definedName>
    <definedName name="_2F" localSheetId="0" hidden="1">[1]Blad1!#REF!</definedName>
    <definedName name="_2F" hidden="1">[1]Blad1!#REF!</definedName>
    <definedName name="_Dist_Bin" localSheetId="8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6" hidden="1">'[3]#REF'!#REF!</definedName>
    <definedName name="_Fill" localSheetId="8" hidden="1">'[3]#REF'!#REF!</definedName>
    <definedName name="_Fill" localSheetId="0" hidden="1">'[3]#REF'!#REF!</definedName>
    <definedName name="_Fill" hidden="1">'[3]#REF'!#REF!</definedName>
    <definedName name="_xlnm._FilterDatabase" localSheetId="7" hidden="1">'1. 3A-Mutaties'!$B$12:$AA$37</definedName>
    <definedName name="_xlnm._FilterDatabase" localSheetId="3" hidden="1">'1.1a-Jaarprijzen'!$A$11:$N$12</definedName>
    <definedName name="_xlnm._FilterDatabase" localSheetId="4" hidden="1">'1.2-Kengetal'!$C$12:$P$76</definedName>
    <definedName name="_xlnm._FilterDatabase" localSheetId="5" hidden="1">'1.3-Basis ruimtestaat'!$B$12:$X$724</definedName>
    <definedName name="_Key1" localSheetId="6" hidden="1">'[3]#REF'!#REF!</definedName>
    <definedName name="_Key1" localSheetId="8" hidden="1">'[3]#REF'!#REF!</definedName>
    <definedName name="_Key1" hidden="1">'[3]#REF'!#REF!</definedName>
    <definedName name="_Key2" localSheetId="6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Sort" localSheetId="8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hidden="1">#REF!</definedName>
    <definedName name="_xlnm.Print_Area" localSheetId="7">'1. 3A-Mutaties'!#REF!</definedName>
    <definedName name="_xlnm.Print_Area" localSheetId="2">'1.0-Contractblad'!$D$1:$S$41</definedName>
    <definedName name="_xlnm.Print_Area" localSheetId="3">'1.1a-Jaarprijzen'!$B$35:$M$74</definedName>
    <definedName name="_xlnm.Print_Area" localSheetId="4">'1.2-Kengetal'!$B$4:$P$91</definedName>
    <definedName name="_xlnm.Print_Area" localSheetId="5">'1.3-Basis ruimtestaat'!#REF!</definedName>
    <definedName name="_xlnm.Print_Area" localSheetId="8">'1.4-Opbouw uurtarieven'!$B$1:$V$67</definedName>
    <definedName name="_xlnm.Print_Area" localSheetId="9">'1.6-Machine-investeringskosten'!$E$4:$I$158</definedName>
    <definedName name="_xlnm.Print_Area" localSheetId="10">'1.7-Afroepprijs'!$E$14:$M$143</definedName>
    <definedName name="_xlnm.Print_Area" localSheetId="11">'1.8-Glasbewassing'!$A$1:$AF$41</definedName>
    <definedName name="_xlnm.Print_Area" localSheetId="0">'Toelichting Calculatiemodel'!$F$3:$L$76</definedName>
    <definedName name="_xlnm.Print_Area" localSheetId="1">Voorblad!$B$1:$J$96</definedName>
    <definedName name="_xlnm.Print_Titles" localSheetId="7">'1. 3A-Mutaties'!$E:$E,'1. 3A-Mutaties'!$4:$12</definedName>
    <definedName name="_xlnm.Print_Titles" localSheetId="2">'1.0-Contractblad'!$1:$14</definedName>
    <definedName name="_xlnm.Print_Titles" localSheetId="4">'1.2-Kengetal'!$1:$3</definedName>
    <definedName name="_xlnm.Print_Titles" localSheetId="5">'1.3-Basis ruimtestaat'!$E:$E,'1.3-Basis ruimtestaat'!$4:$12</definedName>
    <definedName name="_xlnm.Print_Titles" localSheetId="9">'1.6-Machine-investeringskosten'!$E:$E,'1.6-Machine-investeringskosten'!$4:$10</definedName>
    <definedName name="_xlnm.Print_Titles" localSheetId="10">'1.7-Afroepprijs'!$5:$13</definedName>
    <definedName name="Allelocaties" localSheetId="7">'1. 3A-Mutaties'!$A:$T</definedName>
    <definedName name="Allelocaties">'1.3-Basis ruimtestaat'!$A:$R</definedName>
    <definedName name="BasisTarief" localSheetId="8">'1.4-Opbouw uurtarieven'!$N$16:$XFD$65</definedName>
    <definedName name="basistarieftoez">'1.4-Opbouw uurtarieven'!$S$16:$V$65</definedName>
    <definedName name="basistariefuit">'1.4-Opbouw uurtarieven'!$M$16:$P$65</definedName>
    <definedName name="CatMedewschoonmaak" localSheetId="8">'1.4-Opbouw uurtarieven'!$I$16:$V$16</definedName>
    <definedName name="Dataase3" localSheetId="7">'1. 3A-Mutaties'!$B$12:$Z$13</definedName>
    <definedName name="Dataase3">'1.3-Basis ruimtestaat'!$B$12:$W$13</definedName>
    <definedName name="_xlnm.Database" localSheetId="7">'1. 3A-Mutaties'!$D$12:$Z$13</definedName>
    <definedName name="_xlnm.Database">'1.3-Basis ruimtestaat'!$D$12:$W$13</definedName>
    <definedName name="database2" localSheetId="7">'1. 3A-Mutaties'!$C$12:$Z$13</definedName>
    <definedName name="database2">'1.3-Basis ruimtestaat'!$C$12:$W$13</definedName>
    <definedName name="han" localSheetId="8" hidden="1">'[3]#REF'!#REF!</definedName>
    <definedName name="han" hidden="1">'[3]#REF'!#REF!</definedName>
    <definedName name="HTML_CodePage" hidden="1">1252</definedName>
    <definedName name="HTML_Control" localSheetId="2" hidden="1">{"'ma_vr'!$A$1:$AA$42"}</definedName>
    <definedName name="HTML_Control" localSheetId="6" hidden="1">{"'ma_vr'!$A$1:$AA$42"}</definedName>
    <definedName name="HTML_Control" localSheetId="8" hidden="1">{"'ma_vr'!$A$1:$AA$42"}</definedName>
    <definedName name="HTML_Control" localSheetId="0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etal" localSheetId="6">'[4]1.2-Kengetal'!$C$10:$P$33</definedName>
    <definedName name="Kengetal">'1.2-Kengetal'!$C$13:$Q$75</definedName>
    <definedName name="LOCATIE" localSheetId="7">'1. 3A-Mutaties'!$E:$R</definedName>
    <definedName name="LOCATIE">'1.3-Basis ruimtestaat'!$E:$Q</definedName>
    <definedName name="Loongroepen" localSheetId="6">'[4]1.5 Opbouw uurtarieven'!$A$12:$A$46</definedName>
    <definedName name="Loongroepen" localSheetId="8">'1.4-Opbouw uurtarieven'!$B$16:$B$31</definedName>
    <definedName name="Meters" localSheetId="7">'1. 3A-Mutaties'!$K:$K</definedName>
    <definedName name="Meters" localSheetId="6">'[4]1.3-Basis ruimtestaat'!$K:$K</definedName>
    <definedName name="Meters">'1.3-Basis ruimtestaat'!$K:$K</definedName>
    <definedName name="Perceel" localSheetId="7">'1. 3A-Mutaties'!$F:$U</definedName>
    <definedName name="Perceel">'1.3-Basis ruimtestaat'!$F:$S</definedName>
    <definedName name="PERCEEL2" localSheetId="7">'1. 3A-Mutaties'!$A:$U</definedName>
    <definedName name="PERCEEL2">'1.3-Basis ruimtestaat'!$A:$S</definedName>
    <definedName name="q" localSheetId="8" hidden="1">[2]Blad1!#REF!</definedName>
    <definedName name="q" hidden="1">[1]Blad1!#REF!</definedName>
    <definedName name="Tabel" localSheetId="8">'1.4-Opbouw uurtarieven'!$O$5:$P$7</definedName>
    <definedName name="TariefGLAS">'1.4-Opbouw uurtarieven'!$Z$17:$Z$17</definedName>
    <definedName name="tariefschoonmaak" localSheetId="8">'1.4-Opbouw uurtarieven'!$M$16:$Z$16</definedName>
    <definedName name="tariefSMO">'1.4-Opbouw uurtarieven'!$M$16:$P$16</definedName>
    <definedName name="tarieftoez">#REF!</definedName>
    <definedName name="tariefTZ">'1.4-Opbouw uurtarieven'!$S$16:$V$16</definedName>
    <definedName name="tariefuit">#REF!</definedName>
    <definedName name="tarievenglas">'1.4-Opbouw uurtarieven'!$Z$17:$Z$65</definedName>
    <definedName name="Totaal" localSheetId="7">'1. 3A-Mutaties'!$A$12:$T$13</definedName>
    <definedName name="Totaal">'1.3-Basis ruimtestaat'!$A$12:$R$13</definedName>
    <definedName name="Totaal2" localSheetId="7">'1. 3A-Mutaties'!$E$12:$T$13</definedName>
    <definedName name="Totaal2" localSheetId="6">'[4]1.3-Basis ruimtestaat'!$E$10:$T$226</definedName>
    <definedName name="Totaal2">'1.3-Basis ruimtestaat'!$E$12:$R$13</definedName>
    <definedName name="UREMAVR" localSheetId="7">'1. 3A-Mutaties'!$R$12:$R$13</definedName>
    <definedName name="UREMAVR" localSheetId="6">'[4]1.3-Basis ruimtestaat'!$R$10:$R$226</definedName>
    <definedName name="UREMAVR">'1.3-Basis ruimtestaat'!$Q$12:$Q$13</definedName>
    <definedName name="URENEWEEKEND" localSheetId="7">'1. 3A-Mutaties'!$T$12:$T$13</definedName>
    <definedName name="URENEWEEKEND">'1.3-Basis ruimtestaat'!#REF!</definedName>
    <definedName name="URENNALOOP" localSheetId="7">'1. 3A-Mutaties'!$S$12:$S$13</definedName>
    <definedName name="URENNALOOP" localSheetId="6">'[4]1.3-Basis ruimtestaat'!$S$10:$S$226</definedName>
    <definedName name="URENNALOOP">'1.3-Basis ruimtestaat'!$R$12:$R$13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4" i="5" l="1"/>
  <c r="L98" i="5"/>
  <c r="L93" i="5"/>
  <c r="L89" i="5"/>
  <c r="K15" i="1"/>
  <c r="M15" i="1"/>
  <c r="K16" i="1"/>
  <c r="N16" i="1" s="1"/>
  <c r="M16" i="1"/>
  <c r="K17" i="1"/>
  <c r="M17" i="1"/>
  <c r="K18" i="1"/>
  <c r="M18" i="1"/>
  <c r="K19" i="1"/>
  <c r="M19" i="1"/>
  <c r="K20" i="1"/>
  <c r="N20" i="1" s="1"/>
  <c r="M20" i="1"/>
  <c r="K21" i="1"/>
  <c r="M21" i="1"/>
  <c r="K22" i="1"/>
  <c r="M22" i="1"/>
  <c r="K23" i="1"/>
  <c r="M23" i="1"/>
  <c r="K24" i="1"/>
  <c r="N24" i="1" s="1"/>
  <c r="M24" i="1"/>
  <c r="K25" i="1"/>
  <c r="M25" i="1"/>
  <c r="K26" i="1"/>
  <c r="N26" i="1" s="1"/>
  <c r="M26" i="1"/>
  <c r="K27" i="1"/>
  <c r="M27" i="1"/>
  <c r="K28" i="1"/>
  <c r="N28" i="1" s="1"/>
  <c r="M28" i="1"/>
  <c r="K29" i="1"/>
  <c r="N29" i="1" s="1"/>
  <c r="M29" i="1"/>
  <c r="K30" i="1"/>
  <c r="M30" i="1"/>
  <c r="K31" i="1"/>
  <c r="M31" i="1"/>
  <c r="K32" i="1"/>
  <c r="M32" i="1"/>
  <c r="K33" i="1"/>
  <c r="N33" i="1" s="1"/>
  <c r="M33" i="1"/>
  <c r="K34" i="1"/>
  <c r="M34" i="1"/>
  <c r="K35" i="1"/>
  <c r="M35" i="1"/>
  <c r="K36" i="1"/>
  <c r="M36" i="1"/>
  <c r="K37" i="1"/>
  <c r="N37" i="1" s="1"/>
  <c r="M37" i="1"/>
  <c r="K38" i="1"/>
  <c r="N38" i="1" s="1"/>
  <c r="M38" i="1"/>
  <c r="K39" i="1"/>
  <c r="M39" i="1"/>
  <c r="K40" i="1"/>
  <c r="N40" i="1" s="1"/>
  <c r="M40" i="1"/>
  <c r="K41" i="1"/>
  <c r="M41" i="1"/>
  <c r="K42" i="1"/>
  <c r="M42" i="1"/>
  <c r="K43" i="1"/>
  <c r="N43" i="1" s="1"/>
  <c r="M43" i="1"/>
  <c r="K44" i="1"/>
  <c r="M44" i="1"/>
  <c r="K45" i="1"/>
  <c r="N45" i="1" s="1"/>
  <c r="M45" i="1"/>
  <c r="K46" i="1"/>
  <c r="M46" i="1"/>
  <c r="K47" i="1"/>
  <c r="M47" i="1"/>
  <c r="K48" i="1"/>
  <c r="M48" i="1"/>
  <c r="K49" i="1"/>
  <c r="M49" i="1"/>
  <c r="K50" i="1"/>
  <c r="N50" i="1" s="1"/>
  <c r="M50" i="1"/>
  <c r="K51" i="1"/>
  <c r="M51" i="1"/>
  <c r="K52" i="1"/>
  <c r="M52" i="1"/>
  <c r="K53" i="1"/>
  <c r="N53" i="1" s="1"/>
  <c r="M53" i="1"/>
  <c r="K54" i="1"/>
  <c r="M54" i="1"/>
  <c r="K55" i="1"/>
  <c r="N55" i="1" s="1"/>
  <c r="M55" i="1"/>
  <c r="K56" i="1"/>
  <c r="N56" i="1" s="1"/>
  <c r="M56" i="1"/>
  <c r="K57" i="1"/>
  <c r="N57" i="1" s="1"/>
  <c r="M57" i="1"/>
  <c r="K58" i="1"/>
  <c r="M58" i="1"/>
  <c r="K59" i="1"/>
  <c r="N59" i="1" s="1"/>
  <c r="M59" i="1"/>
  <c r="K60" i="1"/>
  <c r="N60" i="1" s="1"/>
  <c r="M60" i="1"/>
  <c r="K61" i="1"/>
  <c r="M61" i="1"/>
  <c r="D68" i="28"/>
  <c r="T16" i="55" l="1"/>
  <c r="U14" i="2" l="1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U551" i="2"/>
  <c r="U552" i="2"/>
  <c r="U553" i="2"/>
  <c r="U554" i="2"/>
  <c r="U555" i="2"/>
  <c r="U556" i="2"/>
  <c r="U557" i="2"/>
  <c r="U558" i="2"/>
  <c r="U559" i="2"/>
  <c r="U560" i="2"/>
  <c r="U561" i="2"/>
  <c r="U562" i="2"/>
  <c r="U563" i="2"/>
  <c r="U564" i="2"/>
  <c r="U565" i="2"/>
  <c r="U566" i="2"/>
  <c r="U567" i="2"/>
  <c r="U568" i="2"/>
  <c r="U569" i="2"/>
  <c r="U570" i="2"/>
  <c r="U571" i="2"/>
  <c r="U572" i="2"/>
  <c r="U573" i="2"/>
  <c r="U574" i="2"/>
  <c r="U575" i="2"/>
  <c r="U576" i="2"/>
  <c r="U577" i="2"/>
  <c r="U578" i="2"/>
  <c r="U579" i="2"/>
  <c r="U580" i="2"/>
  <c r="U581" i="2"/>
  <c r="U582" i="2"/>
  <c r="U583" i="2"/>
  <c r="U584" i="2"/>
  <c r="U585" i="2"/>
  <c r="U586" i="2"/>
  <c r="U587" i="2"/>
  <c r="U588" i="2"/>
  <c r="U589" i="2"/>
  <c r="U590" i="2"/>
  <c r="U591" i="2"/>
  <c r="U592" i="2"/>
  <c r="U593" i="2"/>
  <c r="U594" i="2"/>
  <c r="U595" i="2"/>
  <c r="U596" i="2"/>
  <c r="U597" i="2"/>
  <c r="U598" i="2"/>
  <c r="U599" i="2"/>
  <c r="U600" i="2"/>
  <c r="U601" i="2"/>
  <c r="U602" i="2"/>
  <c r="U603" i="2"/>
  <c r="U604" i="2"/>
  <c r="U605" i="2"/>
  <c r="U606" i="2"/>
  <c r="U607" i="2"/>
  <c r="U608" i="2"/>
  <c r="U609" i="2"/>
  <c r="U610" i="2"/>
  <c r="U611" i="2"/>
  <c r="U612" i="2"/>
  <c r="U613" i="2"/>
  <c r="U614" i="2"/>
  <c r="U615" i="2"/>
  <c r="U616" i="2"/>
  <c r="U617" i="2"/>
  <c r="U618" i="2"/>
  <c r="U619" i="2"/>
  <c r="U620" i="2"/>
  <c r="U621" i="2"/>
  <c r="U622" i="2"/>
  <c r="U623" i="2"/>
  <c r="U624" i="2"/>
  <c r="U625" i="2"/>
  <c r="U626" i="2"/>
  <c r="U627" i="2"/>
  <c r="U628" i="2"/>
  <c r="U629" i="2"/>
  <c r="U630" i="2"/>
  <c r="U631" i="2"/>
  <c r="U632" i="2"/>
  <c r="U633" i="2"/>
  <c r="U634" i="2"/>
  <c r="U635" i="2"/>
  <c r="U636" i="2"/>
  <c r="U637" i="2"/>
  <c r="U638" i="2"/>
  <c r="U639" i="2"/>
  <c r="U640" i="2"/>
  <c r="U641" i="2"/>
  <c r="U642" i="2"/>
  <c r="U643" i="2"/>
  <c r="U644" i="2"/>
  <c r="U645" i="2"/>
  <c r="U646" i="2"/>
  <c r="U647" i="2"/>
  <c r="U648" i="2"/>
  <c r="U649" i="2"/>
  <c r="U650" i="2"/>
  <c r="U651" i="2"/>
  <c r="U652" i="2"/>
  <c r="U653" i="2"/>
  <c r="U654" i="2"/>
  <c r="U655" i="2"/>
  <c r="U656" i="2"/>
  <c r="U657" i="2"/>
  <c r="U658" i="2"/>
  <c r="U659" i="2"/>
  <c r="U660" i="2"/>
  <c r="U661" i="2"/>
  <c r="U662" i="2"/>
  <c r="U663" i="2"/>
  <c r="U664" i="2"/>
  <c r="U665" i="2"/>
  <c r="U666" i="2"/>
  <c r="U667" i="2"/>
  <c r="U668" i="2"/>
  <c r="U669" i="2"/>
  <c r="U670" i="2"/>
  <c r="U671" i="2"/>
  <c r="U672" i="2"/>
  <c r="U673" i="2"/>
  <c r="U674" i="2"/>
  <c r="U675" i="2"/>
  <c r="U676" i="2"/>
  <c r="U677" i="2"/>
  <c r="U678" i="2"/>
  <c r="U679" i="2"/>
  <c r="U680" i="2"/>
  <c r="U681" i="2"/>
  <c r="U682" i="2"/>
  <c r="U683" i="2"/>
  <c r="U684" i="2"/>
  <c r="U685" i="2"/>
  <c r="U686" i="2"/>
  <c r="U687" i="2"/>
  <c r="U688" i="2"/>
  <c r="U689" i="2"/>
  <c r="U690" i="2"/>
  <c r="U691" i="2"/>
  <c r="U692" i="2"/>
  <c r="U693" i="2"/>
  <c r="U694" i="2"/>
  <c r="U695" i="2"/>
  <c r="U696" i="2"/>
  <c r="U697" i="2"/>
  <c r="U698" i="2"/>
  <c r="U699" i="2"/>
  <c r="U700" i="2"/>
  <c r="U701" i="2"/>
  <c r="U702" i="2"/>
  <c r="U703" i="2"/>
  <c r="U704" i="2"/>
  <c r="U705" i="2"/>
  <c r="U706" i="2"/>
  <c r="U707" i="2"/>
  <c r="U708" i="2"/>
  <c r="U709" i="2"/>
  <c r="U710" i="2"/>
  <c r="U711" i="2"/>
  <c r="U712" i="2"/>
  <c r="U713" i="2"/>
  <c r="U714" i="2"/>
  <c r="U715" i="2"/>
  <c r="U716" i="2"/>
  <c r="U717" i="2"/>
  <c r="U718" i="2"/>
  <c r="U719" i="2"/>
  <c r="U720" i="2"/>
  <c r="U721" i="2"/>
  <c r="U722" i="2"/>
  <c r="U723" i="2"/>
  <c r="U724" i="2"/>
  <c r="I35" i="56"/>
  <c r="J15" i="1" l="1"/>
  <c r="J43" i="1"/>
  <c r="J61" i="1" l="1"/>
  <c r="I20" i="56"/>
  <c r="I21" i="56"/>
  <c r="I22" i="56"/>
  <c r="I23" i="56"/>
  <c r="I24" i="56"/>
  <c r="I25" i="56"/>
  <c r="I26" i="56"/>
  <c r="I27" i="56"/>
  <c r="I28" i="56"/>
  <c r="I29" i="56"/>
  <c r="I30" i="56"/>
  <c r="I31" i="56"/>
  <c r="I32" i="56"/>
  <c r="I33" i="56"/>
  <c r="I34" i="56"/>
  <c r="I36" i="56"/>
  <c r="N248" i="2"/>
  <c r="R34" i="56"/>
  <c r="W34" i="56" s="1"/>
  <c r="AD34" i="56" s="1"/>
  <c r="R35" i="56"/>
  <c r="W35" i="56" s="1"/>
  <c r="AD35" i="56" s="1"/>
  <c r="R36" i="56"/>
  <c r="W36" i="56" s="1"/>
  <c r="AD36" i="56" s="1"/>
  <c r="X32" i="56"/>
  <c r="Y32" i="56"/>
  <c r="Z32" i="56"/>
  <c r="AA32" i="56"/>
  <c r="X33" i="56"/>
  <c r="Y33" i="56"/>
  <c r="Z33" i="56"/>
  <c r="AA33" i="56"/>
  <c r="X34" i="56"/>
  <c r="Y34" i="56"/>
  <c r="Z34" i="56"/>
  <c r="AA34" i="56"/>
  <c r="X35" i="56"/>
  <c r="Y35" i="56"/>
  <c r="Z35" i="56"/>
  <c r="AA35" i="56"/>
  <c r="X36" i="56"/>
  <c r="Y36" i="56"/>
  <c r="Z36" i="56"/>
  <c r="AA36" i="56"/>
  <c r="R20" i="56"/>
  <c r="R21" i="56"/>
  <c r="R22" i="56"/>
  <c r="R23" i="56"/>
  <c r="R24" i="56"/>
  <c r="R25" i="56"/>
  <c r="R26" i="56"/>
  <c r="R27" i="56"/>
  <c r="R28" i="56"/>
  <c r="R29" i="56"/>
  <c r="R30" i="56"/>
  <c r="R31" i="56"/>
  <c r="R32" i="56"/>
  <c r="W32" i="56" s="1"/>
  <c r="AD32" i="56" s="1"/>
  <c r="R33" i="56"/>
  <c r="W33" i="56" s="1"/>
  <c r="AD33" i="56" s="1"/>
  <c r="Z248" i="2" l="1"/>
  <c r="AA248" i="2"/>
  <c r="J60" i="1"/>
  <c r="J59" i="1"/>
  <c r="J80" i="10" l="1"/>
  <c r="J60" i="10"/>
  <c r="J40" i="10"/>
  <c r="J20" i="10"/>
  <c r="N14" i="2"/>
  <c r="S14" i="2"/>
  <c r="Q14" i="2" s="1"/>
  <c r="T14" i="2"/>
  <c r="R14" i="2" s="1"/>
  <c r="N15" i="2"/>
  <c r="S15" i="2"/>
  <c r="Q15" i="2" s="1"/>
  <c r="T15" i="2"/>
  <c r="R15" i="2" s="1"/>
  <c r="N16" i="2"/>
  <c r="S16" i="2"/>
  <c r="Q16" i="2" s="1"/>
  <c r="T16" i="2"/>
  <c r="R16" i="2" s="1"/>
  <c r="N17" i="2"/>
  <c r="S17" i="2"/>
  <c r="Q17" i="2" s="1"/>
  <c r="T17" i="2"/>
  <c r="R17" i="2" s="1"/>
  <c r="N18" i="2"/>
  <c r="S18" i="2"/>
  <c r="Q18" i="2" s="1"/>
  <c r="T18" i="2"/>
  <c r="R18" i="2" s="1"/>
  <c r="N19" i="2"/>
  <c r="S19" i="2"/>
  <c r="Q19" i="2" s="1"/>
  <c r="T19" i="2"/>
  <c r="R19" i="2" s="1"/>
  <c r="N20" i="2"/>
  <c r="S20" i="2"/>
  <c r="Q20" i="2" s="1"/>
  <c r="T20" i="2"/>
  <c r="R20" i="2" s="1"/>
  <c r="N21" i="2"/>
  <c r="S21" i="2"/>
  <c r="Q21" i="2" s="1"/>
  <c r="T21" i="2"/>
  <c r="R21" i="2" s="1"/>
  <c r="N22" i="2"/>
  <c r="S22" i="2"/>
  <c r="Q22" i="2" s="1"/>
  <c r="T22" i="2"/>
  <c r="R22" i="2" s="1"/>
  <c r="N23" i="2"/>
  <c r="S23" i="2"/>
  <c r="Q23" i="2" s="1"/>
  <c r="T23" i="2"/>
  <c r="R23" i="2" s="1"/>
  <c r="N24" i="2"/>
  <c r="S24" i="2"/>
  <c r="Q24" i="2" s="1"/>
  <c r="T24" i="2"/>
  <c r="R24" i="2" s="1"/>
  <c r="N25" i="2"/>
  <c r="S25" i="2"/>
  <c r="Q25" i="2" s="1"/>
  <c r="T25" i="2"/>
  <c r="R25" i="2" s="1"/>
  <c r="N26" i="2"/>
  <c r="S26" i="2"/>
  <c r="Q26" i="2" s="1"/>
  <c r="T26" i="2"/>
  <c r="R26" i="2" s="1"/>
  <c r="N27" i="2"/>
  <c r="S27" i="2"/>
  <c r="Q27" i="2" s="1"/>
  <c r="T27" i="2"/>
  <c r="R27" i="2" s="1"/>
  <c r="N28" i="2"/>
  <c r="S28" i="2"/>
  <c r="Q28" i="2" s="1"/>
  <c r="T28" i="2"/>
  <c r="R28" i="2" s="1"/>
  <c r="N29" i="2"/>
  <c r="S29" i="2"/>
  <c r="Q29" i="2" s="1"/>
  <c r="T29" i="2"/>
  <c r="R29" i="2" s="1"/>
  <c r="N30" i="2"/>
  <c r="S30" i="2"/>
  <c r="Q30" i="2" s="1"/>
  <c r="T30" i="2"/>
  <c r="R30" i="2" s="1"/>
  <c r="N31" i="2"/>
  <c r="S31" i="2"/>
  <c r="Q31" i="2" s="1"/>
  <c r="T31" i="2"/>
  <c r="R31" i="2" s="1"/>
  <c r="N32" i="2"/>
  <c r="S32" i="2"/>
  <c r="Q32" i="2" s="1"/>
  <c r="T32" i="2"/>
  <c r="R32" i="2" s="1"/>
  <c r="N33" i="2"/>
  <c r="S33" i="2"/>
  <c r="Q33" i="2" s="1"/>
  <c r="T33" i="2"/>
  <c r="R33" i="2" s="1"/>
  <c r="N34" i="2"/>
  <c r="S34" i="2"/>
  <c r="Q34" i="2" s="1"/>
  <c r="T34" i="2"/>
  <c r="R34" i="2" s="1"/>
  <c r="N35" i="2"/>
  <c r="S35" i="2"/>
  <c r="Q35" i="2" s="1"/>
  <c r="T35" i="2"/>
  <c r="R35" i="2" s="1"/>
  <c r="N36" i="2"/>
  <c r="S36" i="2"/>
  <c r="Q36" i="2" s="1"/>
  <c r="T36" i="2"/>
  <c r="R36" i="2" s="1"/>
  <c r="N37" i="2"/>
  <c r="S37" i="2"/>
  <c r="Q37" i="2" s="1"/>
  <c r="T37" i="2"/>
  <c r="R37" i="2" s="1"/>
  <c r="N38" i="2"/>
  <c r="T38" i="2"/>
  <c r="R38" i="2" s="1"/>
  <c r="N39" i="2"/>
  <c r="S39" i="2"/>
  <c r="Q39" i="2" s="1"/>
  <c r="T39" i="2"/>
  <c r="R39" i="2" s="1"/>
  <c r="N40" i="2"/>
  <c r="S40" i="2"/>
  <c r="Q40" i="2" s="1"/>
  <c r="T40" i="2"/>
  <c r="R40" i="2" s="1"/>
  <c r="N41" i="2"/>
  <c r="S41" i="2"/>
  <c r="Q41" i="2" s="1"/>
  <c r="T41" i="2"/>
  <c r="R41" i="2" s="1"/>
  <c r="N42" i="2"/>
  <c r="S42" i="2"/>
  <c r="Q42" i="2" s="1"/>
  <c r="T42" i="2"/>
  <c r="R42" i="2" s="1"/>
  <c r="N43" i="2"/>
  <c r="S43" i="2"/>
  <c r="Q43" i="2" s="1"/>
  <c r="T43" i="2"/>
  <c r="R43" i="2" s="1"/>
  <c r="N44" i="2"/>
  <c r="S44" i="2"/>
  <c r="Q44" i="2" s="1"/>
  <c r="T44" i="2"/>
  <c r="R44" i="2" s="1"/>
  <c r="N45" i="2"/>
  <c r="T45" i="2"/>
  <c r="R45" i="2" s="1"/>
  <c r="N46" i="2"/>
  <c r="S46" i="2"/>
  <c r="Q46" i="2" s="1"/>
  <c r="T46" i="2"/>
  <c r="R46" i="2" s="1"/>
  <c r="N47" i="2"/>
  <c r="S47" i="2"/>
  <c r="Q47" i="2" s="1"/>
  <c r="T47" i="2"/>
  <c r="R47" i="2" s="1"/>
  <c r="N48" i="2"/>
  <c r="S48" i="2"/>
  <c r="Q48" i="2" s="1"/>
  <c r="T48" i="2"/>
  <c r="R48" i="2" s="1"/>
  <c r="N49" i="2"/>
  <c r="S49" i="2"/>
  <c r="Q49" i="2" s="1"/>
  <c r="T49" i="2"/>
  <c r="R49" i="2" s="1"/>
  <c r="N50" i="2"/>
  <c r="S50" i="2"/>
  <c r="Q50" i="2" s="1"/>
  <c r="T50" i="2"/>
  <c r="R50" i="2" s="1"/>
  <c r="N51" i="2"/>
  <c r="S51" i="2"/>
  <c r="Q51" i="2" s="1"/>
  <c r="T51" i="2"/>
  <c r="R51" i="2" s="1"/>
  <c r="N52" i="2"/>
  <c r="S52" i="2"/>
  <c r="Q52" i="2" s="1"/>
  <c r="T52" i="2"/>
  <c r="R52" i="2" s="1"/>
  <c r="N53" i="2"/>
  <c r="S53" i="2"/>
  <c r="Q53" i="2" s="1"/>
  <c r="T53" i="2"/>
  <c r="R53" i="2" s="1"/>
  <c r="N54" i="2"/>
  <c r="S54" i="2"/>
  <c r="Q54" i="2" s="1"/>
  <c r="T54" i="2"/>
  <c r="R54" i="2" s="1"/>
  <c r="N55" i="2"/>
  <c r="S55" i="2"/>
  <c r="Q55" i="2" s="1"/>
  <c r="T55" i="2"/>
  <c r="R55" i="2" s="1"/>
  <c r="N56" i="2"/>
  <c r="S56" i="2"/>
  <c r="Q56" i="2" s="1"/>
  <c r="T56" i="2"/>
  <c r="R56" i="2" s="1"/>
  <c r="N57" i="2"/>
  <c r="S57" i="2"/>
  <c r="Q57" i="2" s="1"/>
  <c r="T57" i="2"/>
  <c r="R57" i="2" s="1"/>
  <c r="N58" i="2"/>
  <c r="S58" i="2"/>
  <c r="Q58" i="2" s="1"/>
  <c r="T58" i="2"/>
  <c r="R58" i="2" s="1"/>
  <c r="N59" i="2"/>
  <c r="S59" i="2"/>
  <c r="Q59" i="2" s="1"/>
  <c r="T59" i="2"/>
  <c r="R59" i="2" s="1"/>
  <c r="N60" i="2"/>
  <c r="S60" i="2"/>
  <c r="Q60" i="2" s="1"/>
  <c r="T60" i="2"/>
  <c r="R60" i="2" s="1"/>
  <c r="N61" i="2"/>
  <c r="S61" i="2"/>
  <c r="Q61" i="2" s="1"/>
  <c r="T61" i="2"/>
  <c r="R61" i="2" s="1"/>
  <c r="N62" i="2"/>
  <c r="S62" i="2"/>
  <c r="Q62" i="2" s="1"/>
  <c r="T62" i="2"/>
  <c r="R62" i="2" s="1"/>
  <c r="N63" i="2"/>
  <c r="S63" i="2"/>
  <c r="Q63" i="2" s="1"/>
  <c r="T63" i="2"/>
  <c r="R63" i="2" s="1"/>
  <c r="N64" i="2"/>
  <c r="S64" i="2"/>
  <c r="Q64" i="2" s="1"/>
  <c r="T64" i="2"/>
  <c r="R64" i="2" s="1"/>
  <c r="N65" i="2"/>
  <c r="S65" i="2"/>
  <c r="Q65" i="2" s="1"/>
  <c r="T65" i="2"/>
  <c r="R65" i="2" s="1"/>
  <c r="N66" i="2"/>
  <c r="T66" i="2"/>
  <c r="R66" i="2" s="1"/>
  <c r="N67" i="2"/>
  <c r="S67" i="2"/>
  <c r="Q67" i="2" s="1"/>
  <c r="T67" i="2"/>
  <c r="R67" i="2" s="1"/>
  <c r="N68" i="2"/>
  <c r="S68" i="2"/>
  <c r="Q68" i="2" s="1"/>
  <c r="T68" i="2"/>
  <c r="R68" i="2" s="1"/>
  <c r="N69" i="2"/>
  <c r="S69" i="2"/>
  <c r="Q69" i="2" s="1"/>
  <c r="T69" i="2"/>
  <c r="R69" i="2" s="1"/>
  <c r="N70" i="2"/>
  <c r="S70" i="2"/>
  <c r="Q70" i="2" s="1"/>
  <c r="T70" i="2"/>
  <c r="R70" i="2" s="1"/>
  <c r="N71" i="2"/>
  <c r="S71" i="2"/>
  <c r="Q71" i="2" s="1"/>
  <c r="T71" i="2"/>
  <c r="R71" i="2" s="1"/>
  <c r="N72" i="2"/>
  <c r="S72" i="2"/>
  <c r="Q72" i="2" s="1"/>
  <c r="T72" i="2"/>
  <c r="R72" i="2" s="1"/>
  <c r="N73" i="2"/>
  <c r="S73" i="2"/>
  <c r="Q73" i="2" s="1"/>
  <c r="T73" i="2"/>
  <c r="R73" i="2" s="1"/>
  <c r="N74" i="2"/>
  <c r="S74" i="2"/>
  <c r="Q74" i="2" s="1"/>
  <c r="T74" i="2"/>
  <c r="R74" i="2" s="1"/>
  <c r="N75" i="2"/>
  <c r="S75" i="2"/>
  <c r="Q75" i="2" s="1"/>
  <c r="T75" i="2"/>
  <c r="R75" i="2" s="1"/>
  <c r="N76" i="2"/>
  <c r="S76" i="2"/>
  <c r="Q76" i="2" s="1"/>
  <c r="T76" i="2"/>
  <c r="R76" i="2" s="1"/>
  <c r="N77" i="2"/>
  <c r="S77" i="2"/>
  <c r="Q77" i="2" s="1"/>
  <c r="T77" i="2"/>
  <c r="R77" i="2" s="1"/>
  <c r="N78" i="2"/>
  <c r="S78" i="2"/>
  <c r="Q78" i="2" s="1"/>
  <c r="T78" i="2"/>
  <c r="R78" i="2" s="1"/>
  <c r="N79" i="2"/>
  <c r="S79" i="2"/>
  <c r="Q79" i="2" s="1"/>
  <c r="T79" i="2"/>
  <c r="R79" i="2" s="1"/>
  <c r="N80" i="2"/>
  <c r="S80" i="2"/>
  <c r="Q80" i="2" s="1"/>
  <c r="T80" i="2"/>
  <c r="R80" i="2" s="1"/>
  <c r="N81" i="2"/>
  <c r="S81" i="2"/>
  <c r="Q81" i="2" s="1"/>
  <c r="T81" i="2"/>
  <c r="R81" i="2" s="1"/>
  <c r="N82" i="2"/>
  <c r="S82" i="2"/>
  <c r="Q82" i="2" s="1"/>
  <c r="T82" i="2"/>
  <c r="R82" i="2" s="1"/>
  <c r="N83" i="2"/>
  <c r="S83" i="2"/>
  <c r="Q83" i="2" s="1"/>
  <c r="T83" i="2"/>
  <c r="R83" i="2" s="1"/>
  <c r="N84" i="2"/>
  <c r="S84" i="2"/>
  <c r="Q84" i="2" s="1"/>
  <c r="T84" i="2"/>
  <c r="R84" i="2" s="1"/>
  <c r="N85" i="2"/>
  <c r="S85" i="2"/>
  <c r="Q85" i="2" s="1"/>
  <c r="T85" i="2"/>
  <c r="R85" i="2" s="1"/>
  <c r="N86" i="2"/>
  <c r="S86" i="2"/>
  <c r="Q86" i="2" s="1"/>
  <c r="T86" i="2"/>
  <c r="R86" i="2" s="1"/>
  <c r="N87" i="2"/>
  <c r="S87" i="2"/>
  <c r="Q87" i="2" s="1"/>
  <c r="T87" i="2"/>
  <c r="R87" i="2" s="1"/>
  <c r="N88" i="2"/>
  <c r="S88" i="2"/>
  <c r="Q88" i="2" s="1"/>
  <c r="T88" i="2"/>
  <c r="R88" i="2" s="1"/>
  <c r="N89" i="2"/>
  <c r="S89" i="2"/>
  <c r="Q89" i="2" s="1"/>
  <c r="T89" i="2"/>
  <c r="R89" i="2" s="1"/>
  <c r="N90" i="2"/>
  <c r="S90" i="2"/>
  <c r="Q90" i="2" s="1"/>
  <c r="T90" i="2"/>
  <c r="R90" i="2" s="1"/>
  <c r="N91" i="2"/>
  <c r="S91" i="2"/>
  <c r="Q91" i="2" s="1"/>
  <c r="T91" i="2"/>
  <c r="R91" i="2" s="1"/>
  <c r="N92" i="2"/>
  <c r="S92" i="2"/>
  <c r="Q92" i="2" s="1"/>
  <c r="T92" i="2"/>
  <c r="R92" i="2" s="1"/>
  <c r="N93" i="2"/>
  <c r="S93" i="2"/>
  <c r="Q93" i="2" s="1"/>
  <c r="T93" i="2"/>
  <c r="R93" i="2" s="1"/>
  <c r="N94" i="2"/>
  <c r="S94" i="2"/>
  <c r="Q94" i="2" s="1"/>
  <c r="T94" i="2"/>
  <c r="R94" i="2" s="1"/>
  <c r="N95" i="2"/>
  <c r="S95" i="2"/>
  <c r="Q95" i="2" s="1"/>
  <c r="T95" i="2"/>
  <c r="R95" i="2" s="1"/>
  <c r="N96" i="2"/>
  <c r="S96" i="2"/>
  <c r="Q96" i="2" s="1"/>
  <c r="T96" i="2"/>
  <c r="R96" i="2" s="1"/>
  <c r="N97" i="2"/>
  <c r="S97" i="2"/>
  <c r="Q97" i="2" s="1"/>
  <c r="T97" i="2"/>
  <c r="R97" i="2" s="1"/>
  <c r="N98" i="2"/>
  <c r="S98" i="2"/>
  <c r="Q98" i="2" s="1"/>
  <c r="T98" i="2"/>
  <c r="R98" i="2" s="1"/>
  <c r="N99" i="2"/>
  <c r="S99" i="2"/>
  <c r="Q99" i="2" s="1"/>
  <c r="T99" i="2"/>
  <c r="R99" i="2" s="1"/>
  <c r="N100" i="2"/>
  <c r="S100" i="2"/>
  <c r="Q100" i="2" s="1"/>
  <c r="T100" i="2"/>
  <c r="R100" i="2" s="1"/>
  <c r="N101" i="2"/>
  <c r="S101" i="2"/>
  <c r="Q101" i="2" s="1"/>
  <c r="T101" i="2"/>
  <c r="R101" i="2" s="1"/>
  <c r="N102" i="2"/>
  <c r="S102" i="2"/>
  <c r="Q102" i="2" s="1"/>
  <c r="T102" i="2"/>
  <c r="R102" i="2" s="1"/>
  <c r="N103" i="2"/>
  <c r="S103" i="2"/>
  <c r="Q103" i="2" s="1"/>
  <c r="T103" i="2"/>
  <c r="R103" i="2" s="1"/>
  <c r="N104" i="2"/>
  <c r="S104" i="2"/>
  <c r="Q104" i="2" s="1"/>
  <c r="T104" i="2"/>
  <c r="R104" i="2" s="1"/>
  <c r="N105" i="2"/>
  <c r="S105" i="2"/>
  <c r="Q105" i="2" s="1"/>
  <c r="T105" i="2"/>
  <c r="R105" i="2" s="1"/>
  <c r="N106" i="2"/>
  <c r="S106" i="2"/>
  <c r="Q106" i="2" s="1"/>
  <c r="T106" i="2"/>
  <c r="R106" i="2" s="1"/>
  <c r="N107" i="2"/>
  <c r="S107" i="2"/>
  <c r="Q107" i="2" s="1"/>
  <c r="T107" i="2"/>
  <c r="R107" i="2" s="1"/>
  <c r="N108" i="2"/>
  <c r="S108" i="2"/>
  <c r="Q108" i="2" s="1"/>
  <c r="T108" i="2"/>
  <c r="R108" i="2" s="1"/>
  <c r="N109" i="2"/>
  <c r="S109" i="2"/>
  <c r="Q109" i="2" s="1"/>
  <c r="T109" i="2"/>
  <c r="R109" i="2" s="1"/>
  <c r="N110" i="2"/>
  <c r="S110" i="2"/>
  <c r="Q110" i="2" s="1"/>
  <c r="T110" i="2"/>
  <c r="R110" i="2" s="1"/>
  <c r="N111" i="2"/>
  <c r="S111" i="2"/>
  <c r="Q111" i="2" s="1"/>
  <c r="T111" i="2"/>
  <c r="R111" i="2" s="1"/>
  <c r="N112" i="2"/>
  <c r="S112" i="2"/>
  <c r="Q112" i="2" s="1"/>
  <c r="T112" i="2"/>
  <c r="R112" i="2" s="1"/>
  <c r="N113" i="2"/>
  <c r="S113" i="2"/>
  <c r="Q113" i="2" s="1"/>
  <c r="T113" i="2"/>
  <c r="R113" i="2" s="1"/>
  <c r="N114" i="2"/>
  <c r="S114" i="2"/>
  <c r="Q114" i="2" s="1"/>
  <c r="T114" i="2"/>
  <c r="R114" i="2" s="1"/>
  <c r="N115" i="2"/>
  <c r="S115" i="2"/>
  <c r="Q115" i="2" s="1"/>
  <c r="T115" i="2"/>
  <c r="R115" i="2" s="1"/>
  <c r="N116" i="2"/>
  <c r="S116" i="2"/>
  <c r="Q116" i="2" s="1"/>
  <c r="T116" i="2"/>
  <c r="R116" i="2" s="1"/>
  <c r="N117" i="2"/>
  <c r="S117" i="2"/>
  <c r="Q117" i="2" s="1"/>
  <c r="T117" i="2"/>
  <c r="R117" i="2" s="1"/>
  <c r="N118" i="2"/>
  <c r="S118" i="2"/>
  <c r="Q118" i="2" s="1"/>
  <c r="T118" i="2"/>
  <c r="R118" i="2" s="1"/>
  <c r="N119" i="2"/>
  <c r="S119" i="2"/>
  <c r="Q119" i="2" s="1"/>
  <c r="T119" i="2"/>
  <c r="R119" i="2" s="1"/>
  <c r="N120" i="2"/>
  <c r="S120" i="2"/>
  <c r="Q120" i="2" s="1"/>
  <c r="T120" i="2"/>
  <c r="R120" i="2" s="1"/>
  <c r="N121" i="2"/>
  <c r="S121" i="2"/>
  <c r="Q121" i="2" s="1"/>
  <c r="T121" i="2"/>
  <c r="R121" i="2" s="1"/>
  <c r="N122" i="2"/>
  <c r="S122" i="2"/>
  <c r="Q122" i="2" s="1"/>
  <c r="T122" i="2"/>
  <c r="R122" i="2" s="1"/>
  <c r="N123" i="2"/>
  <c r="S123" i="2"/>
  <c r="Q123" i="2" s="1"/>
  <c r="T123" i="2"/>
  <c r="R123" i="2" s="1"/>
  <c r="N124" i="2"/>
  <c r="S124" i="2"/>
  <c r="Q124" i="2" s="1"/>
  <c r="T124" i="2"/>
  <c r="R124" i="2" s="1"/>
  <c r="N125" i="2"/>
  <c r="S125" i="2"/>
  <c r="Q125" i="2" s="1"/>
  <c r="T125" i="2"/>
  <c r="R125" i="2" s="1"/>
  <c r="N126" i="2"/>
  <c r="S126" i="2"/>
  <c r="Q126" i="2" s="1"/>
  <c r="T126" i="2"/>
  <c r="R126" i="2" s="1"/>
  <c r="N127" i="2"/>
  <c r="S127" i="2"/>
  <c r="Q127" i="2" s="1"/>
  <c r="T127" i="2"/>
  <c r="R127" i="2" s="1"/>
  <c r="N128" i="2"/>
  <c r="S128" i="2"/>
  <c r="Q128" i="2" s="1"/>
  <c r="T128" i="2"/>
  <c r="R128" i="2" s="1"/>
  <c r="N129" i="2"/>
  <c r="S129" i="2"/>
  <c r="Q129" i="2" s="1"/>
  <c r="T129" i="2"/>
  <c r="R129" i="2" s="1"/>
  <c r="N130" i="2"/>
  <c r="S130" i="2"/>
  <c r="Q130" i="2" s="1"/>
  <c r="T130" i="2"/>
  <c r="R130" i="2" s="1"/>
  <c r="N131" i="2"/>
  <c r="S131" i="2"/>
  <c r="Q131" i="2" s="1"/>
  <c r="T131" i="2"/>
  <c r="R131" i="2" s="1"/>
  <c r="N132" i="2"/>
  <c r="S132" i="2"/>
  <c r="Q132" i="2" s="1"/>
  <c r="T132" i="2"/>
  <c r="R132" i="2" s="1"/>
  <c r="N133" i="2"/>
  <c r="S133" i="2"/>
  <c r="Q133" i="2" s="1"/>
  <c r="T133" i="2"/>
  <c r="R133" i="2" s="1"/>
  <c r="N134" i="2"/>
  <c r="S134" i="2"/>
  <c r="Q134" i="2" s="1"/>
  <c r="T134" i="2"/>
  <c r="R134" i="2" s="1"/>
  <c r="N135" i="2"/>
  <c r="S135" i="2"/>
  <c r="Q135" i="2" s="1"/>
  <c r="T135" i="2"/>
  <c r="R135" i="2" s="1"/>
  <c r="N136" i="2"/>
  <c r="S136" i="2"/>
  <c r="Q136" i="2" s="1"/>
  <c r="T136" i="2"/>
  <c r="R136" i="2" s="1"/>
  <c r="N137" i="2"/>
  <c r="S137" i="2"/>
  <c r="Q137" i="2" s="1"/>
  <c r="T137" i="2"/>
  <c r="R137" i="2" s="1"/>
  <c r="N138" i="2"/>
  <c r="S138" i="2"/>
  <c r="Q138" i="2" s="1"/>
  <c r="T138" i="2"/>
  <c r="R138" i="2" s="1"/>
  <c r="N139" i="2"/>
  <c r="S139" i="2"/>
  <c r="Q139" i="2" s="1"/>
  <c r="T139" i="2"/>
  <c r="R139" i="2" s="1"/>
  <c r="N140" i="2"/>
  <c r="S140" i="2"/>
  <c r="Q140" i="2" s="1"/>
  <c r="T140" i="2"/>
  <c r="R140" i="2" s="1"/>
  <c r="N141" i="2"/>
  <c r="S141" i="2"/>
  <c r="Q141" i="2" s="1"/>
  <c r="T141" i="2"/>
  <c r="R141" i="2" s="1"/>
  <c r="N142" i="2"/>
  <c r="S142" i="2"/>
  <c r="Q142" i="2" s="1"/>
  <c r="T142" i="2"/>
  <c r="R142" i="2" s="1"/>
  <c r="N143" i="2"/>
  <c r="S143" i="2"/>
  <c r="Q143" i="2" s="1"/>
  <c r="T143" i="2"/>
  <c r="R143" i="2" s="1"/>
  <c r="N144" i="2"/>
  <c r="S144" i="2"/>
  <c r="Q144" i="2" s="1"/>
  <c r="T144" i="2"/>
  <c r="R144" i="2" s="1"/>
  <c r="N145" i="2"/>
  <c r="S145" i="2"/>
  <c r="Q145" i="2" s="1"/>
  <c r="T145" i="2"/>
  <c r="R145" i="2" s="1"/>
  <c r="N146" i="2"/>
  <c r="S146" i="2"/>
  <c r="Q146" i="2" s="1"/>
  <c r="T146" i="2"/>
  <c r="R146" i="2" s="1"/>
  <c r="N147" i="2"/>
  <c r="S147" i="2"/>
  <c r="Q147" i="2" s="1"/>
  <c r="T147" i="2"/>
  <c r="R147" i="2" s="1"/>
  <c r="N148" i="2"/>
  <c r="S148" i="2"/>
  <c r="Q148" i="2" s="1"/>
  <c r="T148" i="2"/>
  <c r="R148" i="2" s="1"/>
  <c r="N149" i="2"/>
  <c r="S149" i="2"/>
  <c r="Q149" i="2" s="1"/>
  <c r="T149" i="2"/>
  <c r="R149" i="2" s="1"/>
  <c r="N150" i="2"/>
  <c r="S150" i="2"/>
  <c r="Q150" i="2" s="1"/>
  <c r="T150" i="2"/>
  <c r="R150" i="2" s="1"/>
  <c r="N151" i="2"/>
  <c r="S151" i="2"/>
  <c r="Q151" i="2" s="1"/>
  <c r="T151" i="2"/>
  <c r="R151" i="2" s="1"/>
  <c r="N152" i="2"/>
  <c r="S152" i="2"/>
  <c r="Q152" i="2" s="1"/>
  <c r="T152" i="2"/>
  <c r="R152" i="2" s="1"/>
  <c r="N153" i="2"/>
  <c r="S153" i="2"/>
  <c r="Q153" i="2" s="1"/>
  <c r="T153" i="2"/>
  <c r="R153" i="2" s="1"/>
  <c r="N154" i="2"/>
  <c r="S154" i="2"/>
  <c r="Q154" i="2" s="1"/>
  <c r="T154" i="2"/>
  <c r="R154" i="2" s="1"/>
  <c r="N155" i="2"/>
  <c r="S155" i="2"/>
  <c r="Q155" i="2" s="1"/>
  <c r="T155" i="2"/>
  <c r="R155" i="2" s="1"/>
  <c r="N156" i="2"/>
  <c r="S156" i="2"/>
  <c r="Q156" i="2" s="1"/>
  <c r="T156" i="2"/>
  <c r="R156" i="2" s="1"/>
  <c r="N157" i="2"/>
  <c r="S157" i="2"/>
  <c r="Q157" i="2" s="1"/>
  <c r="T157" i="2"/>
  <c r="R157" i="2" s="1"/>
  <c r="N158" i="2"/>
  <c r="S158" i="2"/>
  <c r="Q158" i="2" s="1"/>
  <c r="T158" i="2"/>
  <c r="R158" i="2" s="1"/>
  <c r="N159" i="2"/>
  <c r="S159" i="2"/>
  <c r="Q159" i="2" s="1"/>
  <c r="T159" i="2"/>
  <c r="R159" i="2" s="1"/>
  <c r="N160" i="2"/>
  <c r="S160" i="2"/>
  <c r="Q160" i="2" s="1"/>
  <c r="T160" i="2"/>
  <c r="R160" i="2" s="1"/>
  <c r="N161" i="2"/>
  <c r="S161" i="2"/>
  <c r="Q161" i="2" s="1"/>
  <c r="T161" i="2"/>
  <c r="R161" i="2" s="1"/>
  <c r="N162" i="2"/>
  <c r="S162" i="2"/>
  <c r="Q162" i="2" s="1"/>
  <c r="T162" i="2"/>
  <c r="R162" i="2" s="1"/>
  <c r="N163" i="2"/>
  <c r="S163" i="2"/>
  <c r="Q163" i="2" s="1"/>
  <c r="T163" i="2"/>
  <c r="R163" i="2" s="1"/>
  <c r="N164" i="2"/>
  <c r="S164" i="2"/>
  <c r="Q164" i="2" s="1"/>
  <c r="T164" i="2"/>
  <c r="R164" i="2" s="1"/>
  <c r="N165" i="2"/>
  <c r="S165" i="2"/>
  <c r="Q165" i="2" s="1"/>
  <c r="T165" i="2"/>
  <c r="R165" i="2" s="1"/>
  <c r="N166" i="2"/>
  <c r="S166" i="2"/>
  <c r="Q166" i="2" s="1"/>
  <c r="T166" i="2"/>
  <c r="R166" i="2" s="1"/>
  <c r="N167" i="2"/>
  <c r="S167" i="2"/>
  <c r="Q167" i="2" s="1"/>
  <c r="T167" i="2"/>
  <c r="R167" i="2" s="1"/>
  <c r="N168" i="2"/>
  <c r="S168" i="2"/>
  <c r="Q168" i="2" s="1"/>
  <c r="T168" i="2"/>
  <c r="R168" i="2" s="1"/>
  <c r="N169" i="2"/>
  <c r="S169" i="2"/>
  <c r="Q169" i="2" s="1"/>
  <c r="T169" i="2"/>
  <c r="R169" i="2" s="1"/>
  <c r="N170" i="2"/>
  <c r="S170" i="2"/>
  <c r="Q170" i="2" s="1"/>
  <c r="T170" i="2"/>
  <c r="R170" i="2" s="1"/>
  <c r="N171" i="2"/>
  <c r="S171" i="2"/>
  <c r="Q171" i="2" s="1"/>
  <c r="T171" i="2"/>
  <c r="R171" i="2" s="1"/>
  <c r="N172" i="2"/>
  <c r="S172" i="2"/>
  <c r="Q172" i="2" s="1"/>
  <c r="T172" i="2"/>
  <c r="R172" i="2" s="1"/>
  <c r="N173" i="2"/>
  <c r="S173" i="2"/>
  <c r="Q173" i="2" s="1"/>
  <c r="T173" i="2"/>
  <c r="R173" i="2" s="1"/>
  <c r="N174" i="2"/>
  <c r="S174" i="2"/>
  <c r="Q174" i="2" s="1"/>
  <c r="T174" i="2"/>
  <c r="R174" i="2" s="1"/>
  <c r="N175" i="2"/>
  <c r="S175" i="2"/>
  <c r="Q175" i="2" s="1"/>
  <c r="T175" i="2"/>
  <c r="R175" i="2" s="1"/>
  <c r="N176" i="2"/>
  <c r="S176" i="2"/>
  <c r="Q176" i="2" s="1"/>
  <c r="T176" i="2"/>
  <c r="R176" i="2" s="1"/>
  <c r="N177" i="2"/>
  <c r="S177" i="2"/>
  <c r="Q177" i="2" s="1"/>
  <c r="T177" i="2"/>
  <c r="R177" i="2" s="1"/>
  <c r="N178" i="2"/>
  <c r="S178" i="2"/>
  <c r="Q178" i="2" s="1"/>
  <c r="T178" i="2"/>
  <c r="R178" i="2" s="1"/>
  <c r="N179" i="2"/>
  <c r="S179" i="2"/>
  <c r="Q179" i="2" s="1"/>
  <c r="T179" i="2"/>
  <c r="R179" i="2" s="1"/>
  <c r="N180" i="2"/>
  <c r="S180" i="2"/>
  <c r="Q180" i="2" s="1"/>
  <c r="T180" i="2"/>
  <c r="R180" i="2" s="1"/>
  <c r="N181" i="2"/>
  <c r="S181" i="2"/>
  <c r="Q181" i="2" s="1"/>
  <c r="T181" i="2"/>
  <c r="R181" i="2" s="1"/>
  <c r="N182" i="2"/>
  <c r="S182" i="2"/>
  <c r="Q182" i="2" s="1"/>
  <c r="T182" i="2"/>
  <c r="R182" i="2" s="1"/>
  <c r="N183" i="2"/>
  <c r="S183" i="2"/>
  <c r="Q183" i="2" s="1"/>
  <c r="T183" i="2"/>
  <c r="R183" i="2" s="1"/>
  <c r="N184" i="2"/>
  <c r="S184" i="2"/>
  <c r="Q184" i="2" s="1"/>
  <c r="T184" i="2"/>
  <c r="R184" i="2" s="1"/>
  <c r="N185" i="2"/>
  <c r="S185" i="2"/>
  <c r="Q185" i="2" s="1"/>
  <c r="T185" i="2"/>
  <c r="R185" i="2" s="1"/>
  <c r="N186" i="2"/>
  <c r="S186" i="2"/>
  <c r="Q186" i="2" s="1"/>
  <c r="T186" i="2"/>
  <c r="R186" i="2" s="1"/>
  <c r="N187" i="2"/>
  <c r="S187" i="2"/>
  <c r="Q187" i="2" s="1"/>
  <c r="T187" i="2"/>
  <c r="R187" i="2" s="1"/>
  <c r="N188" i="2"/>
  <c r="S188" i="2"/>
  <c r="Q188" i="2" s="1"/>
  <c r="T188" i="2"/>
  <c r="R188" i="2" s="1"/>
  <c r="N189" i="2"/>
  <c r="S189" i="2"/>
  <c r="Q189" i="2" s="1"/>
  <c r="T189" i="2"/>
  <c r="R189" i="2" s="1"/>
  <c r="N190" i="2"/>
  <c r="S190" i="2"/>
  <c r="Q190" i="2" s="1"/>
  <c r="T190" i="2"/>
  <c r="R190" i="2" s="1"/>
  <c r="N191" i="2"/>
  <c r="S191" i="2"/>
  <c r="Q191" i="2" s="1"/>
  <c r="T191" i="2"/>
  <c r="R191" i="2" s="1"/>
  <c r="N192" i="2"/>
  <c r="S192" i="2"/>
  <c r="Q192" i="2" s="1"/>
  <c r="T192" i="2"/>
  <c r="R192" i="2" s="1"/>
  <c r="N193" i="2"/>
  <c r="S193" i="2"/>
  <c r="Q193" i="2" s="1"/>
  <c r="T193" i="2"/>
  <c r="R193" i="2" s="1"/>
  <c r="N194" i="2"/>
  <c r="S194" i="2"/>
  <c r="Q194" i="2" s="1"/>
  <c r="T194" i="2"/>
  <c r="R194" i="2" s="1"/>
  <c r="N195" i="2"/>
  <c r="S195" i="2"/>
  <c r="Q195" i="2" s="1"/>
  <c r="T195" i="2"/>
  <c r="R195" i="2" s="1"/>
  <c r="N196" i="2"/>
  <c r="S196" i="2"/>
  <c r="Q196" i="2" s="1"/>
  <c r="T196" i="2"/>
  <c r="R196" i="2" s="1"/>
  <c r="N197" i="2"/>
  <c r="S197" i="2"/>
  <c r="Q197" i="2" s="1"/>
  <c r="T197" i="2"/>
  <c r="R197" i="2" s="1"/>
  <c r="N198" i="2"/>
  <c r="S198" i="2"/>
  <c r="Q198" i="2" s="1"/>
  <c r="T198" i="2"/>
  <c r="R198" i="2" s="1"/>
  <c r="N199" i="2"/>
  <c r="S199" i="2"/>
  <c r="Q199" i="2" s="1"/>
  <c r="T199" i="2"/>
  <c r="R199" i="2" s="1"/>
  <c r="N200" i="2"/>
  <c r="S200" i="2"/>
  <c r="Q200" i="2" s="1"/>
  <c r="T200" i="2"/>
  <c r="R200" i="2" s="1"/>
  <c r="N201" i="2"/>
  <c r="S201" i="2"/>
  <c r="Q201" i="2" s="1"/>
  <c r="T201" i="2"/>
  <c r="R201" i="2" s="1"/>
  <c r="N202" i="2"/>
  <c r="S202" i="2"/>
  <c r="Q202" i="2" s="1"/>
  <c r="T202" i="2"/>
  <c r="R202" i="2" s="1"/>
  <c r="N203" i="2"/>
  <c r="S203" i="2"/>
  <c r="Q203" i="2" s="1"/>
  <c r="T203" i="2"/>
  <c r="R203" i="2" s="1"/>
  <c r="N204" i="2"/>
  <c r="S204" i="2"/>
  <c r="Q204" i="2" s="1"/>
  <c r="T204" i="2"/>
  <c r="R204" i="2" s="1"/>
  <c r="N205" i="2"/>
  <c r="S205" i="2"/>
  <c r="Q205" i="2" s="1"/>
  <c r="T205" i="2"/>
  <c r="R205" i="2" s="1"/>
  <c r="N206" i="2"/>
  <c r="S206" i="2"/>
  <c r="Q206" i="2" s="1"/>
  <c r="T206" i="2"/>
  <c r="R206" i="2" s="1"/>
  <c r="N207" i="2"/>
  <c r="S207" i="2"/>
  <c r="Q207" i="2" s="1"/>
  <c r="T207" i="2"/>
  <c r="R207" i="2" s="1"/>
  <c r="N208" i="2"/>
  <c r="S208" i="2"/>
  <c r="Q208" i="2" s="1"/>
  <c r="T208" i="2"/>
  <c r="R208" i="2" s="1"/>
  <c r="N209" i="2"/>
  <c r="S209" i="2"/>
  <c r="Q209" i="2" s="1"/>
  <c r="T209" i="2"/>
  <c r="R209" i="2" s="1"/>
  <c r="N210" i="2"/>
  <c r="S210" i="2"/>
  <c r="Q210" i="2" s="1"/>
  <c r="T210" i="2"/>
  <c r="R210" i="2" s="1"/>
  <c r="N211" i="2"/>
  <c r="S211" i="2"/>
  <c r="Q211" i="2" s="1"/>
  <c r="T211" i="2"/>
  <c r="R211" i="2" s="1"/>
  <c r="N212" i="2"/>
  <c r="S212" i="2"/>
  <c r="Q212" i="2" s="1"/>
  <c r="T212" i="2"/>
  <c r="R212" i="2" s="1"/>
  <c r="N213" i="2"/>
  <c r="S213" i="2"/>
  <c r="Q213" i="2" s="1"/>
  <c r="T213" i="2"/>
  <c r="R213" i="2" s="1"/>
  <c r="N214" i="2"/>
  <c r="S214" i="2"/>
  <c r="Q214" i="2" s="1"/>
  <c r="T214" i="2"/>
  <c r="R214" i="2" s="1"/>
  <c r="N215" i="2"/>
  <c r="S215" i="2"/>
  <c r="Q215" i="2" s="1"/>
  <c r="T215" i="2"/>
  <c r="R215" i="2" s="1"/>
  <c r="N216" i="2"/>
  <c r="S216" i="2"/>
  <c r="Q216" i="2" s="1"/>
  <c r="T216" i="2"/>
  <c r="R216" i="2" s="1"/>
  <c r="N217" i="2"/>
  <c r="S217" i="2"/>
  <c r="Q217" i="2" s="1"/>
  <c r="T217" i="2"/>
  <c r="R217" i="2" s="1"/>
  <c r="N218" i="2"/>
  <c r="S218" i="2"/>
  <c r="Q218" i="2" s="1"/>
  <c r="T218" i="2"/>
  <c r="R218" i="2" s="1"/>
  <c r="N219" i="2"/>
  <c r="S219" i="2"/>
  <c r="Q219" i="2" s="1"/>
  <c r="T219" i="2"/>
  <c r="R219" i="2" s="1"/>
  <c r="N220" i="2"/>
  <c r="S220" i="2"/>
  <c r="Q220" i="2" s="1"/>
  <c r="T220" i="2"/>
  <c r="R220" i="2" s="1"/>
  <c r="N221" i="2"/>
  <c r="S221" i="2"/>
  <c r="Q221" i="2" s="1"/>
  <c r="T221" i="2"/>
  <c r="R221" i="2" s="1"/>
  <c r="N222" i="2"/>
  <c r="S222" i="2"/>
  <c r="Q222" i="2" s="1"/>
  <c r="T222" i="2"/>
  <c r="R222" i="2" s="1"/>
  <c r="N223" i="2"/>
  <c r="S223" i="2"/>
  <c r="Q223" i="2" s="1"/>
  <c r="T223" i="2"/>
  <c r="R223" i="2" s="1"/>
  <c r="N224" i="2"/>
  <c r="S224" i="2"/>
  <c r="Q224" i="2" s="1"/>
  <c r="T224" i="2"/>
  <c r="R224" i="2" s="1"/>
  <c r="N225" i="2"/>
  <c r="S225" i="2"/>
  <c r="Q225" i="2" s="1"/>
  <c r="T225" i="2"/>
  <c r="R225" i="2" s="1"/>
  <c r="N226" i="2"/>
  <c r="S226" i="2"/>
  <c r="Q226" i="2" s="1"/>
  <c r="T226" i="2"/>
  <c r="R226" i="2" s="1"/>
  <c r="N227" i="2"/>
  <c r="S227" i="2"/>
  <c r="Q227" i="2" s="1"/>
  <c r="T227" i="2"/>
  <c r="R227" i="2" s="1"/>
  <c r="N228" i="2"/>
  <c r="S228" i="2"/>
  <c r="Q228" i="2" s="1"/>
  <c r="T228" i="2"/>
  <c r="R228" i="2" s="1"/>
  <c r="N229" i="2"/>
  <c r="S229" i="2"/>
  <c r="Q229" i="2" s="1"/>
  <c r="T229" i="2"/>
  <c r="R229" i="2" s="1"/>
  <c r="N230" i="2"/>
  <c r="S230" i="2"/>
  <c r="Q230" i="2" s="1"/>
  <c r="T230" i="2"/>
  <c r="R230" i="2" s="1"/>
  <c r="N231" i="2"/>
  <c r="S231" i="2"/>
  <c r="Q231" i="2" s="1"/>
  <c r="T231" i="2"/>
  <c r="R231" i="2" s="1"/>
  <c r="N232" i="2"/>
  <c r="S232" i="2"/>
  <c r="Q232" i="2" s="1"/>
  <c r="T232" i="2"/>
  <c r="R232" i="2" s="1"/>
  <c r="N233" i="2"/>
  <c r="S233" i="2"/>
  <c r="Q233" i="2" s="1"/>
  <c r="T233" i="2"/>
  <c r="R233" i="2" s="1"/>
  <c r="N234" i="2"/>
  <c r="S234" i="2"/>
  <c r="Q234" i="2" s="1"/>
  <c r="T234" i="2"/>
  <c r="R234" i="2" s="1"/>
  <c r="N235" i="2"/>
  <c r="S235" i="2"/>
  <c r="Q235" i="2" s="1"/>
  <c r="T235" i="2"/>
  <c r="R235" i="2" s="1"/>
  <c r="N236" i="2"/>
  <c r="S236" i="2"/>
  <c r="Q236" i="2" s="1"/>
  <c r="T236" i="2"/>
  <c r="R236" i="2" s="1"/>
  <c r="N237" i="2"/>
  <c r="S237" i="2"/>
  <c r="Q237" i="2" s="1"/>
  <c r="T237" i="2"/>
  <c r="R237" i="2" s="1"/>
  <c r="N238" i="2"/>
  <c r="S238" i="2"/>
  <c r="Q238" i="2" s="1"/>
  <c r="T238" i="2"/>
  <c r="R238" i="2" s="1"/>
  <c r="N239" i="2"/>
  <c r="S239" i="2"/>
  <c r="Q239" i="2" s="1"/>
  <c r="T239" i="2"/>
  <c r="R239" i="2" s="1"/>
  <c r="N240" i="2"/>
  <c r="S240" i="2"/>
  <c r="Q240" i="2" s="1"/>
  <c r="T240" i="2"/>
  <c r="R240" i="2" s="1"/>
  <c r="N241" i="2"/>
  <c r="S241" i="2"/>
  <c r="Q241" i="2" s="1"/>
  <c r="T241" i="2"/>
  <c r="R241" i="2" s="1"/>
  <c r="N242" i="2"/>
  <c r="S242" i="2"/>
  <c r="Q242" i="2" s="1"/>
  <c r="T242" i="2"/>
  <c r="R242" i="2" s="1"/>
  <c r="N243" i="2"/>
  <c r="S243" i="2"/>
  <c r="Q243" i="2" s="1"/>
  <c r="T243" i="2"/>
  <c r="R243" i="2" s="1"/>
  <c r="N244" i="2"/>
  <c r="S244" i="2"/>
  <c r="Q244" i="2" s="1"/>
  <c r="T244" i="2"/>
  <c r="R244" i="2" s="1"/>
  <c r="N245" i="2"/>
  <c r="S245" i="2"/>
  <c r="Q245" i="2" s="1"/>
  <c r="T245" i="2"/>
  <c r="R245" i="2" s="1"/>
  <c r="N246" i="2"/>
  <c r="S246" i="2"/>
  <c r="Q246" i="2" s="1"/>
  <c r="T246" i="2"/>
  <c r="R246" i="2" s="1"/>
  <c r="N247" i="2"/>
  <c r="S247" i="2"/>
  <c r="Q247" i="2" s="1"/>
  <c r="T247" i="2"/>
  <c r="R247" i="2" s="1"/>
  <c r="S248" i="2"/>
  <c r="Q248" i="2" s="1"/>
  <c r="T248" i="2"/>
  <c r="R248" i="2" s="1"/>
  <c r="N249" i="2"/>
  <c r="S249" i="2"/>
  <c r="Q249" i="2" s="1"/>
  <c r="T249" i="2"/>
  <c r="R249" i="2" s="1"/>
  <c r="N250" i="2"/>
  <c r="S250" i="2"/>
  <c r="Q250" i="2" s="1"/>
  <c r="T250" i="2"/>
  <c r="R250" i="2" s="1"/>
  <c r="N251" i="2"/>
  <c r="S251" i="2"/>
  <c r="Q251" i="2" s="1"/>
  <c r="T251" i="2"/>
  <c r="R251" i="2" s="1"/>
  <c r="N252" i="2"/>
  <c r="S252" i="2"/>
  <c r="Q252" i="2" s="1"/>
  <c r="T252" i="2"/>
  <c r="R252" i="2" s="1"/>
  <c r="N253" i="2"/>
  <c r="S253" i="2"/>
  <c r="Q253" i="2" s="1"/>
  <c r="T253" i="2"/>
  <c r="R253" i="2" s="1"/>
  <c r="N254" i="2"/>
  <c r="S254" i="2"/>
  <c r="Q254" i="2" s="1"/>
  <c r="T254" i="2"/>
  <c r="R254" i="2" s="1"/>
  <c r="N255" i="2"/>
  <c r="S255" i="2"/>
  <c r="Q255" i="2" s="1"/>
  <c r="T255" i="2"/>
  <c r="R255" i="2" s="1"/>
  <c r="N256" i="2"/>
  <c r="S256" i="2"/>
  <c r="Q256" i="2" s="1"/>
  <c r="T256" i="2"/>
  <c r="R256" i="2" s="1"/>
  <c r="N257" i="2"/>
  <c r="S257" i="2"/>
  <c r="Q257" i="2" s="1"/>
  <c r="T257" i="2"/>
  <c r="R257" i="2" s="1"/>
  <c r="N258" i="2"/>
  <c r="S258" i="2"/>
  <c r="Q258" i="2" s="1"/>
  <c r="T258" i="2"/>
  <c r="R258" i="2" s="1"/>
  <c r="N259" i="2"/>
  <c r="S259" i="2"/>
  <c r="Q259" i="2" s="1"/>
  <c r="T259" i="2"/>
  <c r="R259" i="2" s="1"/>
  <c r="N260" i="2"/>
  <c r="S260" i="2"/>
  <c r="Q260" i="2" s="1"/>
  <c r="T260" i="2"/>
  <c r="R260" i="2" s="1"/>
  <c r="N261" i="2"/>
  <c r="S261" i="2"/>
  <c r="Q261" i="2" s="1"/>
  <c r="T261" i="2"/>
  <c r="R261" i="2" s="1"/>
  <c r="N262" i="2"/>
  <c r="S262" i="2"/>
  <c r="Q262" i="2" s="1"/>
  <c r="T262" i="2"/>
  <c r="R262" i="2" s="1"/>
  <c r="N263" i="2"/>
  <c r="S263" i="2"/>
  <c r="Q263" i="2" s="1"/>
  <c r="T263" i="2"/>
  <c r="R263" i="2" s="1"/>
  <c r="N264" i="2"/>
  <c r="S264" i="2"/>
  <c r="Q264" i="2" s="1"/>
  <c r="T264" i="2"/>
  <c r="R264" i="2" s="1"/>
  <c r="N265" i="2"/>
  <c r="S265" i="2"/>
  <c r="Q265" i="2" s="1"/>
  <c r="T265" i="2"/>
  <c r="R265" i="2" s="1"/>
  <c r="N266" i="2"/>
  <c r="S266" i="2"/>
  <c r="Q266" i="2" s="1"/>
  <c r="T266" i="2"/>
  <c r="R266" i="2" s="1"/>
  <c r="N267" i="2"/>
  <c r="S267" i="2"/>
  <c r="Q267" i="2" s="1"/>
  <c r="T267" i="2"/>
  <c r="R267" i="2" s="1"/>
  <c r="N268" i="2"/>
  <c r="S268" i="2"/>
  <c r="Q268" i="2" s="1"/>
  <c r="T268" i="2"/>
  <c r="R268" i="2" s="1"/>
  <c r="N269" i="2"/>
  <c r="S269" i="2"/>
  <c r="Q269" i="2" s="1"/>
  <c r="T269" i="2"/>
  <c r="R269" i="2" s="1"/>
  <c r="N270" i="2"/>
  <c r="S270" i="2"/>
  <c r="Q270" i="2" s="1"/>
  <c r="T270" i="2"/>
  <c r="R270" i="2" s="1"/>
  <c r="N271" i="2"/>
  <c r="S271" i="2"/>
  <c r="Q271" i="2" s="1"/>
  <c r="T271" i="2"/>
  <c r="R271" i="2" s="1"/>
  <c r="N272" i="2"/>
  <c r="S272" i="2"/>
  <c r="Q272" i="2" s="1"/>
  <c r="T272" i="2"/>
  <c r="R272" i="2" s="1"/>
  <c r="N273" i="2"/>
  <c r="S273" i="2"/>
  <c r="Q273" i="2" s="1"/>
  <c r="T273" i="2"/>
  <c r="R273" i="2" s="1"/>
  <c r="N274" i="2"/>
  <c r="S274" i="2"/>
  <c r="Q274" i="2" s="1"/>
  <c r="T274" i="2"/>
  <c r="R274" i="2" s="1"/>
  <c r="N275" i="2"/>
  <c r="S275" i="2"/>
  <c r="Q275" i="2" s="1"/>
  <c r="T275" i="2"/>
  <c r="R275" i="2" s="1"/>
  <c r="N276" i="2"/>
  <c r="S276" i="2"/>
  <c r="Q276" i="2" s="1"/>
  <c r="T276" i="2"/>
  <c r="R276" i="2" s="1"/>
  <c r="N277" i="2"/>
  <c r="S277" i="2"/>
  <c r="Q277" i="2" s="1"/>
  <c r="T277" i="2"/>
  <c r="R277" i="2" s="1"/>
  <c r="N278" i="2"/>
  <c r="S278" i="2"/>
  <c r="Q278" i="2" s="1"/>
  <c r="T278" i="2"/>
  <c r="R278" i="2" s="1"/>
  <c r="N279" i="2"/>
  <c r="S279" i="2"/>
  <c r="Q279" i="2" s="1"/>
  <c r="T279" i="2"/>
  <c r="R279" i="2" s="1"/>
  <c r="N280" i="2"/>
  <c r="S280" i="2"/>
  <c r="Q280" i="2" s="1"/>
  <c r="T280" i="2"/>
  <c r="R280" i="2" s="1"/>
  <c r="N281" i="2"/>
  <c r="S281" i="2"/>
  <c r="Q281" i="2" s="1"/>
  <c r="T281" i="2"/>
  <c r="R281" i="2" s="1"/>
  <c r="N282" i="2"/>
  <c r="S282" i="2"/>
  <c r="Q282" i="2" s="1"/>
  <c r="T282" i="2"/>
  <c r="R282" i="2" s="1"/>
  <c r="N283" i="2"/>
  <c r="S283" i="2"/>
  <c r="Q283" i="2" s="1"/>
  <c r="T283" i="2"/>
  <c r="R283" i="2" s="1"/>
  <c r="N284" i="2"/>
  <c r="S284" i="2"/>
  <c r="Q284" i="2" s="1"/>
  <c r="T284" i="2"/>
  <c r="R284" i="2" s="1"/>
  <c r="N285" i="2"/>
  <c r="S285" i="2"/>
  <c r="Q285" i="2" s="1"/>
  <c r="T285" i="2"/>
  <c r="R285" i="2" s="1"/>
  <c r="N286" i="2"/>
  <c r="S286" i="2"/>
  <c r="Q286" i="2" s="1"/>
  <c r="T286" i="2"/>
  <c r="R286" i="2" s="1"/>
  <c r="N287" i="2"/>
  <c r="S287" i="2"/>
  <c r="Q287" i="2" s="1"/>
  <c r="T287" i="2"/>
  <c r="R287" i="2" s="1"/>
  <c r="N288" i="2"/>
  <c r="S288" i="2"/>
  <c r="Q288" i="2" s="1"/>
  <c r="T288" i="2"/>
  <c r="R288" i="2" s="1"/>
  <c r="N289" i="2"/>
  <c r="S289" i="2"/>
  <c r="Q289" i="2" s="1"/>
  <c r="T289" i="2"/>
  <c r="R289" i="2" s="1"/>
  <c r="N290" i="2"/>
  <c r="S290" i="2"/>
  <c r="Q290" i="2" s="1"/>
  <c r="T290" i="2"/>
  <c r="R290" i="2" s="1"/>
  <c r="N291" i="2"/>
  <c r="S291" i="2"/>
  <c r="Q291" i="2" s="1"/>
  <c r="T291" i="2"/>
  <c r="R291" i="2" s="1"/>
  <c r="N292" i="2"/>
  <c r="S292" i="2"/>
  <c r="Q292" i="2" s="1"/>
  <c r="T292" i="2"/>
  <c r="R292" i="2" s="1"/>
  <c r="N293" i="2"/>
  <c r="S293" i="2"/>
  <c r="Q293" i="2" s="1"/>
  <c r="T293" i="2"/>
  <c r="R293" i="2" s="1"/>
  <c r="N294" i="2"/>
  <c r="S294" i="2"/>
  <c r="Q294" i="2" s="1"/>
  <c r="T294" i="2"/>
  <c r="R294" i="2" s="1"/>
  <c r="N295" i="2"/>
  <c r="S295" i="2"/>
  <c r="Q295" i="2" s="1"/>
  <c r="T295" i="2"/>
  <c r="R295" i="2" s="1"/>
  <c r="N296" i="2"/>
  <c r="S296" i="2"/>
  <c r="Q296" i="2" s="1"/>
  <c r="T296" i="2"/>
  <c r="R296" i="2" s="1"/>
  <c r="N297" i="2"/>
  <c r="S297" i="2"/>
  <c r="Q297" i="2" s="1"/>
  <c r="T297" i="2"/>
  <c r="R297" i="2" s="1"/>
  <c r="N298" i="2"/>
  <c r="S298" i="2"/>
  <c r="Q298" i="2" s="1"/>
  <c r="T298" i="2"/>
  <c r="R298" i="2" s="1"/>
  <c r="N299" i="2"/>
  <c r="S299" i="2"/>
  <c r="Q299" i="2" s="1"/>
  <c r="T299" i="2"/>
  <c r="R299" i="2" s="1"/>
  <c r="N300" i="2"/>
  <c r="S300" i="2"/>
  <c r="Q300" i="2" s="1"/>
  <c r="T300" i="2"/>
  <c r="R300" i="2" s="1"/>
  <c r="N301" i="2"/>
  <c r="S301" i="2"/>
  <c r="Q301" i="2" s="1"/>
  <c r="T301" i="2"/>
  <c r="R301" i="2" s="1"/>
  <c r="N302" i="2"/>
  <c r="S302" i="2"/>
  <c r="Q302" i="2" s="1"/>
  <c r="T302" i="2"/>
  <c r="R302" i="2" s="1"/>
  <c r="N303" i="2"/>
  <c r="S303" i="2"/>
  <c r="Q303" i="2" s="1"/>
  <c r="T303" i="2"/>
  <c r="R303" i="2" s="1"/>
  <c r="N304" i="2"/>
  <c r="S304" i="2"/>
  <c r="Q304" i="2" s="1"/>
  <c r="T304" i="2"/>
  <c r="R304" i="2" s="1"/>
  <c r="N305" i="2"/>
  <c r="S305" i="2"/>
  <c r="Q305" i="2" s="1"/>
  <c r="T305" i="2"/>
  <c r="R305" i="2" s="1"/>
  <c r="N306" i="2"/>
  <c r="S306" i="2"/>
  <c r="Q306" i="2" s="1"/>
  <c r="T306" i="2"/>
  <c r="R306" i="2" s="1"/>
  <c r="N307" i="2"/>
  <c r="S307" i="2"/>
  <c r="Q307" i="2" s="1"/>
  <c r="T307" i="2"/>
  <c r="R307" i="2" s="1"/>
  <c r="N308" i="2"/>
  <c r="S308" i="2"/>
  <c r="Q308" i="2" s="1"/>
  <c r="T308" i="2"/>
  <c r="R308" i="2" s="1"/>
  <c r="N309" i="2"/>
  <c r="S309" i="2"/>
  <c r="Q309" i="2" s="1"/>
  <c r="T309" i="2"/>
  <c r="R309" i="2" s="1"/>
  <c r="N310" i="2"/>
  <c r="S310" i="2"/>
  <c r="Q310" i="2" s="1"/>
  <c r="T310" i="2"/>
  <c r="R310" i="2" s="1"/>
  <c r="N311" i="2"/>
  <c r="S311" i="2"/>
  <c r="Q311" i="2" s="1"/>
  <c r="T311" i="2"/>
  <c r="R311" i="2" s="1"/>
  <c r="N312" i="2"/>
  <c r="S312" i="2"/>
  <c r="Q312" i="2" s="1"/>
  <c r="T312" i="2"/>
  <c r="R312" i="2" s="1"/>
  <c r="N313" i="2"/>
  <c r="S313" i="2"/>
  <c r="Q313" i="2" s="1"/>
  <c r="T313" i="2"/>
  <c r="R313" i="2" s="1"/>
  <c r="N314" i="2"/>
  <c r="S314" i="2"/>
  <c r="Q314" i="2" s="1"/>
  <c r="T314" i="2"/>
  <c r="R314" i="2" s="1"/>
  <c r="N315" i="2"/>
  <c r="S315" i="2"/>
  <c r="Q315" i="2" s="1"/>
  <c r="T315" i="2"/>
  <c r="R315" i="2" s="1"/>
  <c r="N316" i="2"/>
  <c r="S316" i="2"/>
  <c r="Q316" i="2" s="1"/>
  <c r="T316" i="2"/>
  <c r="R316" i="2" s="1"/>
  <c r="N317" i="2"/>
  <c r="S317" i="2"/>
  <c r="Q317" i="2" s="1"/>
  <c r="T317" i="2"/>
  <c r="R317" i="2" s="1"/>
  <c r="N318" i="2"/>
  <c r="S318" i="2"/>
  <c r="Q318" i="2" s="1"/>
  <c r="T318" i="2"/>
  <c r="R318" i="2" s="1"/>
  <c r="N319" i="2"/>
  <c r="S319" i="2"/>
  <c r="Q319" i="2" s="1"/>
  <c r="T319" i="2"/>
  <c r="R319" i="2" s="1"/>
  <c r="N320" i="2"/>
  <c r="S320" i="2"/>
  <c r="Q320" i="2" s="1"/>
  <c r="T320" i="2"/>
  <c r="R320" i="2" s="1"/>
  <c r="N321" i="2"/>
  <c r="S321" i="2"/>
  <c r="Q321" i="2" s="1"/>
  <c r="T321" i="2"/>
  <c r="R321" i="2" s="1"/>
  <c r="N322" i="2"/>
  <c r="S322" i="2"/>
  <c r="Q322" i="2" s="1"/>
  <c r="T322" i="2"/>
  <c r="R322" i="2" s="1"/>
  <c r="N323" i="2"/>
  <c r="S323" i="2"/>
  <c r="Q323" i="2" s="1"/>
  <c r="T323" i="2"/>
  <c r="R323" i="2" s="1"/>
  <c r="N324" i="2"/>
  <c r="S324" i="2"/>
  <c r="Q324" i="2" s="1"/>
  <c r="T324" i="2"/>
  <c r="R324" i="2" s="1"/>
  <c r="N325" i="2"/>
  <c r="S325" i="2"/>
  <c r="Q325" i="2" s="1"/>
  <c r="T325" i="2"/>
  <c r="R325" i="2" s="1"/>
  <c r="N326" i="2"/>
  <c r="S326" i="2"/>
  <c r="Q326" i="2" s="1"/>
  <c r="T326" i="2"/>
  <c r="R326" i="2" s="1"/>
  <c r="N327" i="2"/>
  <c r="S327" i="2"/>
  <c r="Q327" i="2" s="1"/>
  <c r="T327" i="2"/>
  <c r="R327" i="2" s="1"/>
  <c r="N328" i="2"/>
  <c r="S328" i="2"/>
  <c r="Q328" i="2" s="1"/>
  <c r="T328" i="2"/>
  <c r="R328" i="2" s="1"/>
  <c r="N329" i="2"/>
  <c r="S329" i="2"/>
  <c r="Q329" i="2" s="1"/>
  <c r="T329" i="2"/>
  <c r="R329" i="2" s="1"/>
  <c r="N330" i="2"/>
  <c r="S330" i="2"/>
  <c r="Q330" i="2" s="1"/>
  <c r="T330" i="2"/>
  <c r="R330" i="2" s="1"/>
  <c r="N331" i="2"/>
  <c r="S331" i="2"/>
  <c r="Q331" i="2" s="1"/>
  <c r="T331" i="2"/>
  <c r="R331" i="2" s="1"/>
  <c r="N332" i="2"/>
  <c r="S332" i="2"/>
  <c r="Q332" i="2" s="1"/>
  <c r="T332" i="2"/>
  <c r="R332" i="2" s="1"/>
  <c r="N333" i="2"/>
  <c r="S333" i="2"/>
  <c r="Q333" i="2" s="1"/>
  <c r="T333" i="2"/>
  <c r="R333" i="2" s="1"/>
  <c r="N334" i="2"/>
  <c r="S334" i="2"/>
  <c r="Q334" i="2" s="1"/>
  <c r="T334" i="2"/>
  <c r="R334" i="2" s="1"/>
  <c r="N335" i="2"/>
  <c r="S335" i="2"/>
  <c r="Q335" i="2" s="1"/>
  <c r="T335" i="2"/>
  <c r="R335" i="2" s="1"/>
  <c r="N336" i="2"/>
  <c r="S336" i="2"/>
  <c r="Q336" i="2" s="1"/>
  <c r="T336" i="2"/>
  <c r="R336" i="2" s="1"/>
  <c r="N337" i="2"/>
  <c r="S337" i="2"/>
  <c r="Q337" i="2" s="1"/>
  <c r="T337" i="2"/>
  <c r="R337" i="2" s="1"/>
  <c r="N338" i="2"/>
  <c r="S338" i="2"/>
  <c r="Q338" i="2" s="1"/>
  <c r="T338" i="2"/>
  <c r="R338" i="2" s="1"/>
  <c r="N339" i="2"/>
  <c r="S339" i="2"/>
  <c r="Q339" i="2" s="1"/>
  <c r="T339" i="2"/>
  <c r="R339" i="2" s="1"/>
  <c r="N340" i="2"/>
  <c r="S340" i="2"/>
  <c r="Q340" i="2" s="1"/>
  <c r="T340" i="2"/>
  <c r="R340" i="2" s="1"/>
  <c r="N341" i="2"/>
  <c r="S341" i="2"/>
  <c r="Q341" i="2" s="1"/>
  <c r="T341" i="2"/>
  <c r="R341" i="2" s="1"/>
  <c r="N342" i="2"/>
  <c r="S342" i="2"/>
  <c r="Q342" i="2" s="1"/>
  <c r="T342" i="2"/>
  <c r="R342" i="2" s="1"/>
  <c r="N343" i="2"/>
  <c r="S343" i="2"/>
  <c r="Q343" i="2" s="1"/>
  <c r="T343" i="2"/>
  <c r="R343" i="2" s="1"/>
  <c r="N344" i="2"/>
  <c r="S344" i="2"/>
  <c r="Q344" i="2" s="1"/>
  <c r="T344" i="2"/>
  <c r="R344" i="2" s="1"/>
  <c r="N345" i="2"/>
  <c r="S345" i="2"/>
  <c r="Q345" i="2" s="1"/>
  <c r="T345" i="2"/>
  <c r="R345" i="2" s="1"/>
  <c r="N346" i="2"/>
  <c r="S346" i="2"/>
  <c r="Q346" i="2" s="1"/>
  <c r="T346" i="2"/>
  <c r="R346" i="2" s="1"/>
  <c r="N347" i="2"/>
  <c r="S347" i="2"/>
  <c r="Q347" i="2" s="1"/>
  <c r="T347" i="2"/>
  <c r="R347" i="2" s="1"/>
  <c r="N348" i="2"/>
  <c r="S348" i="2"/>
  <c r="Q348" i="2" s="1"/>
  <c r="T348" i="2"/>
  <c r="R348" i="2" s="1"/>
  <c r="N349" i="2"/>
  <c r="S349" i="2"/>
  <c r="Q349" i="2" s="1"/>
  <c r="T349" i="2"/>
  <c r="R349" i="2" s="1"/>
  <c r="N350" i="2"/>
  <c r="S350" i="2"/>
  <c r="Q350" i="2" s="1"/>
  <c r="T350" i="2"/>
  <c r="R350" i="2" s="1"/>
  <c r="N351" i="2"/>
  <c r="S351" i="2"/>
  <c r="Q351" i="2" s="1"/>
  <c r="T351" i="2"/>
  <c r="R351" i="2" s="1"/>
  <c r="N352" i="2"/>
  <c r="S352" i="2"/>
  <c r="Q352" i="2" s="1"/>
  <c r="T352" i="2"/>
  <c r="R352" i="2" s="1"/>
  <c r="N353" i="2"/>
  <c r="S353" i="2"/>
  <c r="Q353" i="2" s="1"/>
  <c r="T353" i="2"/>
  <c r="R353" i="2" s="1"/>
  <c r="N354" i="2"/>
  <c r="S354" i="2"/>
  <c r="Q354" i="2" s="1"/>
  <c r="T354" i="2"/>
  <c r="R354" i="2" s="1"/>
  <c r="N355" i="2"/>
  <c r="S355" i="2"/>
  <c r="Q355" i="2" s="1"/>
  <c r="T355" i="2"/>
  <c r="R355" i="2" s="1"/>
  <c r="N356" i="2"/>
  <c r="S356" i="2"/>
  <c r="Q356" i="2" s="1"/>
  <c r="T356" i="2"/>
  <c r="R356" i="2" s="1"/>
  <c r="N357" i="2"/>
  <c r="S357" i="2"/>
  <c r="Q357" i="2" s="1"/>
  <c r="T357" i="2"/>
  <c r="R357" i="2" s="1"/>
  <c r="N358" i="2"/>
  <c r="S358" i="2"/>
  <c r="Q358" i="2" s="1"/>
  <c r="T358" i="2"/>
  <c r="R358" i="2" s="1"/>
  <c r="N359" i="2"/>
  <c r="S359" i="2"/>
  <c r="Q359" i="2" s="1"/>
  <c r="T359" i="2"/>
  <c r="R359" i="2" s="1"/>
  <c r="N360" i="2"/>
  <c r="S360" i="2"/>
  <c r="Q360" i="2" s="1"/>
  <c r="T360" i="2"/>
  <c r="R360" i="2" s="1"/>
  <c r="N361" i="2"/>
  <c r="S361" i="2"/>
  <c r="Q361" i="2" s="1"/>
  <c r="T361" i="2"/>
  <c r="R361" i="2" s="1"/>
  <c r="N362" i="2"/>
  <c r="S362" i="2"/>
  <c r="Q362" i="2" s="1"/>
  <c r="T362" i="2"/>
  <c r="R362" i="2" s="1"/>
  <c r="N363" i="2"/>
  <c r="S363" i="2"/>
  <c r="Q363" i="2" s="1"/>
  <c r="T363" i="2"/>
  <c r="R363" i="2" s="1"/>
  <c r="N364" i="2"/>
  <c r="S364" i="2"/>
  <c r="Q364" i="2" s="1"/>
  <c r="T364" i="2"/>
  <c r="R364" i="2" s="1"/>
  <c r="N365" i="2"/>
  <c r="S365" i="2"/>
  <c r="Q365" i="2" s="1"/>
  <c r="T365" i="2"/>
  <c r="R365" i="2" s="1"/>
  <c r="N366" i="2"/>
  <c r="S366" i="2"/>
  <c r="Q366" i="2" s="1"/>
  <c r="T366" i="2"/>
  <c r="R366" i="2" s="1"/>
  <c r="N367" i="2"/>
  <c r="S367" i="2"/>
  <c r="Q367" i="2" s="1"/>
  <c r="T367" i="2"/>
  <c r="R367" i="2" s="1"/>
  <c r="N368" i="2"/>
  <c r="S368" i="2"/>
  <c r="Q368" i="2" s="1"/>
  <c r="T368" i="2"/>
  <c r="R368" i="2" s="1"/>
  <c r="N369" i="2"/>
  <c r="S369" i="2"/>
  <c r="Q369" i="2" s="1"/>
  <c r="T369" i="2"/>
  <c r="R369" i="2" s="1"/>
  <c r="N370" i="2"/>
  <c r="S370" i="2"/>
  <c r="Q370" i="2" s="1"/>
  <c r="T370" i="2"/>
  <c r="R370" i="2" s="1"/>
  <c r="N371" i="2"/>
  <c r="S371" i="2"/>
  <c r="Q371" i="2" s="1"/>
  <c r="T371" i="2"/>
  <c r="R371" i="2" s="1"/>
  <c r="N372" i="2"/>
  <c r="S372" i="2"/>
  <c r="Q372" i="2" s="1"/>
  <c r="T372" i="2"/>
  <c r="R372" i="2" s="1"/>
  <c r="N373" i="2"/>
  <c r="S373" i="2"/>
  <c r="Q373" i="2" s="1"/>
  <c r="T373" i="2"/>
  <c r="R373" i="2" s="1"/>
  <c r="N374" i="2"/>
  <c r="S374" i="2"/>
  <c r="Q374" i="2" s="1"/>
  <c r="T374" i="2"/>
  <c r="R374" i="2" s="1"/>
  <c r="N375" i="2"/>
  <c r="S375" i="2"/>
  <c r="Q375" i="2" s="1"/>
  <c r="T375" i="2"/>
  <c r="R375" i="2" s="1"/>
  <c r="N376" i="2"/>
  <c r="S376" i="2"/>
  <c r="Q376" i="2" s="1"/>
  <c r="T376" i="2"/>
  <c r="R376" i="2" s="1"/>
  <c r="N377" i="2"/>
  <c r="S377" i="2"/>
  <c r="Q377" i="2" s="1"/>
  <c r="T377" i="2"/>
  <c r="R377" i="2" s="1"/>
  <c r="N378" i="2"/>
  <c r="S378" i="2"/>
  <c r="Q378" i="2" s="1"/>
  <c r="T378" i="2"/>
  <c r="R378" i="2" s="1"/>
  <c r="N379" i="2"/>
  <c r="S379" i="2"/>
  <c r="Q379" i="2" s="1"/>
  <c r="T379" i="2"/>
  <c r="R379" i="2" s="1"/>
  <c r="N380" i="2"/>
  <c r="S380" i="2"/>
  <c r="Q380" i="2" s="1"/>
  <c r="T380" i="2"/>
  <c r="R380" i="2" s="1"/>
  <c r="N381" i="2"/>
  <c r="S381" i="2"/>
  <c r="Q381" i="2" s="1"/>
  <c r="T381" i="2"/>
  <c r="R381" i="2" s="1"/>
  <c r="N382" i="2"/>
  <c r="S382" i="2"/>
  <c r="Q382" i="2" s="1"/>
  <c r="T382" i="2"/>
  <c r="R382" i="2" s="1"/>
  <c r="N383" i="2"/>
  <c r="S383" i="2"/>
  <c r="Q383" i="2" s="1"/>
  <c r="T383" i="2"/>
  <c r="R383" i="2" s="1"/>
  <c r="N384" i="2"/>
  <c r="S384" i="2"/>
  <c r="Q384" i="2" s="1"/>
  <c r="T384" i="2"/>
  <c r="R384" i="2" s="1"/>
  <c r="N385" i="2"/>
  <c r="S385" i="2"/>
  <c r="Q385" i="2" s="1"/>
  <c r="T385" i="2"/>
  <c r="R385" i="2" s="1"/>
  <c r="N386" i="2"/>
  <c r="S386" i="2"/>
  <c r="Q386" i="2" s="1"/>
  <c r="T386" i="2"/>
  <c r="R386" i="2" s="1"/>
  <c r="N387" i="2"/>
  <c r="S387" i="2"/>
  <c r="Q387" i="2" s="1"/>
  <c r="T387" i="2"/>
  <c r="R387" i="2" s="1"/>
  <c r="N388" i="2"/>
  <c r="S388" i="2"/>
  <c r="Q388" i="2" s="1"/>
  <c r="T388" i="2"/>
  <c r="R388" i="2" s="1"/>
  <c r="N389" i="2"/>
  <c r="S389" i="2"/>
  <c r="Q389" i="2" s="1"/>
  <c r="T389" i="2"/>
  <c r="R389" i="2" s="1"/>
  <c r="N390" i="2"/>
  <c r="S390" i="2"/>
  <c r="Q390" i="2" s="1"/>
  <c r="T390" i="2"/>
  <c r="R390" i="2" s="1"/>
  <c r="N391" i="2"/>
  <c r="S391" i="2"/>
  <c r="Q391" i="2" s="1"/>
  <c r="T391" i="2"/>
  <c r="R391" i="2" s="1"/>
  <c r="N392" i="2"/>
  <c r="S392" i="2"/>
  <c r="Q392" i="2" s="1"/>
  <c r="T392" i="2"/>
  <c r="R392" i="2" s="1"/>
  <c r="N393" i="2"/>
  <c r="S393" i="2"/>
  <c r="Q393" i="2" s="1"/>
  <c r="T393" i="2"/>
  <c r="R393" i="2" s="1"/>
  <c r="N394" i="2"/>
  <c r="S394" i="2"/>
  <c r="Q394" i="2" s="1"/>
  <c r="T394" i="2"/>
  <c r="R394" i="2" s="1"/>
  <c r="N395" i="2"/>
  <c r="S395" i="2"/>
  <c r="Q395" i="2" s="1"/>
  <c r="T395" i="2"/>
  <c r="R395" i="2" s="1"/>
  <c r="N396" i="2"/>
  <c r="S396" i="2"/>
  <c r="Q396" i="2" s="1"/>
  <c r="T396" i="2"/>
  <c r="R396" i="2" s="1"/>
  <c r="N397" i="2"/>
  <c r="S397" i="2"/>
  <c r="Q397" i="2" s="1"/>
  <c r="T397" i="2"/>
  <c r="R397" i="2" s="1"/>
  <c r="N398" i="2"/>
  <c r="S398" i="2"/>
  <c r="Q398" i="2" s="1"/>
  <c r="T398" i="2"/>
  <c r="R398" i="2" s="1"/>
  <c r="N399" i="2"/>
  <c r="S399" i="2"/>
  <c r="Q399" i="2" s="1"/>
  <c r="T399" i="2"/>
  <c r="R399" i="2" s="1"/>
  <c r="N400" i="2"/>
  <c r="S400" i="2"/>
  <c r="Q400" i="2" s="1"/>
  <c r="T400" i="2"/>
  <c r="R400" i="2" s="1"/>
  <c r="N401" i="2"/>
  <c r="S401" i="2"/>
  <c r="Q401" i="2" s="1"/>
  <c r="T401" i="2"/>
  <c r="R401" i="2" s="1"/>
  <c r="N402" i="2"/>
  <c r="S402" i="2"/>
  <c r="Q402" i="2" s="1"/>
  <c r="T402" i="2"/>
  <c r="R402" i="2" s="1"/>
  <c r="N403" i="2"/>
  <c r="S403" i="2"/>
  <c r="Q403" i="2" s="1"/>
  <c r="T403" i="2"/>
  <c r="R403" i="2" s="1"/>
  <c r="N404" i="2"/>
  <c r="S404" i="2"/>
  <c r="Q404" i="2" s="1"/>
  <c r="T404" i="2"/>
  <c r="R404" i="2" s="1"/>
  <c r="N405" i="2"/>
  <c r="S405" i="2"/>
  <c r="Q405" i="2" s="1"/>
  <c r="T405" i="2"/>
  <c r="R405" i="2" s="1"/>
  <c r="N406" i="2"/>
  <c r="S406" i="2"/>
  <c r="Q406" i="2" s="1"/>
  <c r="T406" i="2"/>
  <c r="R406" i="2" s="1"/>
  <c r="N407" i="2"/>
  <c r="S407" i="2"/>
  <c r="Q407" i="2" s="1"/>
  <c r="T407" i="2"/>
  <c r="R407" i="2" s="1"/>
  <c r="N408" i="2"/>
  <c r="S408" i="2"/>
  <c r="Q408" i="2" s="1"/>
  <c r="T408" i="2"/>
  <c r="R408" i="2" s="1"/>
  <c r="N409" i="2"/>
  <c r="S409" i="2"/>
  <c r="Q409" i="2" s="1"/>
  <c r="T409" i="2"/>
  <c r="R409" i="2" s="1"/>
  <c r="N410" i="2"/>
  <c r="S410" i="2"/>
  <c r="Q410" i="2" s="1"/>
  <c r="T410" i="2"/>
  <c r="R410" i="2" s="1"/>
  <c r="N411" i="2"/>
  <c r="S411" i="2"/>
  <c r="Q411" i="2" s="1"/>
  <c r="T411" i="2"/>
  <c r="R411" i="2" s="1"/>
  <c r="N412" i="2"/>
  <c r="S412" i="2"/>
  <c r="Q412" i="2" s="1"/>
  <c r="T412" i="2"/>
  <c r="R412" i="2" s="1"/>
  <c r="N413" i="2"/>
  <c r="S413" i="2"/>
  <c r="Q413" i="2" s="1"/>
  <c r="T413" i="2"/>
  <c r="R413" i="2" s="1"/>
  <c r="N414" i="2"/>
  <c r="S414" i="2"/>
  <c r="Q414" i="2" s="1"/>
  <c r="T414" i="2"/>
  <c r="R414" i="2" s="1"/>
  <c r="N415" i="2"/>
  <c r="S415" i="2"/>
  <c r="Q415" i="2" s="1"/>
  <c r="T415" i="2"/>
  <c r="R415" i="2" s="1"/>
  <c r="N416" i="2"/>
  <c r="S416" i="2"/>
  <c r="Q416" i="2" s="1"/>
  <c r="T416" i="2"/>
  <c r="R416" i="2" s="1"/>
  <c r="N417" i="2"/>
  <c r="S417" i="2"/>
  <c r="Q417" i="2" s="1"/>
  <c r="T417" i="2"/>
  <c r="R417" i="2" s="1"/>
  <c r="N418" i="2"/>
  <c r="S418" i="2"/>
  <c r="Q418" i="2" s="1"/>
  <c r="T418" i="2"/>
  <c r="R418" i="2" s="1"/>
  <c r="N419" i="2"/>
  <c r="S419" i="2"/>
  <c r="Q419" i="2" s="1"/>
  <c r="T419" i="2"/>
  <c r="R419" i="2" s="1"/>
  <c r="N420" i="2"/>
  <c r="S420" i="2"/>
  <c r="Q420" i="2" s="1"/>
  <c r="T420" i="2"/>
  <c r="R420" i="2" s="1"/>
  <c r="N421" i="2"/>
  <c r="S421" i="2"/>
  <c r="Q421" i="2" s="1"/>
  <c r="T421" i="2"/>
  <c r="R421" i="2" s="1"/>
  <c r="N422" i="2"/>
  <c r="S422" i="2"/>
  <c r="Q422" i="2" s="1"/>
  <c r="T422" i="2"/>
  <c r="R422" i="2" s="1"/>
  <c r="N423" i="2"/>
  <c r="S423" i="2"/>
  <c r="Q423" i="2" s="1"/>
  <c r="T423" i="2"/>
  <c r="R423" i="2" s="1"/>
  <c r="N424" i="2"/>
  <c r="S424" i="2"/>
  <c r="Q424" i="2" s="1"/>
  <c r="T424" i="2"/>
  <c r="R424" i="2" s="1"/>
  <c r="N425" i="2"/>
  <c r="S425" i="2"/>
  <c r="Q425" i="2" s="1"/>
  <c r="T425" i="2"/>
  <c r="R425" i="2" s="1"/>
  <c r="N426" i="2"/>
  <c r="S426" i="2"/>
  <c r="Q426" i="2" s="1"/>
  <c r="T426" i="2"/>
  <c r="R426" i="2" s="1"/>
  <c r="N427" i="2"/>
  <c r="S427" i="2"/>
  <c r="Q427" i="2" s="1"/>
  <c r="T427" i="2"/>
  <c r="R427" i="2" s="1"/>
  <c r="N428" i="2"/>
  <c r="S428" i="2"/>
  <c r="Q428" i="2" s="1"/>
  <c r="T428" i="2"/>
  <c r="R428" i="2" s="1"/>
  <c r="N429" i="2"/>
  <c r="S429" i="2"/>
  <c r="Q429" i="2" s="1"/>
  <c r="T429" i="2"/>
  <c r="R429" i="2" s="1"/>
  <c r="N430" i="2"/>
  <c r="S430" i="2"/>
  <c r="Q430" i="2" s="1"/>
  <c r="T430" i="2"/>
  <c r="R430" i="2" s="1"/>
  <c r="N431" i="2"/>
  <c r="S431" i="2"/>
  <c r="Q431" i="2" s="1"/>
  <c r="T431" i="2"/>
  <c r="R431" i="2" s="1"/>
  <c r="N432" i="2"/>
  <c r="S432" i="2"/>
  <c r="Q432" i="2" s="1"/>
  <c r="T432" i="2"/>
  <c r="R432" i="2" s="1"/>
  <c r="N433" i="2"/>
  <c r="S433" i="2"/>
  <c r="Q433" i="2" s="1"/>
  <c r="T433" i="2"/>
  <c r="R433" i="2" s="1"/>
  <c r="N434" i="2"/>
  <c r="S434" i="2"/>
  <c r="Q434" i="2" s="1"/>
  <c r="T434" i="2"/>
  <c r="R434" i="2" s="1"/>
  <c r="N435" i="2"/>
  <c r="S435" i="2"/>
  <c r="Q435" i="2" s="1"/>
  <c r="T435" i="2"/>
  <c r="R435" i="2" s="1"/>
  <c r="N436" i="2"/>
  <c r="S436" i="2"/>
  <c r="Q436" i="2" s="1"/>
  <c r="T436" i="2"/>
  <c r="R436" i="2" s="1"/>
  <c r="N437" i="2"/>
  <c r="S437" i="2"/>
  <c r="Q437" i="2" s="1"/>
  <c r="T437" i="2"/>
  <c r="R437" i="2" s="1"/>
  <c r="N438" i="2"/>
  <c r="S438" i="2"/>
  <c r="Q438" i="2" s="1"/>
  <c r="T438" i="2"/>
  <c r="R438" i="2" s="1"/>
  <c r="N439" i="2"/>
  <c r="S439" i="2"/>
  <c r="Q439" i="2" s="1"/>
  <c r="T439" i="2"/>
  <c r="R439" i="2" s="1"/>
  <c r="N440" i="2"/>
  <c r="S440" i="2"/>
  <c r="Q440" i="2" s="1"/>
  <c r="T440" i="2"/>
  <c r="R440" i="2" s="1"/>
  <c r="N441" i="2"/>
  <c r="S441" i="2"/>
  <c r="Q441" i="2" s="1"/>
  <c r="T441" i="2"/>
  <c r="R441" i="2" s="1"/>
  <c r="N442" i="2"/>
  <c r="S442" i="2"/>
  <c r="Q442" i="2" s="1"/>
  <c r="T442" i="2"/>
  <c r="R442" i="2" s="1"/>
  <c r="N443" i="2"/>
  <c r="S443" i="2"/>
  <c r="Q443" i="2" s="1"/>
  <c r="T443" i="2"/>
  <c r="R443" i="2" s="1"/>
  <c r="N444" i="2"/>
  <c r="S444" i="2"/>
  <c r="Q444" i="2" s="1"/>
  <c r="T444" i="2"/>
  <c r="R444" i="2" s="1"/>
  <c r="N445" i="2"/>
  <c r="S445" i="2"/>
  <c r="Q445" i="2" s="1"/>
  <c r="T445" i="2"/>
  <c r="R445" i="2" s="1"/>
  <c r="N446" i="2"/>
  <c r="S446" i="2"/>
  <c r="Q446" i="2" s="1"/>
  <c r="T446" i="2"/>
  <c r="R446" i="2" s="1"/>
  <c r="N447" i="2"/>
  <c r="S447" i="2"/>
  <c r="Q447" i="2" s="1"/>
  <c r="T447" i="2"/>
  <c r="R447" i="2" s="1"/>
  <c r="N448" i="2"/>
  <c r="S448" i="2"/>
  <c r="Q448" i="2" s="1"/>
  <c r="T448" i="2"/>
  <c r="R448" i="2" s="1"/>
  <c r="N449" i="2"/>
  <c r="S449" i="2"/>
  <c r="Q449" i="2" s="1"/>
  <c r="T449" i="2"/>
  <c r="R449" i="2" s="1"/>
  <c r="N450" i="2"/>
  <c r="S450" i="2"/>
  <c r="Q450" i="2" s="1"/>
  <c r="T450" i="2"/>
  <c r="R450" i="2" s="1"/>
  <c r="N451" i="2"/>
  <c r="S451" i="2"/>
  <c r="Q451" i="2" s="1"/>
  <c r="T451" i="2"/>
  <c r="R451" i="2" s="1"/>
  <c r="N452" i="2"/>
  <c r="S452" i="2"/>
  <c r="Q452" i="2" s="1"/>
  <c r="T452" i="2"/>
  <c r="R452" i="2" s="1"/>
  <c r="N453" i="2"/>
  <c r="S453" i="2"/>
  <c r="Q453" i="2" s="1"/>
  <c r="T453" i="2"/>
  <c r="R453" i="2" s="1"/>
  <c r="N454" i="2"/>
  <c r="S454" i="2"/>
  <c r="Q454" i="2" s="1"/>
  <c r="T454" i="2"/>
  <c r="R454" i="2" s="1"/>
  <c r="N455" i="2"/>
  <c r="S455" i="2"/>
  <c r="Q455" i="2" s="1"/>
  <c r="T455" i="2"/>
  <c r="R455" i="2" s="1"/>
  <c r="N456" i="2"/>
  <c r="S456" i="2"/>
  <c r="Q456" i="2" s="1"/>
  <c r="T456" i="2"/>
  <c r="R456" i="2" s="1"/>
  <c r="N457" i="2"/>
  <c r="S457" i="2"/>
  <c r="Q457" i="2" s="1"/>
  <c r="T457" i="2"/>
  <c r="R457" i="2" s="1"/>
  <c r="N458" i="2"/>
  <c r="S458" i="2"/>
  <c r="Q458" i="2" s="1"/>
  <c r="T458" i="2"/>
  <c r="R458" i="2" s="1"/>
  <c r="N459" i="2"/>
  <c r="S459" i="2"/>
  <c r="Q459" i="2" s="1"/>
  <c r="T459" i="2"/>
  <c r="R459" i="2" s="1"/>
  <c r="N460" i="2"/>
  <c r="S460" i="2"/>
  <c r="Q460" i="2" s="1"/>
  <c r="T460" i="2"/>
  <c r="R460" i="2" s="1"/>
  <c r="N461" i="2"/>
  <c r="S461" i="2"/>
  <c r="Q461" i="2" s="1"/>
  <c r="T461" i="2"/>
  <c r="R461" i="2" s="1"/>
  <c r="N462" i="2"/>
  <c r="S462" i="2"/>
  <c r="Q462" i="2" s="1"/>
  <c r="T462" i="2"/>
  <c r="R462" i="2" s="1"/>
  <c r="N463" i="2"/>
  <c r="S463" i="2"/>
  <c r="Q463" i="2" s="1"/>
  <c r="T463" i="2"/>
  <c r="R463" i="2" s="1"/>
  <c r="N464" i="2"/>
  <c r="S464" i="2"/>
  <c r="Q464" i="2" s="1"/>
  <c r="T464" i="2"/>
  <c r="R464" i="2" s="1"/>
  <c r="N465" i="2"/>
  <c r="S465" i="2"/>
  <c r="Q465" i="2" s="1"/>
  <c r="T465" i="2"/>
  <c r="R465" i="2" s="1"/>
  <c r="N466" i="2"/>
  <c r="S466" i="2"/>
  <c r="Q466" i="2" s="1"/>
  <c r="T466" i="2"/>
  <c r="R466" i="2" s="1"/>
  <c r="N467" i="2"/>
  <c r="S467" i="2"/>
  <c r="Q467" i="2" s="1"/>
  <c r="T467" i="2"/>
  <c r="R467" i="2" s="1"/>
  <c r="N468" i="2"/>
  <c r="S468" i="2"/>
  <c r="Q468" i="2" s="1"/>
  <c r="T468" i="2"/>
  <c r="R468" i="2" s="1"/>
  <c r="N469" i="2"/>
  <c r="S469" i="2"/>
  <c r="Q469" i="2" s="1"/>
  <c r="T469" i="2"/>
  <c r="R469" i="2" s="1"/>
  <c r="N470" i="2"/>
  <c r="S470" i="2"/>
  <c r="Q470" i="2" s="1"/>
  <c r="T470" i="2"/>
  <c r="R470" i="2" s="1"/>
  <c r="N471" i="2"/>
  <c r="S471" i="2"/>
  <c r="Q471" i="2" s="1"/>
  <c r="T471" i="2"/>
  <c r="R471" i="2" s="1"/>
  <c r="N472" i="2"/>
  <c r="S472" i="2"/>
  <c r="Q472" i="2" s="1"/>
  <c r="T472" i="2"/>
  <c r="R472" i="2" s="1"/>
  <c r="N473" i="2"/>
  <c r="S473" i="2"/>
  <c r="Q473" i="2" s="1"/>
  <c r="T473" i="2"/>
  <c r="R473" i="2" s="1"/>
  <c r="N474" i="2"/>
  <c r="S474" i="2"/>
  <c r="Q474" i="2" s="1"/>
  <c r="T474" i="2"/>
  <c r="R474" i="2" s="1"/>
  <c r="N475" i="2"/>
  <c r="S475" i="2"/>
  <c r="Q475" i="2" s="1"/>
  <c r="T475" i="2"/>
  <c r="R475" i="2" s="1"/>
  <c r="N476" i="2"/>
  <c r="S476" i="2"/>
  <c r="Q476" i="2" s="1"/>
  <c r="T476" i="2"/>
  <c r="R476" i="2" s="1"/>
  <c r="N477" i="2"/>
  <c r="S477" i="2"/>
  <c r="Q477" i="2" s="1"/>
  <c r="T477" i="2"/>
  <c r="R477" i="2" s="1"/>
  <c r="N478" i="2"/>
  <c r="S478" i="2"/>
  <c r="Q478" i="2" s="1"/>
  <c r="T478" i="2"/>
  <c r="R478" i="2" s="1"/>
  <c r="N479" i="2"/>
  <c r="S479" i="2"/>
  <c r="Q479" i="2" s="1"/>
  <c r="T479" i="2"/>
  <c r="R479" i="2" s="1"/>
  <c r="N480" i="2"/>
  <c r="S480" i="2"/>
  <c r="Q480" i="2" s="1"/>
  <c r="T480" i="2"/>
  <c r="R480" i="2" s="1"/>
  <c r="N481" i="2"/>
  <c r="S481" i="2"/>
  <c r="Q481" i="2" s="1"/>
  <c r="T481" i="2"/>
  <c r="R481" i="2" s="1"/>
  <c r="N482" i="2"/>
  <c r="S482" i="2"/>
  <c r="Q482" i="2" s="1"/>
  <c r="T482" i="2"/>
  <c r="R482" i="2" s="1"/>
  <c r="N483" i="2"/>
  <c r="S483" i="2"/>
  <c r="Q483" i="2" s="1"/>
  <c r="T483" i="2"/>
  <c r="R483" i="2" s="1"/>
  <c r="N484" i="2"/>
  <c r="S484" i="2"/>
  <c r="Q484" i="2" s="1"/>
  <c r="T484" i="2"/>
  <c r="R484" i="2" s="1"/>
  <c r="N485" i="2"/>
  <c r="S485" i="2"/>
  <c r="Q485" i="2" s="1"/>
  <c r="T485" i="2"/>
  <c r="R485" i="2" s="1"/>
  <c r="N486" i="2"/>
  <c r="S486" i="2"/>
  <c r="Q486" i="2" s="1"/>
  <c r="T486" i="2"/>
  <c r="R486" i="2" s="1"/>
  <c r="N487" i="2"/>
  <c r="S487" i="2"/>
  <c r="Q487" i="2" s="1"/>
  <c r="T487" i="2"/>
  <c r="R487" i="2" s="1"/>
  <c r="N488" i="2"/>
  <c r="S488" i="2"/>
  <c r="Q488" i="2" s="1"/>
  <c r="T488" i="2"/>
  <c r="R488" i="2" s="1"/>
  <c r="N489" i="2"/>
  <c r="S489" i="2"/>
  <c r="Q489" i="2" s="1"/>
  <c r="T489" i="2"/>
  <c r="R489" i="2" s="1"/>
  <c r="N490" i="2"/>
  <c r="S490" i="2"/>
  <c r="Q490" i="2" s="1"/>
  <c r="T490" i="2"/>
  <c r="R490" i="2" s="1"/>
  <c r="N491" i="2"/>
  <c r="S491" i="2"/>
  <c r="Q491" i="2" s="1"/>
  <c r="T491" i="2"/>
  <c r="R491" i="2" s="1"/>
  <c r="N492" i="2"/>
  <c r="S492" i="2"/>
  <c r="Q492" i="2" s="1"/>
  <c r="T492" i="2"/>
  <c r="R492" i="2" s="1"/>
  <c r="N493" i="2"/>
  <c r="S493" i="2"/>
  <c r="Q493" i="2" s="1"/>
  <c r="T493" i="2"/>
  <c r="R493" i="2" s="1"/>
  <c r="N494" i="2"/>
  <c r="S494" i="2"/>
  <c r="Q494" i="2" s="1"/>
  <c r="T494" i="2"/>
  <c r="R494" i="2" s="1"/>
  <c r="N495" i="2"/>
  <c r="S495" i="2"/>
  <c r="Q495" i="2" s="1"/>
  <c r="T495" i="2"/>
  <c r="R495" i="2" s="1"/>
  <c r="N496" i="2"/>
  <c r="S496" i="2"/>
  <c r="Q496" i="2" s="1"/>
  <c r="T496" i="2"/>
  <c r="R496" i="2" s="1"/>
  <c r="N497" i="2"/>
  <c r="S497" i="2"/>
  <c r="Q497" i="2" s="1"/>
  <c r="T497" i="2"/>
  <c r="R497" i="2" s="1"/>
  <c r="N498" i="2"/>
  <c r="S498" i="2"/>
  <c r="Q498" i="2" s="1"/>
  <c r="T498" i="2"/>
  <c r="R498" i="2" s="1"/>
  <c r="N499" i="2"/>
  <c r="S499" i="2"/>
  <c r="Q499" i="2" s="1"/>
  <c r="T499" i="2"/>
  <c r="R499" i="2" s="1"/>
  <c r="N500" i="2"/>
  <c r="S500" i="2"/>
  <c r="Q500" i="2" s="1"/>
  <c r="T500" i="2"/>
  <c r="R500" i="2" s="1"/>
  <c r="N501" i="2"/>
  <c r="S501" i="2"/>
  <c r="Q501" i="2" s="1"/>
  <c r="T501" i="2"/>
  <c r="R501" i="2" s="1"/>
  <c r="N502" i="2"/>
  <c r="S502" i="2"/>
  <c r="Q502" i="2" s="1"/>
  <c r="T502" i="2"/>
  <c r="R502" i="2" s="1"/>
  <c r="N503" i="2"/>
  <c r="S503" i="2"/>
  <c r="Q503" i="2" s="1"/>
  <c r="T503" i="2"/>
  <c r="R503" i="2" s="1"/>
  <c r="N504" i="2"/>
  <c r="S504" i="2"/>
  <c r="Q504" i="2" s="1"/>
  <c r="T504" i="2"/>
  <c r="R504" i="2" s="1"/>
  <c r="N505" i="2"/>
  <c r="S505" i="2"/>
  <c r="Q505" i="2" s="1"/>
  <c r="T505" i="2"/>
  <c r="R505" i="2" s="1"/>
  <c r="N506" i="2"/>
  <c r="S506" i="2"/>
  <c r="Q506" i="2" s="1"/>
  <c r="T506" i="2"/>
  <c r="R506" i="2" s="1"/>
  <c r="N507" i="2"/>
  <c r="S507" i="2"/>
  <c r="Q507" i="2" s="1"/>
  <c r="T507" i="2"/>
  <c r="R507" i="2" s="1"/>
  <c r="N508" i="2"/>
  <c r="S508" i="2"/>
  <c r="Q508" i="2" s="1"/>
  <c r="T508" i="2"/>
  <c r="R508" i="2" s="1"/>
  <c r="N509" i="2"/>
  <c r="S509" i="2"/>
  <c r="Q509" i="2" s="1"/>
  <c r="T509" i="2"/>
  <c r="R509" i="2" s="1"/>
  <c r="N510" i="2"/>
  <c r="S510" i="2"/>
  <c r="Q510" i="2" s="1"/>
  <c r="T510" i="2"/>
  <c r="R510" i="2" s="1"/>
  <c r="N511" i="2"/>
  <c r="S511" i="2"/>
  <c r="Q511" i="2" s="1"/>
  <c r="T511" i="2"/>
  <c r="R511" i="2" s="1"/>
  <c r="N512" i="2"/>
  <c r="S512" i="2"/>
  <c r="Q512" i="2" s="1"/>
  <c r="T512" i="2"/>
  <c r="R512" i="2" s="1"/>
  <c r="N513" i="2"/>
  <c r="S513" i="2"/>
  <c r="Q513" i="2" s="1"/>
  <c r="T513" i="2"/>
  <c r="R513" i="2" s="1"/>
  <c r="N514" i="2"/>
  <c r="S514" i="2"/>
  <c r="Q514" i="2" s="1"/>
  <c r="T514" i="2"/>
  <c r="R514" i="2" s="1"/>
  <c r="N515" i="2"/>
  <c r="S515" i="2"/>
  <c r="Q515" i="2" s="1"/>
  <c r="T515" i="2"/>
  <c r="R515" i="2" s="1"/>
  <c r="N516" i="2"/>
  <c r="S516" i="2"/>
  <c r="Q516" i="2" s="1"/>
  <c r="T516" i="2"/>
  <c r="R516" i="2" s="1"/>
  <c r="N517" i="2"/>
  <c r="S517" i="2"/>
  <c r="Q517" i="2" s="1"/>
  <c r="T517" i="2"/>
  <c r="R517" i="2" s="1"/>
  <c r="N518" i="2"/>
  <c r="S518" i="2"/>
  <c r="Q518" i="2" s="1"/>
  <c r="T518" i="2"/>
  <c r="R518" i="2" s="1"/>
  <c r="N519" i="2"/>
  <c r="S519" i="2"/>
  <c r="Q519" i="2" s="1"/>
  <c r="T519" i="2"/>
  <c r="R519" i="2" s="1"/>
  <c r="N520" i="2"/>
  <c r="S520" i="2"/>
  <c r="Q520" i="2" s="1"/>
  <c r="T520" i="2"/>
  <c r="R520" i="2" s="1"/>
  <c r="N521" i="2"/>
  <c r="S521" i="2"/>
  <c r="Q521" i="2" s="1"/>
  <c r="T521" i="2"/>
  <c r="R521" i="2" s="1"/>
  <c r="N522" i="2"/>
  <c r="S522" i="2"/>
  <c r="Q522" i="2" s="1"/>
  <c r="T522" i="2"/>
  <c r="R522" i="2" s="1"/>
  <c r="N523" i="2"/>
  <c r="S523" i="2"/>
  <c r="Q523" i="2" s="1"/>
  <c r="T523" i="2"/>
  <c r="R523" i="2" s="1"/>
  <c r="N524" i="2"/>
  <c r="S524" i="2"/>
  <c r="Q524" i="2" s="1"/>
  <c r="T524" i="2"/>
  <c r="R524" i="2" s="1"/>
  <c r="N525" i="2"/>
  <c r="S525" i="2"/>
  <c r="Q525" i="2" s="1"/>
  <c r="T525" i="2"/>
  <c r="R525" i="2" s="1"/>
  <c r="N526" i="2"/>
  <c r="S526" i="2"/>
  <c r="Q526" i="2" s="1"/>
  <c r="T526" i="2"/>
  <c r="R526" i="2" s="1"/>
  <c r="N527" i="2"/>
  <c r="S527" i="2"/>
  <c r="Q527" i="2" s="1"/>
  <c r="T527" i="2"/>
  <c r="R527" i="2" s="1"/>
  <c r="N528" i="2"/>
  <c r="S528" i="2"/>
  <c r="Q528" i="2" s="1"/>
  <c r="T528" i="2"/>
  <c r="R528" i="2" s="1"/>
  <c r="N529" i="2"/>
  <c r="S529" i="2"/>
  <c r="Q529" i="2" s="1"/>
  <c r="T529" i="2"/>
  <c r="R529" i="2" s="1"/>
  <c r="N530" i="2"/>
  <c r="S530" i="2"/>
  <c r="Q530" i="2" s="1"/>
  <c r="T530" i="2"/>
  <c r="R530" i="2" s="1"/>
  <c r="N531" i="2"/>
  <c r="S531" i="2"/>
  <c r="Q531" i="2" s="1"/>
  <c r="T531" i="2"/>
  <c r="R531" i="2" s="1"/>
  <c r="N532" i="2"/>
  <c r="S532" i="2"/>
  <c r="Q532" i="2" s="1"/>
  <c r="T532" i="2"/>
  <c r="R532" i="2" s="1"/>
  <c r="N533" i="2"/>
  <c r="S533" i="2"/>
  <c r="Q533" i="2" s="1"/>
  <c r="T533" i="2"/>
  <c r="R533" i="2" s="1"/>
  <c r="N534" i="2"/>
  <c r="S534" i="2"/>
  <c r="Q534" i="2" s="1"/>
  <c r="T534" i="2"/>
  <c r="R534" i="2" s="1"/>
  <c r="N535" i="2"/>
  <c r="S535" i="2"/>
  <c r="Q535" i="2" s="1"/>
  <c r="T535" i="2"/>
  <c r="R535" i="2" s="1"/>
  <c r="N536" i="2"/>
  <c r="S536" i="2"/>
  <c r="Q536" i="2" s="1"/>
  <c r="T536" i="2"/>
  <c r="R536" i="2" s="1"/>
  <c r="N537" i="2"/>
  <c r="S537" i="2"/>
  <c r="Q537" i="2" s="1"/>
  <c r="T537" i="2"/>
  <c r="R537" i="2" s="1"/>
  <c r="N538" i="2"/>
  <c r="S538" i="2"/>
  <c r="Q538" i="2" s="1"/>
  <c r="T538" i="2"/>
  <c r="R538" i="2" s="1"/>
  <c r="N539" i="2"/>
  <c r="S539" i="2"/>
  <c r="Q539" i="2" s="1"/>
  <c r="T539" i="2"/>
  <c r="R539" i="2" s="1"/>
  <c r="N540" i="2"/>
  <c r="S540" i="2"/>
  <c r="Q540" i="2" s="1"/>
  <c r="T540" i="2"/>
  <c r="R540" i="2" s="1"/>
  <c r="N541" i="2"/>
  <c r="S541" i="2"/>
  <c r="Q541" i="2" s="1"/>
  <c r="T541" i="2"/>
  <c r="R541" i="2" s="1"/>
  <c r="N542" i="2"/>
  <c r="S542" i="2"/>
  <c r="Q542" i="2" s="1"/>
  <c r="T542" i="2"/>
  <c r="R542" i="2" s="1"/>
  <c r="N543" i="2"/>
  <c r="S543" i="2"/>
  <c r="Q543" i="2" s="1"/>
  <c r="T543" i="2"/>
  <c r="R543" i="2" s="1"/>
  <c r="N544" i="2"/>
  <c r="S544" i="2"/>
  <c r="Q544" i="2" s="1"/>
  <c r="T544" i="2"/>
  <c r="R544" i="2" s="1"/>
  <c r="N545" i="2"/>
  <c r="S545" i="2"/>
  <c r="Q545" i="2" s="1"/>
  <c r="T545" i="2"/>
  <c r="R545" i="2" s="1"/>
  <c r="N546" i="2"/>
  <c r="S546" i="2"/>
  <c r="Q546" i="2" s="1"/>
  <c r="T546" i="2"/>
  <c r="R546" i="2" s="1"/>
  <c r="N547" i="2"/>
  <c r="S547" i="2"/>
  <c r="Q547" i="2" s="1"/>
  <c r="T547" i="2"/>
  <c r="R547" i="2" s="1"/>
  <c r="N548" i="2"/>
  <c r="S548" i="2"/>
  <c r="Q548" i="2" s="1"/>
  <c r="T548" i="2"/>
  <c r="R548" i="2" s="1"/>
  <c r="N549" i="2"/>
  <c r="S549" i="2"/>
  <c r="Q549" i="2" s="1"/>
  <c r="T549" i="2"/>
  <c r="R549" i="2" s="1"/>
  <c r="N550" i="2"/>
  <c r="S550" i="2"/>
  <c r="Q550" i="2" s="1"/>
  <c r="T550" i="2"/>
  <c r="R550" i="2" s="1"/>
  <c r="N551" i="2"/>
  <c r="S551" i="2"/>
  <c r="Q551" i="2" s="1"/>
  <c r="T551" i="2"/>
  <c r="R551" i="2" s="1"/>
  <c r="N552" i="2"/>
  <c r="S552" i="2"/>
  <c r="Q552" i="2" s="1"/>
  <c r="T552" i="2"/>
  <c r="R552" i="2" s="1"/>
  <c r="N553" i="2"/>
  <c r="S553" i="2"/>
  <c r="Q553" i="2" s="1"/>
  <c r="T553" i="2"/>
  <c r="R553" i="2" s="1"/>
  <c r="N554" i="2"/>
  <c r="S554" i="2"/>
  <c r="Q554" i="2" s="1"/>
  <c r="T554" i="2"/>
  <c r="R554" i="2" s="1"/>
  <c r="N555" i="2"/>
  <c r="S555" i="2"/>
  <c r="Q555" i="2" s="1"/>
  <c r="T555" i="2"/>
  <c r="R555" i="2" s="1"/>
  <c r="N556" i="2"/>
  <c r="S556" i="2"/>
  <c r="Q556" i="2" s="1"/>
  <c r="T556" i="2"/>
  <c r="R556" i="2" s="1"/>
  <c r="N557" i="2"/>
  <c r="S557" i="2"/>
  <c r="Q557" i="2" s="1"/>
  <c r="T557" i="2"/>
  <c r="R557" i="2" s="1"/>
  <c r="N558" i="2"/>
  <c r="S558" i="2"/>
  <c r="Q558" i="2" s="1"/>
  <c r="T558" i="2"/>
  <c r="R558" i="2" s="1"/>
  <c r="N559" i="2"/>
  <c r="S559" i="2"/>
  <c r="Q559" i="2" s="1"/>
  <c r="T559" i="2"/>
  <c r="R559" i="2" s="1"/>
  <c r="N560" i="2"/>
  <c r="S560" i="2"/>
  <c r="Q560" i="2" s="1"/>
  <c r="T560" i="2"/>
  <c r="R560" i="2" s="1"/>
  <c r="N561" i="2"/>
  <c r="S561" i="2"/>
  <c r="Q561" i="2" s="1"/>
  <c r="T561" i="2"/>
  <c r="R561" i="2" s="1"/>
  <c r="N562" i="2"/>
  <c r="S562" i="2"/>
  <c r="Q562" i="2" s="1"/>
  <c r="T562" i="2"/>
  <c r="R562" i="2" s="1"/>
  <c r="N563" i="2"/>
  <c r="S563" i="2"/>
  <c r="Q563" i="2" s="1"/>
  <c r="T563" i="2"/>
  <c r="R563" i="2" s="1"/>
  <c r="N564" i="2"/>
  <c r="S564" i="2"/>
  <c r="Q564" i="2" s="1"/>
  <c r="T564" i="2"/>
  <c r="R564" i="2" s="1"/>
  <c r="N565" i="2"/>
  <c r="S565" i="2"/>
  <c r="Q565" i="2" s="1"/>
  <c r="T565" i="2"/>
  <c r="R565" i="2" s="1"/>
  <c r="N566" i="2"/>
  <c r="S566" i="2"/>
  <c r="Q566" i="2" s="1"/>
  <c r="T566" i="2"/>
  <c r="R566" i="2" s="1"/>
  <c r="N567" i="2"/>
  <c r="S567" i="2"/>
  <c r="Q567" i="2" s="1"/>
  <c r="T567" i="2"/>
  <c r="R567" i="2" s="1"/>
  <c r="N568" i="2"/>
  <c r="S568" i="2"/>
  <c r="Q568" i="2" s="1"/>
  <c r="T568" i="2"/>
  <c r="R568" i="2" s="1"/>
  <c r="N569" i="2"/>
  <c r="S569" i="2"/>
  <c r="Q569" i="2" s="1"/>
  <c r="T569" i="2"/>
  <c r="R569" i="2" s="1"/>
  <c r="N570" i="2"/>
  <c r="S570" i="2"/>
  <c r="Q570" i="2" s="1"/>
  <c r="T570" i="2"/>
  <c r="R570" i="2" s="1"/>
  <c r="N571" i="2"/>
  <c r="S571" i="2"/>
  <c r="Q571" i="2" s="1"/>
  <c r="T571" i="2"/>
  <c r="R571" i="2" s="1"/>
  <c r="N572" i="2"/>
  <c r="S572" i="2"/>
  <c r="Q572" i="2" s="1"/>
  <c r="T572" i="2"/>
  <c r="R572" i="2" s="1"/>
  <c r="N573" i="2"/>
  <c r="S573" i="2"/>
  <c r="Q573" i="2" s="1"/>
  <c r="T573" i="2"/>
  <c r="R573" i="2" s="1"/>
  <c r="N574" i="2"/>
  <c r="S574" i="2"/>
  <c r="Q574" i="2" s="1"/>
  <c r="T574" i="2"/>
  <c r="R574" i="2" s="1"/>
  <c r="N575" i="2"/>
  <c r="S575" i="2"/>
  <c r="Q575" i="2" s="1"/>
  <c r="T575" i="2"/>
  <c r="R575" i="2" s="1"/>
  <c r="N576" i="2"/>
  <c r="S576" i="2"/>
  <c r="Q576" i="2" s="1"/>
  <c r="T576" i="2"/>
  <c r="R576" i="2" s="1"/>
  <c r="N577" i="2"/>
  <c r="S577" i="2"/>
  <c r="Q577" i="2" s="1"/>
  <c r="T577" i="2"/>
  <c r="R577" i="2" s="1"/>
  <c r="N578" i="2"/>
  <c r="S578" i="2"/>
  <c r="Q578" i="2" s="1"/>
  <c r="T578" i="2"/>
  <c r="R578" i="2" s="1"/>
  <c r="N579" i="2"/>
  <c r="S579" i="2"/>
  <c r="Q579" i="2" s="1"/>
  <c r="T579" i="2"/>
  <c r="R579" i="2" s="1"/>
  <c r="N580" i="2"/>
  <c r="S580" i="2"/>
  <c r="Q580" i="2" s="1"/>
  <c r="T580" i="2"/>
  <c r="R580" i="2" s="1"/>
  <c r="N581" i="2"/>
  <c r="S581" i="2"/>
  <c r="Q581" i="2" s="1"/>
  <c r="T581" i="2"/>
  <c r="R581" i="2" s="1"/>
  <c r="N582" i="2"/>
  <c r="S582" i="2"/>
  <c r="Q582" i="2" s="1"/>
  <c r="T582" i="2"/>
  <c r="R582" i="2" s="1"/>
  <c r="N583" i="2"/>
  <c r="S583" i="2"/>
  <c r="Q583" i="2" s="1"/>
  <c r="T583" i="2"/>
  <c r="R583" i="2" s="1"/>
  <c r="N584" i="2"/>
  <c r="S584" i="2"/>
  <c r="Q584" i="2" s="1"/>
  <c r="T584" i="2"/>
  <c r="R584" i="2" s="1"/>
  <c r="N585" i="2"/>
  <c r="S585" i="2"/>
  <c r="Q585" i="2" s="1"/>
  <c r="T585" i="2"/>
  <c r="R585" i="2" s="1"/>
  <c r="N586" i="2"/>
  <c r="T586" i="2"/>
  <c r="R586" i="2" s="1"/>
  <c r="N587" i="2"/>
  <c r="T587" i="2"/>
  <c r="R587" i="2" s="1"/>
  <c r="N588" i="2"/>
  <c r="S588" i="2"/>
  <c r="Q588" i="2" s="1"/>
  <c r="T588" i="2"/>
  <c r="R588" i="2" s="1"/>
  <c r="N589" i="2"/>
  <c r="S589" i="2"/>
  <c r="Q589" i="2" s="1"/>
  <c r="T589" i="2"/>
  <c r="R589" i="2" s="1"/>
  <c r="N590" i="2"/>
  <c r="S590" i="2"/>
  <c r="Q590" i="2" s="1"/>
  <c r="T590" i="2"/>
  <c r="R590" i="2" s="1"/>
  <c r="N591" i="2"/>
  <c r="S591" i="2"/>
  <c r="Q591" i="2" s="1"/>
  <c r="T591" i="2"/>
  <c r="R591" i="2" s="1"/>
  <c r="N592" i="2"/>
  <c r="S592" i="2"/>
  <c r="Q592" i="2" s="1"/>
  <c r="T592" i="2"/>
  <c r="R592" i="2" s="1"/>
  <c r="N593" i="2"/>
  <c r="S593" i="2"/>
  <c r="Q593" i="2" s="1"/>
  <c r="T593" i="2"/>
  <c r="R593" i="2" s="1"/>
  <c r="N594" i="2"/>
  <c r="S594" i="2"/>
  <c r="Q594" i="2" s="1"/>
  <c r="T594" i="2"/>
  <c r="R594" i="2" s="1"/>
  <c r="N595" i="2"/>
  <c r="S595" i="2"/>
  <c r="Q595" i="2" s="1"/>
  <c r="T595" i="2"/>
  <c r="R595" i="2" s="1"/>
  <c r="N596" i="2"/>
  <c r="S596" i="2"/>
  <c r="Q596" i="2" s="1"/>
  <c r="T596" i="2"/>
  <c r="R596" i="2" s="1"/>
  <c r="N597" i="2"/>
  <c r="S597" i="2"/>
  <c r="Q597" i="2" s="1"/>
  <c r="T597" i="2"/>
  <c r="R597" i="2" s="1"/>
  <c r="N598" i="2"/>
  <c r="S598" i="2"/>
  <c r="Q598" i="2" s="1"/>
  <c r="T598" i="2"/>
  <c r="R598" i="2" s="1"/>
  <c r="N599" i="2"/>
  <c r="S599" i="2"/>
  <c r="Q599" i="2" s="1"/>
  <c r="T599" i="2"/>
  <c r="R599" i="2" s="1"/>
  <c r="N600" i="2"/>
  <c r="S600" i="2"/>
  <c r="Q600" i="2" s="1"/>
  <c r="T600" i="2"/>
  <c r="R600" i="2" s="1"/>
  <c r="N601" i="2"/>
  <c r="S601" i="2"/>
  <c r="Q601" i="2" s="1"/>
  <c r="T601" i="2"/>
  <c r="R601" i="2" s="1"/>
  <c r="N602" i="2"/>
  <c r="S602" i="2"/>
  <c r="Q602" i="2" s="1"/>
  <c r="T602" i="2"/>
  <c r="R602" i="2" s="1"/>
  <c r="N603" i="2"/>
  <c r="S603" i="2"/>
  <c r="Q603" i="2" s="1"/>
  <c r="T603" i="2"/>
  <c r="R603" i="2" s="1"/>
  <c r="N604" i="2"/>
  <c r="S604" i="2"/>
  <c r="Q604" i="2" s="1"/>
  <c r="T604" i="2"/>
  <c r="R604" i="2" s="1"/>
  <c r="N605" i="2"/>
  <c r="S605" i="2"/>
  <c r="Q605" i="2" s="1"/>
  <c r="T605" i="2"/>
  <c r="R605" i="2" s="1"/>
  <c r="N606" i="2"/>
  <c r="S606" i="2"/>
  <c r="Q606" i="2" s="1"/>
  <c r="T606" i="2"/>
  <c r="R606" i="2" s="1"/>
  <c r="N607" i="2"/>
  <c r="S607" i="2"/>
  <c r="Q607" i="2" s="1"/>
  <c r="T607" i="2"/>
  <c r="R607" i="2" s="1"/>
  <c r="N608" i="2"/>
  <c r="S608" i="2"/>
  <c r="Q608" i="2" s="1"/>
  <c r="T608" i="2"/>
  <c r="R608" i="2" s="1"/>
  <c r="N609" i="2"/>
  <c r="S609" i="2"/>
  <c r="Q609" i="2" s="1"/>
  <c r="T609" i="2"/>
  <c r="R609" i="2" s="1"/>
  <c r="N610" i="2"/>
  <c r="S610" i="2"/>
  <c r="Q610" i="2" s="1"/>
  <c r="T610" i="2"/>
  <c r="R610" i="2" s="1"/>
  <c r="N611" i="2"/>
  <c r="S611" i="2"/>
  <c r="Q611" i="2" s="1"/>
  <c r="T611" i="2"/>
  <c r="R611" i="2" s="1"/>
  <c r="N612" i="2"/>
  <c r="S612" i="2"/>
  <c r="Q612" i="2" s="1"/>
  <c r="T612" i="2"/>
  <c r="R612" i="2" s="1"/>
  <c r="N613" i="2"/>
  <c r="S613" i="2"/>
  <c r="Q613" i="2" s="1"/>
  <c r="T613" i="2"/>
  <c r="R613" i="2" s="1"/>
  <c r="N614" i="2"/>
  <c r="S614" i="2"/>
  <c r="Q614" i="2" s="1"/>
  <c r="T614" i="2"/>
  <c r="R614" i="2" s="1"/>
  <c r="N615" i="2"/>
  <c r="S615" i="2"/>
  <c r="Q615" i="2" s="1"/>
  <c r="T615" i="2"/>
  <c r="R615" i="2" s="1"/>
  <c r="N616" i="2"/>
  <c r="S616" i="2"/>
  <c r="Q616" i="2" s="1"/>
  <c r="T616" i="2"/>
  <c r="R616" i="2" s="1"/>
  <c r="N617" i="2"/>
  <c r="S617" i="2"/>
  <c r="Q617" i="2" s="1"/>
  <c r="T617" i="2"/>
  <c r="R617" i="2" s="1"/>
  <c r="N618" i="2"/>
  <c r="S618" i="2"/>
  <c r="Q618" i="2" s="1"/>
  <c r="T618" i="2"/>
  <c r="R618" i="2" s="1"/>
  <c r="N619" i="2"/>
  <c r="S619" i="2"/>
  <c r="Q619" i="2" s="1"/>
  <c r="T619" i="2"/>
  <c r="R619" i="2" s="1"/>
  <c r="N620" i="2"/>
  <c r="S620" i="2"/>
  <c r="Q620" i="2" s="1"/>
  <c r="T620" i="2"/>
  <c r="R620" i="2" s="1"/>
  <c r="N621" i="2"/>
  <c r="S621" i="2"/>
  <c r="Q621" i="2" s="1"/>
  <c r="T621" i="2"/>
  <c r="R621" i="2" s="1"/>
  <c r="N622" i="2"/>
  <c r="S622" i="2"/>
  <c r="Q622" i="2" s="1"/>
  <c r="T622" i="2"/>
  <c r="R622" i="2" s="1"/>
  <c r="N623" i="2"/>
  <c r="S623" i="2"/>
  <c r="Q623" i="2" s="1"/>
  <c r="T623" i="2"/>
  <c r="R623" i="2" s="1"/>
  <c r="N624" i="2"/>
  <c r="S624" i="2"/>
  <c r="Q624" i="2" s="1"/>
  <c r="T624" i="2"/>
  <c r="R624" i="2" s="1"/>
  <c r="N625" i="2"/>
  <c r="S625" i="2"/>
  <c r="Q625" i="2" s="1"/>
  <c r="T625" i="2"/>
  <c r="R625" i="2" s="1"/>
  <c r="N626" i="2"/>
  <c r="S626" i="2"/>
  <c r="Q626" i="2" s="1"/>
  <c r="T626" i="2"/>
  <c r="R626" i="2" s="1"/>
  <c r="N627" i="2"/>
  <c r="S627" i="2"/>
  <c r="Q627" i="2" s="1"/>
  <c r="T627" i="2"/>
  <c r="R627" i="2" s="1"/>
  <c r="N628" i="2"/>
  <c r="S628" i="2"/>
  <c r="Q628" i="2" s="1"/>
  <c r="T628" i="2"/>
  <c r="R628" i="2" s="1"/>
  <c r="N629" i="2"/>
  <c r="S629" i="2"/>
  <c r="Q629" i="2" s="1"/>
  <c r="T629" i="2"/>
  <c r="R629" i="2" s="1"/>
  <c r="N630" i="2"/>
  <c r="S630" i="2"/>
  <c r="Q630" i="2" s="1"/>
  <c r="T630" i="2"/>
  <c r="R630" i="2" s="1"/>
  <c r="N631" i="2"/>
  <c r="S631" i="2"/>
  <c r="Q631" i="2" s="1"/>
  <c r="T631" i="2"/>
  <c r="R631" i="2" s="1"/>
  <c r="N632" i="2"/>
  <c r="S632" i="2"/>
  <c r="Q632" i="2" s="1"/>
  <c r="T632" i="2"/>
  <c r="R632" i="2" s="1"/>
  <c r="N633" i="2"/>
  <c r="S633" i="2"/>
  <c r="Q633" i="2" s="1"/>
  <c r="T633" i="2"/>
  <c r="R633" i="2" s="1"/>
  <c r="N634" i="2"/>
  <c r="S634" i="2"/>
  <c r="Q634" i="2" s="1"/>
  <c r="T634" i="2"/>
  <c r="R634" i="2" s="1"/>
  <c r="N635" i="2"/>
  <c r="S635" i="2"/>
  <c r="Q635" i="2" s="1"/>
  <c r="T635" i="2"/>
  <c r="R635" i="2" s="1"/>
  <c r="N636" i="2"/>
  <c r="S636" i="2"/>
  <c r="Q636" i="2" s="1"/>
  <c r="T636" i="2"/>
  <c r="R636" i="2" s="1"/>
  <c r="N637" i="2"/>
  <c r="S637" i="2"/>
  <c r="Q637" i="2" s="1"/>
  <c r="T637" i="2"/>
  <c r="R637" i="2" s="1"/>
  <c r="N638" i="2"/>
  <c r="S638" i="2"/>
  <c r="Q638" i="2" s="1"/>
  <c r="T638" i="2"/>
  <c r="R638" i="2" s="1"/>
  <c r="N639" i="2"/>
  <c r="S639" i="2"/>
  <c r="Q639" i="2" s="1"/>
  <c r="T639" i="2"/>
  <c r="R639" i="2" s="1"/>
  <c r="N640" i="2"/>
  <c r="S640" i="2"/>
  <c r="Q640" i="2" s="1"/>
  <c r="T640" i="2"/>
  <c r="R640" i="2" s="1"/>
  <c r="N641" i="2"/>
  <c r="S641" i="2"/>
  <c r="Q641" i="2" s="1"/>
  <c r="T641" i="2"/>
  <c r="R641" i="2" s="1"/>
  <c r="N642" i="2"/>
  <c r="S642" i="2"/>
  <c r="Q642" i="2" s="1"/>
  <c r="T642" i="2"/>
  <c r="R642" i="2" s="1"/>
  <c r="N643" i="2"/>
  <c r="S643" i="2"/>
  <c r="Q643" i="2" s="1"/>
  <c r="T643" i="2"/>
  <c r="R643" i="2" s="1"/>
  <c r="N644" i="2"/>
  <c r="S644" i="2"/>
  <c r="Q644" i="2" s="1"/>
  <c r="T644" i="2"/>
  <c r="R644" i="2" s="1"/>
  <c r="N645" i="2"/>
  <c r="S645" i="2"/>
  <c r="Q645" i="2" s="1"/>
  <c r="T645" i="2"/>
  <c r="R645" i="2" s="1"/>
  <c r="N646" i="2"/>
  <c r="S646" i="2"/>
  <c r="Q646" i="2" s="1"/>
  <c r="T646" i="2"/>
  <c r="R646" i="2" s="1"/>
  <c r="N647" i="2"/>
  <c r="S647" i="2"/>
  <c r="Q647" i="2" s="1"/>
  <c r="T647" i="2"/>
  <c r="R647" i="2" s="1"/>
  <c r="N648" i="2"/>
  <c r="S648" i="2"/>
  <c r="Q648" i="2" s="1"/>
  <c r="T648" i="2"/>
  <c r="R648" i="2" s="1"/>
  <c r="N649" i="2"/>
  <c r="S649" i="2"/>
  <c r="Q649" i="2" s="1"/>
  <c r="T649" i="2"/>
  <c r="R649" i="2" s="1"/>
  <c r="N650" i="2"/>
  <c r="S650" i="2"/>
  <c r="Q650" i="2" s="1"/>
  <c r="T650" i="2"/>
  <c r="R650" i="2" s="1"/>
  <c r="N651" i="2"/>
  <c r="S651" i="2"/>
  <c r="Q651" i="2" s="1"/>
  <c r="T651" i="2"/>
  <c r="R651" i="2" s="1"/>
  <c r="N652" i="2"/>
  <c r="S652" i="2"/>
  <c r="Q652" i="2" s="1"/>
  <c r="T652" i="2"/>
  <c r="R652" i="2" s="1"/>
  <c r="N653" i="2"/>
  <c r="S653" i="2"/>
  <c r="Q653" i="2" s="1"/>
  <c r="T653" i="2"/>
  <c r="R653" i="2" s="1"/>
  <c r="N654" i="2"/>
  <c r="S654" i="2"/>
  <c r="Q654" i="2" s="1"/>
  <c r="T654" i="2"/>
  <c r="R654" i="2" s="1"/>
  <c r="N655" i="2"/>
  <c r="S655" i="2"/>
  <c r="Q655" i="2" s="1"/>
  <c r="T655" i="2"/>
  <c r="R655" i="2" s="1"/>
  <c r="N656" i="2"/>
  <c r="S656" i="2"/>
  <c r="Q656" i="2" s="1"/>
  <c r="T656" i="2"/>
  <c r="R656" i="2" s="1"/>
  <c r="N657" i="2"/>
  <c r="S657" i="2"/>
  <c r="Q657" i="2" s="1"/>
  <c r="T657" i="2"/>
  <c r="R657" i="2" s="1"/>
  <c r="N658" i="2"/>
  <c r="S658" i="2"/>
  <c r="Q658" i="2" s="1"/>
  <c r="T658" i="2"/>
  <c r="R658" i="2" s="1"/>
  <c r="N659" i="2"/>
  <c r="S659" i="2"/>
  <c r="Q659" i="2" s="1"/>
  <c r="T659" i="2"/>
  <c r="R659" i="2" s="1"/>
  <c r="N660" i="2"/>
  <c r="S660" i="2"/>
  <c r="Q660" i="2" s="1"/>
  <c r="T660" i="2"/>
  <c r="R660" i="2" s="1"/>
  <c r="N661" i="2"/>
  <c r="S661" i="2"/>
  <c r="Q661" i="2" s="1"/>
  <c r="T661" i="2"/>
  <c r="R661" i="2" s="1"/>
  <c r="N662" i="2"/>
  <c r="S662" i="2"/>
  <c r="Q662" i="2" s="1"/>
  <c r="T662" i="2"/>
  <c r="R662" i="2" s="1"/>
  <c r="N663" i="2"/>
  <c r="S663" i="2"/>
  <c r="Q663" i="2" s="1"/>
  <c r="T663" i="2"/>
  <c r="R663" i="2" s="1"/>
  <c r="N664" i="2"/>
  <c r="S664" i="2"/>
  <c r="Q664" i="2" s="1"/>
  <c r="T664" i="2"/>
  <c r="R664" i="2" s="1"/>
  <c r="N665" i="2"/>
  <c r="S665" i="2"/>
  <c r="Q665" i="2" s="1"/>
  <c r="T665" i="2"/>
  <c r="R665" i="2" s="1"/>
  <c r="N666" i="2"/>
  <c r="T666" i="2"/>
  <c r="R666" i="2" s="1"/>
  <c r="N667" i="2"/>
  <c r="S667" i="2"/>
  <c r="Q667" i="2" s="1"/>
  <c r="T667" i="2"/>
  <c r="R667" i="2" s="1"/>
  <c r="N668" i="2"/>
  <c r="S668" i="2"/>
  <c r="Q668" i="2" s="1"/>
  <c r="T668" i="2"/>
  <c r="R668" i="2" s="1"/>
  <c r="N669" i="2"/>
  <c r="S669" i="2"/>
  <c r="Q669" i="2" s="1"/>
  <c r="T669" i="2"/>
  <c r="R669" i="2" s="1"/>
  <c r="N670" i="2"/>
  <c r="S670" i="2"/>
  <c r="Q670" i="2" s="1"/>
  <c r="T670" i="2"/>
  <c r="R670" i="2" s="1"/>
  <c r="N671" i="2"/>
  <c r="S671" i="2"/>
  <c r="Q671" i="2" s="1"/>
  <c r="T671" i="2"/>
  <c r="R671" i="2" s="1"/>
  <c r="N672" i="2"/>
  <c r="S672" i="2"/>
  <c r="Q672" i="2" s="1"/>
  <c r="T672" i="2"/>
  <c r="R672" i="2" s="1"/>
  <c r="N673" i="2"/>
  <c r="S673" i="2"/>
  <c r="Q673" i="2" s="1"/>
  <c r="T673" i="2"/>
  <c r="R673" i="2" s="1"/>
  <c r="N674" i="2"/>
  <c r="S674" i="2"/>
  <c r="Q674" i="2" s="1"/>
  <c r="T674" i="2"/>
  <c r="R674" i="2" s="1"/>
  <c r="N675" i="2"/>
  <c r="S675" i="2"/>
  <c r="Q675" i="2" s="1"/>
  <c r="T675" i="2"/>
  <c r="R675" i="2" s="1"/>
  <c r="N676" i="2"/>
  <c r="S676" i="2"/>
  <c r="Q676" i="2" s="1"/>
  <c r="T676" i="2"/>
  <c r="R676" i="2" s="1"/>
  <c r="N677" i="2"/>
  <c r="S677" i="2"/>
  <c r="Q677" i="2" s="1"/>
  <c r="T677" i="2"/>
  <c r="R677" i="2" s="1"/>
  <c r="N678" i="2"/>
  <c r="S678" i="2"/>
  <c r="Q678" i="2" s="1"/>
  <c r="T678" i="2"/>
  <c r="R678" i="2" s="1"/>
  <c r="N679" i="2"/>
  <c r="S679" i="2"/>
  <c r="Q679" i="2" s="1"/>
  <c r="T679" i="2"/>
  <c r="R679" i="2" s="1"/>
  <c r="N680" i="2"/>
  <c r="S680" i="2"/>
  <c r="Q680" i="2" s="1"/>
  <c r="T680" i="2"/>
  <c r="R680" i="2" s="1"/>
  <c r="N681" i="2"/>
  <c r="S681" i="2"/>
  <c r="Q681" i="2" s="1"/>
  <c r="T681" i="2"/>
  <c r="R681" i="2" s="1"/>
  <c r="N682" i="2"/>
  <c r="S682" i="2"/>
  <c r="Q682" i="2" s="1"/>
  <c r="T682" i="2"/>
  <c r="R682" i="2" s="1"/>
  <c r="N683" i="2"/>
  <c r="S683" i="2"/>
  <c r="Q683" i="2" s="1"/>
  <c r="T683" i="2"/>
  <c r="R683" i="2" s="1"/>
  <c r="N684" i="2"/>
  <c r="S684" i="2"/>
  <c r="Q684" i="2" s="1"/>
  <c r="T684" i="2"/>
  <c r="R684" i="2" s="1"/>
  <c r="N685" i="2"/>
  <c r="S685" i="2"/>
  <c r="Q685" i="2" s="1"/>
  <c r="T685" i="2"/>
  <c r="R685" i="2" s="1"/>
  <c r="N686" i="2"/>
  <c r="S686" i="2"/>
  <c r="Q686" i="2" s="1"/>
  <c r="T686" i="2"/>
  <c r="R686" i="2" s="1"/>
  <c r="N687" i="2"/>
  <c r="S687" i="2"/>
  <c r="Q687" i="2" s="1"/>
  <c r="T687" i="2"/>
  <c r="R687" i="2" s="1"/>
  <c r="N688" i="2"/>
  <c r="S688" i="2"/>
  <c r="Q688" i="2" s="1"/>
  <c r="T688" i="2"/>
  <c r="R688" i="2" s="1"/>
  <c r="N689" i="2"/>
  <c r="S689" i="2"/>
  <c r="Q689" i="2" s="1"/>
  <c r="T689" i="2"/>
  <c r="R689" i="2" s="1"/>
  <c r="N690" i="2"/>
  <c r="S690" i="2"/>
  <c r="Q690" i="2" s="1"/>
  <c r="T690" i="2"/>
  <c r="R690" i="2" s="1"/>
  <c r="N691" i="2"/>
  <c r="S691" i="2"/>
  <c r="Q691" i="2" s="1"/>
  <c r="T691" i="2"/>
  <c r="R691" i="2" s="1"/>
  <c r="N692" i="2"/>
  <c r="S692" i="2"/>
  <c r="Q692" i="2" s="1"/>
  <c r="T692" i="2"/>
  <c r="R692" i="2" s="1"/>
  <c r="N693" i="2"/>
  <c r="S693" i="2"/>
  <c r="Q693" i="2" s="1"/>
  <c r="T693" i="2"/>
  <c r="R693" i="2" s="1"/>
  <c r="N694" i="2"/>
  <c r="S694" i="2"/>
  <c r="Q694" i="2" s="1"/>
  <c r="T694" i="2"/>
  <c r="R694" i="2" s="1"/>
  <c r="N695" i="2"/>
  <c r="S695" i="2"/>
  <c r="Q695" i="2" s="1"/>
  <c r="T695" i="2"/>
  <c r="R695" i="2" s="1"/>
  <c r="N696" i="2"/>
  <c r="S696" i="2"/>
  <c r="Q696" i="2" s="1"/>
  <c r="T696" i="2"/>
  <c r="R696" i="2" s="1"/>
  <c r="N697" i="2"/>
  <c r="S697" i="2"/>
  <c r="Q697" i="2" s="1"/>
  <c r="T697" i="2"/>
  <c r="R697" i="2" s="1"/>
  <c r="N698" i="2"/>
  <c r="S698" i="2"/>
  <c r="Q698" i="2" s="1"/>
  <c r="T698" i="2"/>
  <c r="R698" i="2" s="1"/>
  <c r="N699" i="2"/>
  <c r="S699" i="2"/>
  <c r="Q699" i="2" s="1"/>
  <c r="T699" i="2"/>
  <c r="R699" i="2" s="1"/>
  <c r="N700" i="2"/>
  <c r="S700" i="2"/>
  <c r="Q700" i="2" s="1"/>
  <c r="T700" i="2"/>
  <c r="R700" i="2" s="1"/>
  <c r="N701" i="2"/>
  <c r="S701" i="2"/>
  <c r="Q701" i="2" s="1"/>
  <c r="T701" i="2"/>
  <c r="R701" i="2" s="1"/>
  <c r="N702" i="2"/>
  <c r="S702" i="2"/>
  <c r="Q702" i="2" s="1"/>
  <c r="T702" i="2"/>
  <c r="R702" i="2" s="1"/>
  <c r="N703" i="2"/>
  <c r="S703" i="2"/>
  <c r="Q703" i="2" s="1"/>
  <c r="T703" i="2"/>
  <c r="R703" i="2" s="1"/>
  <c r="N704" i="2"/>
  <c r="S704" i="2"/>
  <c r="Q704" i="2" s="1"/>
  <c r="T704" i="2"/>
  <c r="R704" i="2" s="1"/>
  <c r="N705" i="2"/>
  <c r="S705" i="2"/>
  <c r="Q705" i="2" s="1"/>
  <c r="T705" i="2"/>
  <c r="R705" i="2" s="1"/>
  <c r="N706" i="2"/>
  <c r="S706" i="2"/>
  <c r="Q706" i="2" s="1"/>
  <c r="T706" i="2"/>
  <c r="R706" i="2" s="1"/>
  <c r="N707" i="2"/>
  <c r="S707" i="2"/>
  <c r="Q707" i="2" s="1"/>
  <c r="T707" i="2"/>
  <c r="R707" i="2" s="1"/>
  <c r="N708" i="2"/>
  <c r="S708" i="2"/>
  <c r="Q708" i="2" s="1"/>
  <c r="T708" i="2"/>
  <c r="R708" i="2" s="1"/>
  <c r="N709" i="2"/>
  <c r="S709" i="2"/>
  <c r="Q709" i="2" s="1"/>
  <c r="T709" i="2"/>
  <c r="R709" i="2" s="1"/>
  <c r="N710" i="2"/>
  <c r="S710" i="2"/>
  <c r="Q710" i="2" s="1"/>
  <c r="T710" i="2"/>
  <c r="R710" i="2" s="1"/>
  <c r="N711" i="2"/>
  <c r="S711" i="2"/>
  <c r="Q711" i="2" s="1"/>
  <c r="T711" i="2"/>
  <c r="R711" i="2" s="1"/>
  <c r="N712" i="2"/>
  <c r="S712" i="2"/>
  <c r="Q712" i="2" s="1"/>
  <c r="T712" i="2"/>
  <c r="R712" i="2" s="1"/>
  <c r="N713" i="2"/>
  <c r="S713" i="2"/>
  <c r="Q713" i="2" s="1"/>
  <c r="T713" i="2"/>
  <c r="R713" i="2" s="1"/>
  <c r="N714" i="2"/>
  <c r="S714" i="2"/>
  <c r="Q714" i="2" s="1"/>
  <c r="T714" i="2"/>
  <c r="R714" i="2" s="1"/>
  <c r="N715" i="2"/>
  <c r="S715" i="2"/>
  <c r="Q715" i="2" s="1"/>
  <c r="T715" i="2"/>
  <c r="R715" i="2" s="1"/>
  <c r="N716" i="2"/>
  <c r="S716" i="2"/>
  <c r="Q716" i="2" s="1"/>
  <c r="T716" i="2"/>
  <c r="R716" i="2" s="1"/>
  <c r="N717" i="2"/>
  <c r="S717" i="2"/>
  <c r="Q717" i="2" s="1"/>
  <c r="T717" i="2"/>
  <c r="R717" i="2" s="1"/>
  <c r="N718" i="2"/>
  <c r="S718" i="2"/>
  <c r="Q718" i="2" s="1"/>
  <c r="T718" i="2"/>
  <c r="R718" i="2" s="1"/>
  <c r="N719" i="2"/>
  <c r="S719" i="2"/>
  <c r="Q719" i="2" s="1"/>
  <c r="T719" i="2"/>
  <c r="R719" i="2" s="1"/>
  <c r="N720" i="2"/>
  <c r="S720" i="2"/>
  <c r="Q720" i="2" s="1"/>
  <c r="T720" i="2"/>
  <c r="R720" i="2" s="1"/>
  <c r="N721" i="2"/>
  <c r="S721" i="2"/>
  <c r="Q721" i="2" s="1"/>
  <c r="T721" i="2"/>
  <c r="R721" i="2" s="1"/>
  <c r="N722" i="2"/>
  <c r="S722" i="2"/>
  <c r="Q722" i="2" s="1"/>
  <c r="T722" i="2"/>
  <c r="R722" i="2" s="1"/>
  <c r="N723" i="2"/>
  <c r="S723" i="2"/>
  <c r="Q723" i="2" s="1"/>
  <c r="T723" i="2"/>
  <c r="R723" i="2" s="1"/>
  <c r="N724" i="2"/>
  <c r="S724" i="2"/>
  <c r="Q724" i="2" s="1"/>
  <c r="T724" i="2"/>
  <c r="R724" i="2" s="1"/>
  <c r="M64" i="1"/>
  <c r="M65" i="1"/>
  <c r="N65" i="1" s="1"/>
  <c r="M66" i="1"/>
  <c r="K62" i="1"/>
  <c r="Z723" i="2" l="1"/>
  <c r="AA723" i="2"/>
  <c r="Z707" i="2"/>
  <c r="AA707" i="2"/>
  <c r="Z691" i="2"/>
  <c r="AA691" i="2"/>
  <c r="Z675" i="2"/>
  <c r="AA675" i="2"/>
  <c r="Z664" i="2"/>
  <c r="AA664" i="2"/>
  <c r="Z648" i="2"/>
  <c r="AA648" i="2"/>
  <c r="AA632" i="2"/>
  <c r="Z632" i="2"/>
  <c r="Z616" i="2"/>
  <c r="AA616" i="2"/>
  <c r="Z600" i="2"/>
  <c r="AA600" i="2"/>
  <c r="Z578" i="2"/>
  <c r="AA578" i="2"/>
  <c r="Z562" i="2"/>
  <c r="AA562" i="2"/>
  <c r="Z546" i="2"/>
  <c r="AA546" i="2"/>
  <c r="Z530" i="2"/>
  <c r="AA530" i="2"/>
  <c r="Z514" i="2"/>
  <c r="AA514" i="2"/>
  <c r="Z498" i="2"/>
  <c r="AA498" i="2"/>
  <c r="Z482" i="2"/>
  <c r="AA482" i="2"/>
  <c r="Z466" i="2"/>
  <c r="AA466" i="2"/>
  <c r="Z450" i="2"/>
  <c r="AA450" i="2"/>
  <c r="Z434" i="2"/>
  <c r="AA434" i="2"/>
  <c r="Z418" i="2"/>
  <c r="AA418" i="2"/>
  <c r="Z402" i="2"/>
  <c r="AA402" i="2"/>
  <c r="Z386" i="2"/>
  <c r="AA386" i="2"/>
  <c r="Z370" i="2"/>
  <c r="AA370" i="2"/>
  <c r="Z354" i="2"/>
  <c r="AA354" i="2"/>
  <c r="Z338" i="2"/>
  <c r="AA338" i="2"/>
  <c r="Z322" i="2"/>
  <c r="AA322" i="2"/>
  <c r="Z306" i="2"/>
  <c r="AA306" i="2"/>
  <c r="Z290" i="2"/>
  <c r="AA290" i="2"/>
  <c r="Z274" i="2"/>
  <c r="AA274" i="2"/>
  <c r="Z258" i="2"/>
  <c r="AA258" i="2"/>
  <c r="Z247" i="2"/>
  <c r="AA247" i="2"/>
  <c r="Z231" i="2"/>
  <c r="AA231" i="2"/>
  <c r="Z215" i="2"/>
  <c r="AA215" i="2"/>
  <c r="Z199" i="2"/>
  <c r="AA199" i="2"/>
  <c r="Z183" i="2"/>
  <c r="AA183" i="2"/>
  <c r="Z167" i="2"/>
  <c r="AA167" i="2"/>
  <c r="Z151" i="2"/>
  <c r="AA151" i="2"/>
  <c r="Z135" i="2"/>
  <c r="AA135" i="2"/>
  <c r="Z119" i="2"/>
  <c r="AA119" i="2"/>
  <c r="Z103" i="2"/>
  <c r="AA103" i="2"/>
  <c r="Z87" i="2"/>
  <c r="AA87" i="2"/>
  <c r="Z71" i="2"/>
  <c r="AA71" i="2"/>
  <c r="Z60" i="2"/>
  <c r="AA60" i="2"/>
  <c r="Z38" i="2"/>
  <c r="AA38" i="2"/>
  <c r="Z22" i="2"/>
  <c r="AA22" i="2"/>
  <c r="Z712" i="2"/>
  <c r="AA712" i="2"/>
  <c r="Z696" i="2"/>
  <c r="AA696" i="2"/>
  <c r="Z680" i="2"/>
  <c r="AA680" i="2"/>
  <c r="Z653" i="2"/>
  <c r="AA653" i="2"/>
  <c r="Z637" i="2"/>
  <c r="AA637" i="2"/>
  <c r="Z621" i="2"/>
  <c r="AA621" i="2"/>
  <c r="Z605" i="2"/>
  <c r="AA605" i="2"/>
  <c r="Z589" i="2"/>
  <c r="AA589" i="2"/>
  <c r="Z583" i="2"/>
  <c r="AA583" i="2"/>
  <c r="Z567" i="2"/>
  <c r="AA567" i="2"/>
  <c r="Z551" i="2"/>
  <c r="AA551" i="2"/>
  <c r="Z535" i="2"/>
  <c r="AA535" i="2"/>
  <c r="Z519" i="2"/>
  <c r="AA519" i="2"/>
  <c r="Z503" i="2"/>
  <c r="AA503" i="2"/>
  <c r="Z487" i="2"/>
  <c r="AA487" i="2"/>
  <c r="Z471" i="2"/>
  <c r="AA471" i="2"/>
  <c r="Z455" i="2"/>
  <c r="AA455" i="2"/>
  <c r="Z439" i="2"/>
  <c r="AA439" i="2"/>
  <c r="Z423" i="2"/>
  <c r="AA423" i="2"/>
  <c r="Z407" i="2"/>
  <c r="AA407" i="2"/>
  <c r="Z391" i="2"/>
  <c r="AA391" i="2"/>
  <c r="Z375" i="2"/>
  <c r="AA375" i="2"/>
  <c r="Z359" i="2"/>
  <c r="AA359" i="2"/>
  <c r="Z343" i="2"/>
  <c r="AA343" i="2"/>
  <c r="Z327" i="2"/>
  <c r="AA327" i="2"/>
  <c r="Z311" i="2"/>
  <c r="AA311" i="2"/>
  <c r="Z295" i="2"/>
  <c r="AA295" i="2"/>
  <c r="Z279" i="2"/>
  <c r="AA279" i="2"/>
  <c r="Z263" i="2"/>
  <c r="AA263" i="2"/>
  <c r="Z236" i="2"/>
  <c r="AA236" i="2"/>
  <c r="Z220" i="2"/>
  <c r="AA220" i="2"/>
  <c r="Z204" i="2"/>
  <c r="AA204" i="2"/>
  <c r="Z188" i="2"/>
  <c r="AA188" i="2"/>
  <c r="Z172" i="2"/>
  <c r="AA172" i="2"/>
  <c r="Z156" i="2"/>
  <c r="AA156" i="2"/>
  <c r="Z140" i="2"/>
  <c r="AA140" i="2"/>
  <c r="Z124" i="2"/>
  <c r="AA124" i="2"/>
  <c r="Z108" i="2"/>
  <c r="AA108" i="2"/>
  <c r="Z92" i="2"/>
  <c r="AA92" i="2"/>
  <c r="Z76" i="2"/>
  <c r="AA76" i="2"/>
  <c r="Z65" i="2"/>
  <c r="AA65" i="2"/>
  <c r="Z49" i="2"/>
  <c r="AA49" i="2"/>
  <c r="Z27" i="2"/>
  <c r="AA27" i="2"/>
  <c r="Z717" i="2"/>
  <c r="AA717" i="2"/>
  <c r="Z701" i="2"/>
  <c r="AA701" i="2"/>
  <c r="Z685" i="2"/>
  <c r="AA685" i="2"/>
  <c r="Z669" i="2"/>
  <c r="AA669" i="2"/>
  <c r="Z658" i="2"/>
  <c r="AA658" i="2"/>
  <c r="Z642" i="2"/>
  <c r="AA642" i="2"/>
  <c r="Z626" i="2"/>
  <c r="AA626" i="2"/>
  <c r="Z610" i="2"/>
  <c r="AA610" i="2"/>
  <c r="Z594" i="2"/>
  <c r="AA594" i="2"/>
  <c r="Z572" i="2"/>
  <c r="AA572" i="2"/>
  <c r="Z556" i="2"/>
  <c r="AA556" i="2"/>
  <c r="Z540" i="2"/>
  <c r="AA540" i="2"/>
  <c r="Z524" i="2"/>
  <c r="AA524" i="2"/>
  <c r="Z508" i="2"/>
  <c r="AA508" i="2"/>
  <c r="Z492" i="2"/>
  <c r="AA492" i="2"/>
  <c r="Z476" i="2"/>
  <c r="AA476" i="2"/>
  <c r="Z460" i="2"/>
  <c r="AA460" i="2"/>
  <c r="Z444" i="2"/>
  <c r="AA444" i="2"/>
  <c r="Z428" i="2"/>
  <c r="AA428" i="2"/>
  <c r="Z412" i="2"/>
  <c r="AA412" i="2"/>
  <c r="Z396" i="2"/>
  <c r="AA396" i="2"/>
  <c r="Z380" i="2"/>
  <c r="AA380" i="2"/>
  <c r="Z364" i="2"/>
  <c r="AA364" i="2"/>
  <c r="Z348" i="2"/>
  <c r="AA348" i="2"/>
  <c r="Z332" i="2"/>
  <c r="AA332" i="2"/>
  <c r="Z316" i="2"/>
  <c r="AA316" i="2"/>
  <c r="Z300" i="2"/>
  <c r="AA300" i="2"/>
  <c r="Z284" i="2"/>
  <c r="AA284" i="2"/>
  <c r="Z268" i="2"/>
  <c r="AA268" i="2"/>
  <c r="Z252" i="2"/>
  <c r="AA252" i="2"/>
  <c r="Z241" i="2"/>
  <c r="AA241" i="2"/>
  <c r="Z225" i="2"/>
  <c r="AA225" i="2"/>
  <c r="Z209" i="2"/>
  <c r="AA209" i="2"/>
  <c r="Z193" i="2"/>
  <c r="AA193" i="2"/>
  <c r="AA177" i="2"/>
  <c r="Z177" i="2"/>
  <c r="AA161" i="2"/>
  <c r="Z161" i="2"/>
  <c r="AA145" i="2"/>
  <c r="Z145" i="2"/>
  <c r="AA129" i="2"/>
  <c r="Z129" i="2"/>
  <c r="AA113" i="2"/>
  <c r="Z113" i="2"/>
  <c r="Z97" i="2"/>
  <c r="AA97" i="2"/>
  <c r="Z81" i="2"/>
  <c r="AA81" i="2"/>
  <c r="Z54" i="2"/>
  <c r="AA54" i="2"/>
  <c r="Z43" i="2"/>
  <c r="AA43" i="2"/>
  <c r="Z32" i="2"/>
  <c r="AA32" i="2"/>
  <c r="Z16" i="2"/>
  <c r="AA16" i="2"/>
  <c r="Z722" i="2"/>
  <c r="AA722" i="2"/>
  <c r="Z706" i="2"/>
  <c r="AA706" i="2"/>
  <c r="Z690" i="2"/>
  <c r="AA690" i="2"/>
  <c r="Z674" i="2"/>
  <c r="AA674" i="2"/>
  <c r="Z663" i="2"/>
  <c r="AA663" i="2"/>
  <c r="Z647" i="2"/>
  <c r="AA647" i="2"/>
  <c r="Z631" i="2"/>
  <c r="AA631" i="2"/>
  <c r="AA615" i="2"/>
  <c r="Z615" i="2"/>
  <c r="Z599" i="2"/>
  <c r="AA599" i="2"/>
  <c r="Z577" i="2"/>
  <c r="AA577" i="2"/>
  <c r="Z561" i="2"/>
  <c r="AA561" i="2"/>
  <c r="Z545" i="2"/>
  <c r="AA545" i="2"/>
  <c r="Z529" i="2"/>
  <c r="AA529" i="2"/>
  <c r="Z513" i="2"/>
  <c r="AA513" i="2"/>
  <c r="Z497" i="2"/>
  <c r="AA497" i="2"/>
  <c r="Z481" i="2"/>
  <c r="AA481" i="2"/>
  <c r="Z465" i="2"/>
  <c r="AA465" i="2"/>
  <c r="Z449" i="2"/>
  <c r="AA449" i="2"/>
  <c r="Z433" i="2"/>
  <c r="AA433" i="2"/>
  <c r="Z417" i="2"/>
  <c r="AA417" i="2"/>
  <c r="Z401" i="2"/>
  <c r="AA401" i="2"/>
  <c r="Z385" i="2"/>
  <c r="AA385" i="2"/>
  <c r="Z369" i="2"/>
  <c r="AA369" i="2"/>
  <c r="Z353" i="2"/>
  <c r="AA353" i="2"/>
  <c r="Z337" i="2"/>
  <c r="AA337" i="2"/>
  <c r="Z321" i="2"/>
  <c r="AA321" i="2"/>
  <c r="Z305" i="2"/>
  <c r="AA305" i="2"/>
  <c r="Z289" i="2"/>
  <c r="AA289" i="2"/>
  <c r="Z273" i="2"/>
  <c r="AA273" i="2"/>
  <c r="Z257" i="2"/>
  <c r="AA257" i="2"/>
  <c r="Z246" i="2"/>
  <c r="AA246" i="2"/>
  <c r="Z230" i="2"/>
  <c r="AA230" i="2"/>
  <c r="Z214" i="2"/>
  <c r="AA214" i="2"/>
  <c r="Z198" i="2"/>
  <c r="AA198" i="2"/>
  <c r="Z182" i="2"/>
  <c r="AA182" i="2"/>
  <c r="Z166" i="2"/>
  <c r="AA166" i="2"/>
  <c r="Z150" i="2"/>
  <c r="AA150" i="2"/>
  <c r="Z134" i="2"/>
  <c r="AA134" i="2"/>
  <c r="Z118" i="2"/>
  <c r="AA118" i="2"/>
  <c r="Z102" i="2"/>
  <c r="AA102" i="2"/>
  <c r="Z86" i="2"/>
  <c r="AA86" i="2"/>
  <c r="Z70" i="2"/>
  <c r="AA70" i="2"/>
  <c r="Z59" i="2"/>
  <c r="AA59" i="2"/>
  <c r="Z37" i="2"/>
  <c r="AA37" i="2"/>
  <c r="Z21" i="2"/>
  <c r="AA21" i="2"/>
  <c r="Z711" i="2"/>
  <c r="AA711" i="2"/>
  <c r="AA695" i="2"/>
  <c r="Z695" i="2"/>
  <c r="Z679" i="2"/>
  <c r="AA679" i="2"/>
  <c r="Z652" i="2"/>
  <c r="AA652" i="2"/>
  <c r="Z636" i="2"/>
  <c r="AA636" i="2"/>
  <c r="Z620" i="2"/>
  <c r="AA620" i="2"/>
  <c r="Z604" i="2"/>
  <c r="AA604" i="2"/>
  <c r="Z588" i="2"/>
  <c r="AA588" i="2"/>
  <c r="Z582" i="2"/>
  <c r="AA582" i="2"/>
  <c r="Z566" i="2"/>
  <c r="AA566" i="2"/>
  <c r="Z550" i="2"/>
  <c r="AA550" i="2"/>
  <c r="Z534" i="2"/>
  <c r="AA534" i="2"/>
  <c r="Z518" i="2"/>
  <c r="AA518" i="2"/>
  <c r="Z502" i="2"/>
  <c r="AA502" i="2"/>
  <c r="Z486" i="2"/>
  <c r="AA486" i="2"/>
  <c r="Z470" i="2"/>
  <c r="AA470" i="2"/>
  <c r="Z454" i="2"/>
  <c r="AA454" i="2"/>
  <c r="Z438" i="2"/>
  <c r="AA438" i="2"/>
  <c r="Z422" i="2"/>
  <c r="AA422" i="2"/>
  <c r="Z406" i="2"/>
  <c r="AA406" i="2"/>
  <c r="Z390" i="2"/>
  <c r="AA390" i="2"/>
  <c r="Z374" i="2"/>
  <c r="AA374" i="2"/>
  <c r="Z358" i="2"/>
  <c r="AA358" i="2"/>
  <c r="Z342" i="2"/>
  <c r="AA342" i="2"/>
  <c r="Z326" i="2"/>
  <c r="AA326" i="2"/>
  <c r="Z310" i="2"/>
  <c r="AA310" i="2"/>
  <c r="Z294" i="2"/>
  <c r="AA294" i="2"/>
  <c r="Z278" i="2"/>
  <c r="AA278" i="2"/>
  <c r="Z262" i="2"/>
  <c r="AA262" i="2"/>
  <c r="Z235" i="2"/>
  <c r="AA235" i="2"/>
  <c r="Z219" i="2"/>
  <c r="AA219" i="2"/>
  <c r="Z203" i="2"/>
  <c r="AA203" i="2"/>
  <c r="Z187" i="2"/>
  <c r="AA187" i="2"/>
  <c r="Z171" i="2"/>
  <c r="AA171" i="2"/>
  <c r="Z155" i="2"/>
  <c r="AA155" i="2"/>
  <c r="AA139" i="2"/>
  <c r="Z139" i="2"/>
  <c r="Z123" i="2"/>
  <c r="AA123" i="2"/>
  <c r="Z107" i="2"/>
  <c r="AA107" i="2"/>
  <c r="Z91" i="2"/>
  <c r="AA91" i="2"/>
  <c r="Z75" i="2"/>
  <c r="AA75" i="2"/>
  <c r="Z64" i="2"/>
  <c r="AA64" i="2"/>
  <c r="Z48" i="2"/>
  <c r="AA48" i="2"/>
  <c r="Z26" i="2"/>
  <c r="AA26" i="2"/>
  <c r="Z716" i="2"/>
  <c r="AA716" i="2"/>
  <c r="Z700" i="2"/>
  <c r="AA700" i="2"/>
  <c r="Z684" i="2"/>
  <c r="AA684" i="2"/>
  <c r="Z668" i="2"/>
  <c r="AA668" i="2"/>
  <c r="Z657" i="2"/>
  <c r="AA657" i="2"/>
  <c r="Z641" i="2"/>
  <c r="AA641" i="2"/>
  <c r="Z625" i="2"/>
  <c r="AA625" i="2"/>
  <c r="Z609" i="2"/>
  <c r="AA609" i="2"/>
  <c r="Z593" i="2"/>
  <c r="AA593" i="2"/>
  <c r="Z571" i="2"/>
  <c r="AA571" i="2"/>
  <c r="Z555" i="2"/>
  <c r="AA555" i="2"/>
  <c r="Z539" i="2"/>
  <c r="AA539" i="2"/>
  <c r="Z523" i="2"/>
  <c r="AA523" i="2"/>
  <c r="Z507" i="2"/>
  <c r="AA507" i="2"/>
  <c r="Z491" i="2"/>
  <c r="AA491" i="2"/>
  <c r="Z475" i="2"/>
  <c r="AA475" i="2"/>
  <c r="Z459" i="2"/>
  <c r="AA459" i="2"/>
  <c r="Z443" i="2"/>
  <c r="AA443" i="2"/>
  <c r="Z427" i="2"/>
  <c r="AA427" i="2"/>
  <c r="Z411" i="2"/>
  <c r="AA411" i="2"/>
  <c r="Z395" i="2"/>
  <c r="AA395" i="2"/>
  <c r="Z379" i="2"/>
  <c r="AA379" i="2"/>
  <c r="Z363" i="2"/>
  <c r="AA363" i="2"/>
  <c r="Z347" i="2"/>
  <c r="AA347" i="2"/>
  <c r="Z331" i="2"/>
  <c r="AA331" i="2"/>
  <c r="Z315" i="2"/>
  <c r="AA315" i="2"/>
  <c r="Z299" i="2"/>
  <c r="AA299" i="2"/>
  <c r="Z283" i="2"/>
  <c r="AA283" i="2"/>
  <c r="Z267" i="2"/>
  <c r="AA267" i="2"/>
  <c r="Z251" i="2"/>
  <c r="AA251" i="2"/>
  <c r="Z240" i="2"/>
  <c r="AA240" i="2"/>
  <c r="Z224" i="2"/>
  <c r="AA224" i="2"/>
  <c r="Z208" i="2"/>
  <c r="AA208" i="2"/>
  <c r="Z192" i="2"/>
  <c r="AA192" i="2"/>
  <c r="Z176" i="2"/>
  <c r="AA176" i="2"/>
  <c r="Z160" i="2"/>
  <c r="AA160" i="2"/>
  <c r="Z144" i="2"/>
  <c r="AA144" i="2"/>
  <c r="AA128" i="2"/>
  <c r="Z128" i="2"/>
  <c r="Z112" i="2"/>
  <c r="AA112" i="2"/>
  <c r="Z96" i="2"/>
  <c r="AA96" i="2"/>
  <c r="Z80" i="2"/>
  <c r="AA80" i="2"/>
  <c r="Z53" i="2"/>
  <c r="AA53" i="2"/>
  <c r="Z42" i="2"/>
  <c r="AA42" i="2"/>
  <c r="Z31" i="2"/>
  <c r="AA31" i="2"/>
  <c r="Z15" i="2"/>
  <c r="AA15" i="2"/>
  <c r="Z721" i="2"/>
  <c r="AA721" i="2"/>
  <c r="Z705" i="2"/>
  <c r="AA705" i="2"/>
  <c r="Z689" i="2"/>
  <c r="AA689" i="2"/>
  <c r="Z673" i="2"/>
  <c r="AA673" i="2"/>
  <c r="Z662" i="2"/>
  <c r="AA662" i="2"/>
  <c r="Z646" i="2"/>
  <c r="AA646" i="2"/>
  <c r="Z630" i="2"/>
  <c r="AA630" i="2"/>
  <c r="Z614" i="2"/>
  <c r="AA614" i="2"/>
  <c r="Z598" i="2"/>
  <c r="AA598" i="2"/>
  <c r="Z587" i="2"/>
  <c r="AA587" i="2"/>
  <c r="Z576" i="2"/>
  <c r="AA576" i="2"/>
  <c r="Z560" i="2"/>
  <c r="AA560" i="2"/>
  <c r="Z544" i="2"/>
  <c r="AA544" i="2"/>
  <c r="Z528" i="2"/>
  <c r="AA528" i="2"/>
  <c r="Z512" i="2"/>
  <c r="AA512" i="2"/>
  <c r="Z496" i="2"/>
  <c r="AA496" i="2"/>
  <c r="Z480" i="2"/>
  <c r="AA480" i="2"/>
  <c r="Z464" i="2"/>
  <c r="AA464" i="2"/>
  <c r="Z448" i="2"/>
  <c r="AA448" i="2"/>
  <c r="Z432" i="2"/>
  <c r="AA432" i="2"/>
  <c r="Z416" i="2"/>
  <c r="AA416" i="2"/>
  <c r="Z400" i="2"/>
  <c r="AA400" i="2"/>
  <c r="Z384" i="2"/>
  <c r="AA384" i="2"/>
  <c r="Z368" i="2"/>
  <c r="AA368" i="2"/>
  <c r="Z352" i="2"/>
  <c r="AA352" i="2"/>
  <c r="Z336" i="2"/>
  <c r="AA336" i="2"/>
  <c r="Z320" i="2"/>
  <c r="AA320" i="2"/>
  <c r="Z304" i="2"/>
  <c r="AA304" i="2"/>
  <c r="Z288" i="2"/>
  <c r="AA288" i="2"/>
  <c r="Z272" i="2"/>
  <c r="AA272" i="2"/>
  <c r="Z256" i="2"/>
  <c r="AA256" i="2"/>
  <c r="Z245" i="2"/>
  <c r="AA245" i="2"/>
  <c r="Z229" i="2"/>
  <c r="AA229" i="2"/>
  <c r="Z213" i="2"/>
  <c r="AA213" i="2"/>
  <c r="Z197" i="2"/>
  <c r="AA197" i="2"/>
  <c r="Z181" i="2"/>
  <c r="AA181" i="2"/>
  <c r="Z165" i="2"/>
  <c r="AA165" i="2"/>
  <c r="Z149" i="2"/>
  <c r="AA149" i="2"/>
  <c r="Z133" i="2"/>
  <c r="AA133" i="2"/>
  <c r="Z117" i="2"/>
  <c r="AA117" i="2"/>
  <c r="AA101" i="2"/>
  <c r="Z101" i="2"/>
  <c r="Z85" i="2"/>
  <c r="AA85" i="2"/>
  <c r="Z69" i="2"/>
  <c r="AA69" i="2"/>
  <c r="Z58" i="2"/>
  <c r="AA58" i="2"/>
  <c r="Z36" i="2"/>
  <c r="AA36" i="2"/>
  <c r="Z20" i="2"/>
  <c r="AA20" i="2"/>
  <c r="Z710" i="2"/>
  <c r="AA710" i="2"/>
  <c r="Z694" i="2"/>
  <c r="AA694" i="2"/>
  <c r="Z678" i="2"/>
  <c r="AA678" i="2"/>
  <c r="Z651" i="2"/>
  <c r="AA651" i="2"/>
  <c r="Z635" i="2"/>
  <c r="AA635" i="2"/>
  <c r="Z619" i="2"/>
  <c r="AA619" i="2"/>
  <c r="Z603" i="2"/>
  <c r="AA603" i="2"/>
  <c r="Z581" i="2"/>
  <c r="AA581" i="2"/>
  <c r="Z565" i="2"/>
  <c r="AA565" i="2"/>
  <c r="Z549" i="2"/>
  <c r="AA549" i="2"/>
  <c r="Z533" i="2"/>
  <c r="AA533" i="2"/>
  <c r="Z517" i="2"/>
  <c r="AA517" i="2"/>
  <c r="Z501" i="2"/>
  <c r="AA501" i="2"/>
  <c r="Z485" i="2"/>
  <c r="AA485" i="2"/>
  <c r="Z469" i="2"/>
  <c r="AA469" i="2"/>
  <c r="Z453" i="2"/>
  <c r="AA453" i="2"/>
  <c r="Z437" i="2"/>
  <c r="AA437" i="2"/>
  <c r="Z421" i="2"/>
  <c r="AA421" i="2"/>
  <c r="Z405" i="2"/>
  <c r="AA405" i="2"/>
  <c r="Z389" i="2"/>
  <c r="AA389" i="2"/>
  <c r="Z373" i="2"/>
  <c r="AA373" i="2"/>
  <c r="Z357" i="2"/>
  <c r="AA357" i="2"/>
  <c r="Z341" i="2"/>
  <c r="AA341" i="2"/>
  <c r="Z325" i="2"/>
  <c r="AA325" i="2"/>
  <c r="Z309" i="2"/>
  <c r="AA309" i="2"/>
  <c r="Z293" i="2"/>
  <c r="AA293" i="2"/>
  <c r="Z277" i="2"/>
  <c r="AA277" i="2"/>
  <c r="Z261" i="2"/>
  <c r="AA261" i="2"/>
  <c r="Z234" i="2"/>
  <c r="AA234" i="2"/>
  <c r="Z218" i="2"/>
  <c r="AA218" i="2"/>
  <c r="Z202" i="2"/>
  <c r="AA202" i="2"/>
  <c r="Z186" i="2"/>
  <c r="AA186" i="2"/>
  <c r="Z170" i="2"/>
  <c r="AA170" i="2"/>
  <c r="Z154" i="2"/>
  <c r="AA154" i="2"/>
  <c r="Z138" i="2"/>
  <c r="AA138" i="2"/>
  <c r="Z122" i="2"/>
  <c r="AA122" i="2"/>
  <c r="Z106" i="2"/>
  <c r="AA106" i="2"/>
  <c r="Z90" i="2"/>
  <c r="AA90" i="2"/>
  <c r="Z74" i="2"/>
  <c r="AA74" i="2"/>
  <c r="Z63" i="2"/>
  <c r="AA63" i="2"/>
  <c r="Z47" i="2"/>
  <c r="AA47" i="2"/>
  <c r="Z25" i="2"/>
  <c r="AA25" i="2"/>
  <c r="Z715" i="2"/>
  <c r="AA715" i="2"/>
  <c r="Z699" i="2"/>
  <c r="AA699" i="2"/>
  <c r="Z683" i="2"/>
  <c r="AA683" i="2"/>
  <c r="Z667" i="2"/>
  <c r="AA667" i="2"/>
  <c r="Z656" i="2"/>
  <c r="AA656" i="2"/>
  <c r="Z640" i="2"/>
  <c r="AA640" i="2"/>
  <c r="Z624" i="2"/>
  <c r="AA624" i="2"/>
  <c r="Z608" i="2"/>
  <c r="AA608" i="2"/>
  <c r="Z592" i="2"/>
  <c r="AA592" i="2"/>
  <c r="Z586" i="2"/>
  <c r="AA586" i="2"/>
  <c r="Z570" i="2"/>
  <c r="AA570" i="2"/>
  <c r="Z554" i="2"/>
  <c r="AA554" i="2"/>
  <c r="Z538" i="2"/>
  <c r="AA538" i="2"/>
  <c r="Z522" i="2"/>
  <c r="AA522" i="2"/>
  <c r="Z506" i="2"/>
  <c r="AA506" i="2"/>
  <c r="Z490" i="2"/>
  <c r="AA490" i="2"/>
  <c r="Z474" i="2"/>
  <c r="AA474" i="2"/>
  <c r="Z458" i="2"/>
  <c r="AA458" i="2"/>
  <c r="Z442" i="2"/>
  <c r="AA442" i="2"/>
  <c r="Z426" i="2"/>
  <c r="AA426" i="2"/>
  <c r="Z410" i="2"/>
  <c r="AA410" i="2"/>
  <c r="Z394" i="2"/>
  <c r="AA394" i="2"/>
  <c r="Z378" i="2"/>
  <c r="AA378" i="2"/>
  <c r="Z362" i="2"/>
  <c r="AA362" i="2"/>
  <c r="Z346" i="2"/>
  <c r="AA346" i="2"/>
  <c r="Z330" i="2"/>
  <c r="AA330" i="2"/>
  <c r="Z314" i="2"/>
  <c r="AA314" i="2"/>
  <c r="Z298" i="2"/>
  <c r="AA298" i="2"/>
  <c r="Z282" i="2"/>
  <c r="AA282" i="2"/>
  <c r="Z266" i="2"/>
  <c r="AA266" i="2"/>
  <c r="Z250" i="2"/>
  <c r="AA250" i="2"/>
  <c r="Z239" i="2"/>
  <c r="AA239" i="2"/>
  <c r="Z223" i="2"/>
  <c r="AA223" i="2"/>
  <c r="Z207" i="2"/>
  <c r="AA207" i="2"/>
  <c r="Z191" i="2"/>
  <c r="AA191" i="2"/>
  <c r="Z175" i="2"/>
  <c r="AA175" i="2"/>
  <c r="Z159" i="2"/>
  <c r="AA159" i="2"/>
  <c r="Z143" i="2"/>
  <c r="AA143" i="2"/>
  <c r="Z127" i="2"/>
  <c r="AA127" i="2"/>
  <c r="Z111" i="2"/>
  <c r="AA111" i="2"/>
  <c r="Z95" i="2"/>
  <c r="AA95" i="2"/>
  <c r="Z79" i="2"/>
  <c r="AA79" i="2"/>
  <c r="Z52" i="2"/>
  <c r="AA52" i="2"/>
  <c r="Z41" i="2"/>
  <c r="AA41" i="2"/>
  <c r="Z30" i="2"/>
  <c r="AA30" i="2"/>
  <c r="Z14" i="2"/>
  <c r="AA14" i="2"/>
  <c r="AA720" i="2"/>
  <c r="Z720" i="2"/>
  <c r="Z704" i="2"/>
  <c r="AA704" i="2"/>
  <c r="Z688" i="2"/>
  <c r="AA688" i="2"/>
  <c r="Z672" i="2"/>
  <c r="AA672" i="2"/>
  <c r="Z661" i="2"/>
  <c r="AA661" i="2"/>
  <c r="Z645" i="2"/>
  <c r="AA645" i="2"/>
  <c r="Z629" i="2"/>
  <c r="AA629" i="2"/>
  <c r="Z613" i="2"/>
  <c r="AA613" i="2"/>
  <c r="Z597" i="2"/>
  <c r="AA597" i="2"/>
  <c r="Z575" i="2"/>
  <c r="AA575" i="2"/>
  <c r="Z559" i="2"/>
  <c r="AA559" i="2"/>
  <c r="Z543" i="2"/>
  <c r="AA543" i="2"/>
  <c r="Z527" i="2"/>
  <c r="AA527" i="2"/>
  <c r="Z511" i="2"/>
  <c r="AA511" i="2"/>
  <c r="Z495" i="2"/>
  <c r="AA495" i="2"/>
  <c r="Z479" i="2"/>
  <c r="AA479" i="2"/>
  <c r="Z463" i="2"/>
  <c r="AA463" i="2"/>
  <c r="Z447" i="2"/>
  <c r="AA447" i="2"/>
  <c r="Z431" i="2"/>
  <c r="AA431" i="2"/>
  <c r="Z415" i="2"/>
  <c r="AA415" i="2"/>
  <c r="Z399" i="2"/>
  <c r="AA399" i="2"/>
  <c r="Z383" i="2"/>
  <c r="AA383" i="2"/>
  <c r="Z367" i="2"/>
  <c r="AA367" i="2"/>
  <c r="Z351" i="2"/>
  <c r="AA351" i="2"/>
  <c r="Z335" i="2"/>
  <c r="AA335" i="2"/>
  <c r="Z319" i="2"/>
  <c r="AA319" i="2"/>
  <c r="Z303" i="2"/>
  <c r="AA303" i="2"/>
  <c r="Z287" i="2"/>
  <c r="AA287" i="2"/>
  <c r="Z271" i="2"/>
  <c r="AA271" i="2"/>
  <c r="Z255" i="2"/>
  <c r="AA255" i="2"/>
  <c r="Z244" i="2"/>
  <c r="AA244" i="2"/>
  <c r="Z228" i="2"/>
  <c r="AA228" i="2"/>
  <c r="Z212" i="2"/>
  <c r="AA212" i="2"/>
  <c r="Z196" i="2"/>
  <c r="AA196" i="2"/>
  <c r="Z180" i="2"/>
  <c r="AA180" i="2"/>
  <c r="Z164" i="2"/>
  <c r="AA164" i="2"/>
  <c r="Z148" i="2"/>
  <c r="AA148" i="2"/>
  <c r="Z132" i="2"/>
  <c r="AA132" i="2"/>
  <c r="Z116" i="2"/>
  <c r="AA116" i="2"/>
  <c r="Z100" i="2"/>
  <c r="AA100" i="2"/>
  <c r="AA84" i="2"/>
  <c r="Z84" i="2"/>
  <c r="Z68" i="2"/>
  <c r="AA68" i="2"/>
  <c r="Z57" i="2"/>
  <c r="AA57" i="2"/>
  <c r="Z35" i="2"/>
  <c r="AA35" i="2"/>
  <c r="Z19" i="2"/>
  <c r="AA19" i="2"/>
  <c r="AA709" i="2"/>
  <c r="Z709" i="2"/>
  <c r="Z693" i="2"/>
  <c r="AA693" i="2"/>
  <c r="Z677" i="2"/>
  <c r="AA677" i="2"/>
  <c r="Z666" i="2"/>
  <c r="AA666" i="2"/>
  <c r="Z650" i="2"/>
  <c r="AA650" i="2"/>
  <c r="Z634" i="2"/>
  <c r="AA634" i="2"/>
  <c r="Z618" i="2"/>
  <c r="AA618" i="2"/>
  <c r="Z602" i="2"/>
  <c r="AA602" i="2"/>
  <c r="Z580" i="2"/>
  <c r="AA580" i="2"/>
  <c r="Z564" i="2"/>
  <c r="AA564" i="2"/>
  <c r="Z548" i="2"/>
  <c r="AA548" i="2"/>
  <c r="Z532" i="2"/>
  <c r="AA532" i="2"/>
  <c r="Z516" i="2"/>
  <c r="AA516" i="2"/>
  <c r="Z500" i="2"/>
  <c r="AA500" i="2"/>
  <c r="Z484" i="2"/>
  <c r="AA484" i="2"/>
  <c r="Z468" i="2"/>
  <c r="AA468" i="2"/>
  <c r="Z452" i="2"/>
  <c r="AA452" i="2"/>
  <c r="Z436" i="2"/>
  <c r="AA436" i="2"/>
  <c r="Z420" i="2"/>
  <c r="AA420" i="2"/>
  <c r="Z404" i="2"/>
  <c r="AA404" i="2"/>
  <c r="Z388" i="2"/>
  <c r="AA388" i="2"/>
  <c r="Z372" i="2"/>
  <c r="AA372" i="2"/>
  <c r="Z356" i="2"/>
  <c r="AA356" i="2"/>
  <c r="Z340" i="2"/>
  <c r="AA340" i="2"/>
  <c r="Z324" i="2"/>
  <c r="AA324" i="2"/>
  <c r="Z308" i="2"/>
  <c r="AA308" i="2"/>
  <c r="Z292" i="2"/>
  <c r="AA292" i="2"/>
  <c r="Z276" i="2"/>
  <c r="AA276" i="2"/>
  <c r="Z260" i="2"/>
  <c r="AA260" i="2"/>
  <c r="Z233" i="2"/>
  <c r="AA233" i="2"/>
  <c r="Z217" i="2"/>
  <c r="AA217" i="2"/>
  <c r="Z201" i="2"/>
  <c r="AA201" i="2"/>
  <c r="Z185" i="2"/>
  <c r="AA185" i="2"/>
  <c r="AA169" i="2"/>
  <c r="Z169" i="2"/>
  <c r="AA153" i="2"/>
  <c r="Z153" i="2"/>
  <c r="AA137" i="2"/>
  <c r="Z137" i="2"/>
  <c r="AA121" i="2"/>
  <c r="Z121" i="2"/>
  <c r="Z105" i="2"/>
  <c r="AA105" i="2"/>
  <c r="Z89" i="2"/>
  <c r="AA89" i="2"/>
  <c r="Z73" i="2"/>
  <c r="AA73" i="2"/>
  <c r="Z62" i="2"/>
  <c r="AA62" i="2"/>
  <c r="Z46" i="2"/>
  <c r="AA46" i="2"/>
  <c r="Z24" i="2"/>
  <c r="AA24" i="2"/>
  <c r="Z714" i="2"/>
  <c r="AA714" i="2"/>
  <c r="Z698" i="2"/>
  <c r="AA698" i="2"/>
  <c r="Z682" i="2"/>
  <c r="AA682" i="2"/>
  <c r="Z655" i="2"/>
  <c r="AA655" i="2"/>
  <c r="Z639" i="2"/>
  <c r="AA639" i="2"/>
  <c r="Z623" i="2"/>
  <c r="AA623" i="2"/>
  <c r="Z607" i="2"/>
  <c r="AA607" i="2"/>
  <c r="Z591" i="2"/>
  <c r="AA591" i="2"/>
  <c r="Z585" i="2"/>
  <c r="AA585" i="2"/>
  <c r="Z569" i="2"/>
  <c r="AA569" i="2"/>
  <c r="Z553" i="2"/>
  <c r="AA553" i="2"/>
  <c r="Z537" i="2"/>
  <c r="AA537" i="2"/>
  <c r="AA521" i="2"/>
  <c r="Z521" i="2"/>
  <c r="Z505" i="2"/>
  <c r="AA505" i="2"/>
  <c r="Z489" i="2"/>
  <c r="AA489" i="2"/>
  <c r="Z473" i="2"/>
  <c r="AA473" i="2"/>
  <c r="Z457" i="2"/>
  <c r="AA457" i="2"/>
  <c r="Z441" i="2"/>
  <c r="AA441" i="2"/>
  <c r="Z425" i="2"/>
  <c r="AA425" i="2"/>
  <c r="Z409" i="2"/>
  <c r="AA409" i="2"/>
  <c r="Z393" i="2"/>
  <c r="AA393" i="2"/>
  <c r="Z377" i="2"/>
  <c r="AA377" i="2"/>
  <c r="Z361" i="2"/>
  <c r="AA361" i="2"/>
  <c r="Z345" i="2"/>
  <c r="AA345" i="2"/>
  <c r="Z329" i="2"/>
  <c r="AA329" i="2"/>
  <c r="Z313" i="2"/>
  <c r="AA313" i="2"/>
  <c r="Z297" i="2"/>
  <c r="AA297" i="2"/>
  <c r="Z281" i="2"/>
  <c r="AA281" i="2"/>
  <c r="Z265" i="2"/>
  <c r="AA265" i="2"/>
  <c r="Z249" i="2"/>
  <c r="AA249" i="2"/>
  <c r="Z238" i="2"/>
  <c r="AA238" i="2"/>
  <c r="Z222" i="2"/>
  <c r="AA222" i="2"/>
  <c r="Z206" i="2"/>
  <c r="AA206" i="2"/>
  <c r="Z190" i="2"/>
  <c r="AA190" i="2"/>
  <c r="Z174" i="2"/>
  <c r="AA174" i="2"/>
  <c r="Z158" i="2"/>
  <c r="AA158" i="2"/>
  <c r="Z142" i="2"/>
  <c r="AA142" i="2"/>
  <c r="Z126" i="2"/>
  <c r="AA126" i="2"/>
  <c r="Z110" i="2"/>
  <c r="AA110" i="2"/>
  <c r="Z94" i="2"/>
  <c r="AA94" i="2"/>
  <c r="Z78" i="2"/>
  <c r="AA78" i="2"/>
  <c r="Z51" i="2"/>
  <c r="AA51" i="2"/>
  <c r="Z40" i="2"/>
  <c r="AA40" i="2"/>
  <c r="Z29" i="2"/>
  <c r="AA29" i="2"/>
  <c r="Z719" i="2"/>
  <c r="AA719" i="2"/>
  <c r="Z703" i="2"/>
  <c r="AA703" i="2"/>
  <c r="Z687" i="2"/>
  <c r="AA687" i="2"/>
  <c r="Z671" i="2"/>
  <c r="AA671" i="2"/>
  <c r="Z660" i="2"/>
  <c r="AA660" i="2"/>
  <c r="Z644" i="2"/>
  <c r="AA644" i="2"/>
  <c r="Z628" i="2"/>
  <c r="AA628" i="2"/>
  <c r="Z612" i="2"/>
  <c r="AA612" i="2"/>
  <c r="Z596" i="2"/>
  <c r="AA596" i="2"/>
  <c r="Z574" i="2"/>
  <c r="AA574" i="2"/>
  <c r="Z558" i="2"/>
  <c r="AA558" i="2"/>
  <c r="Z542" i="2"/>
  <c r="AA542" i="2"/>
  <c r="Z526" i="2"/>
  <c r="AA526" i="2"/>
  <c r="Z510" i="2"/>
  <c r="AA510" i="2"/>
  <c r="Z494" i="2"/>
  <c r="AA494" i="2"/>
  <c r="Z478" i="2"/>
  <c r="AA478" i="2"/>
  <c r="Z462" i="2"/>
  <c r="AA462" i="2"/>
  <c r="Z446" i="2"/>
  <c r="AA446" i="2"/>
  <c r="Z430" i="2"/>
  <c r="AA430" i="2"/>
  <c r="Z414" i="2"/>
  <c r="AA414" i="2"/>
  <c r="Z398" i="2"/>
  <c r="AA398" i="2"/>
  <c r="Z382" i="2"/>
  <c r="AA382" i="2"/>
  <c r="Z366" i="2"/>
  <c r="AA366" i="2"/>
  <c r="Z350" i="2"/>
  <c r="AA350" i="2"/>
  <c r="Z334" i="2"/>
  <c r="AA334" i="2"/>
  <c r="Z318" i="2"/>
  <c r="AA318" i="2"/>
  <c r="Z302" i="2"/>
  <c r="AA302" i="2"/>
  <c r="Z286" i="2"/>
  <c r="AA286" i="2"/>
  <c r="Z270" i="2"/>
  <c r="AA270" i="2"/>
  <c r="Z254" i="2"/>
  <c r="AA254" i="2"/>
  <c r="Z243" i="2"/>
  <c r="AA243" i="2"/>
  <c r="Z227" i="2"/>
  <c r="AA227" i="2"/>
  <c r="Z211" i="2"/>
  <c r="AA211" i="2"/>
  <c r="Z195" i="2"/>
  <c r="AA195" i="2"/>
  <c r="Z179" i="2"/>
  <c r="AA179" i="2"/>
  <c r="Z163" i="2"/>
  <c r="AA163" i="2"/>
  <c r="Z147" i="2"/>
  <c r="AA147" i="2"/>
  <c r="Z131" i="2"/>
  <c r="AA131" i="2"/>
  <c r="Z115" i="2"/>
  <c r="AA115" i="2"/>
  <c r="Z99" i="2"/>
  <c r="AA99" i="2"/>
  <c r="Z83" i="2"/>
  <c r="AA83" i="2"/>
  <c r="AA67" i="2"/>
  <c r="Z67" i="2"/>
  <c r="Z56" i="2"/>
  <c r="AA56" i="2"/>
  <c r="AA45" i="2"/>
  <c r="Z45" i="2"/>
  <c r="Z34" i="2"/>
  <c r="AA34" i="2"/>
  <c r="Z18" i="2"/>
  <c r="AA18" i="2"/>
  <c r="Z724" i="2"/>
  <c r="AA724" i="2"/>
  <c r="Z708" i="2"/>
  <c r="AA708" i="2"/>
  <c r="Z692" i="2"/>
  <c r="AA692" i="2"/>
  <c r="Z676" i="2"/>
  <c r="AA676" i="2"/>
  <c r="AA665" i="2"/>
  <c r="Z665" i="2"/>
  <c r="AA649" i="2"/>
  <c r="Z649" i="2"/>
  <c r="Z633" i="2"/>
  <c r="AA633" i="2"/>
  <c r="Z617" i="2"/>
  <c r="AA617" i="2"/>
  <c r="Z601" i="2"/>
  <c r="AA601" i="2"/>
  <c r="Z579" i="2"/>
  <c r="AA579" i="2"/>
  <c r="Z563" i="2"/>
  <c r="AA563" i="2"/>
  <c r="Z547" i="2"/>
  <c r="AA547" i="2"/>
  <c r="Z531" i="2"/>
  <c r="AA531" i="2"/>
  <c r="Z515" i="2"/>
  <c r="AA515" i="2"/>
  <c r="Z499" i="2"/>
  <c r="AA499" i="2"/>
  <c r="Z483" i="2"/>
  <c r="AA483" i="2"/>
  <c r="Z467" i="2"/>
  <c r="AA467" i="2"/>
  <c r="Z451" i="2"/>
  <c r="AA451" i="2"/>
  <c r="Z435" i="2"/>
  <c r="AA435" i="2"/>
  <c r="Z419" i="2"/>
  <c r="AA419" i="2"/>
  <c r="Z403" i="2"/>
  <c r="AA403" i="2"/>
  <c r="Z387" i="2"/>
  <c r="AA387" i="2"/>
  <c r="Z371" i="2"/>
  <c r="AA371" i="2"/>
  <c r="Z355" i="2"/>
  <c r="AA355" i="2"/>
  <c r="Z339" i="2"/>
  <c r="AA339" i="2"/>
  <c r="Z323" i="2"/>
  <c r="AA323" i="2"/>
  <c r="Z307" i="2"/>
  <c r="AA307" i="2"/>
  <c r="Z291" i="2"/>
  <c r="AA291" i="2"/>
  <c r="Z275" i="2"/>
  <c r="AA275" i="2"/>
  <c r="Z259" i="2"/>
  <c r="AA259" i="2"/>
  <c r="Z232" i="2"/>
  <c r="AA232" i="2"/>
  <c r="Z216" i="2"/>
  <c r="AA216" i="2"/>
  <c r="Z200" i="2"/>
  <c r="AA200" i="2"/>
  <c r="Z184" i="2"/>
  <c r="AA184" i="2"/>
  <c r="Z168" i="2"/>
  <c r="AA168" i="2"/>
  <c r="Z152" i="2"/>
  <c r="AA152" i="2"/>
  <c r="Z136" i="2"/>
  <c r="AA136" i="2"/>
  <c r="Z120" i="2"/>
  <c r="AA120" i="2"/>
  <c r="Z104" i="2"/>
  <c r="AA104" i="2"/>
  <c r="Z88" i="2"/>
  <c r="AA88" i="2"/>
  <c r="Z72" i="2"/>
  <c r="AA72" i="2"/>
  <c r="Z61" i="2"/>
  <c r="AA61" i="2"/>
  <c r="Z23" i="2"/>
  <c r="AA23" i="2"/>
  <c r="Z713" i="2"/>
  <c r="AA713" i="2"/>
  <c r="Z697" i="2"/>
  <c r="AA697" i="2"/>
  <c r="AA681" i="2"/>
  <c r="Z681" i="2"/>
  <c r="Z654" i="2"/>
  <c r="AA654" i="2"/>
  <c r="Z638" i="2"/>
  <c r="AA638" i="2"/>
  <c r="Z622" i="2"/>
  <c r="AA622" i="2"/>
  <c r="Z606" i="2"/>
  <c r="AA606" i="2"/>
  <c r="Z590" i="2"/>
  <c r="AA590" i="2"/>
  <c r="Z584" i="2"/>
  <c r="AA584" i="2"/>
  <c r="Z568" i="2"/>
  <c r="AA568" i="2"/>
  <c r="Z552" i="2"/>
  <c r="AA552" i="2"/>
  <c r="Z536" i="2"/>
  <c r="AA536" i="2"/>
  <c r="Z520" i="2"/>
  <c r="AA520" i="2"/>
  <c r="Z504" i="2"/>
  <c r="AA504" i="2"/>
  <c r="Z488" i="2"/>
  <c r="AA488" i="2"/>
  <c r="Z472" i="2"/>
  <c r="AA472" i="2"/>
  <c r="Z456" i="2"/>
  <c r="AA456" i="2"/>
  <c r="Z440" i="2"/>
  <c r="AA440" i="2"/>
  <c r="Z424" i="2"/>
  <c r="AA424" i="2"/>
  <c r="Z408" i="2"/>
  <c r="AA408" i="2"/>
  <c r="Z392" i="2"/>
  <c r="AA392" i="2"/>
  <c r="Z376" i="2"/>
  <c r="AA376" i="2"/>
  <c r="Z360" i="2"/>
  <c r="AA360" i="2"/>
  <c r="Z344" i="2"/>
  <c r="AA344" i="2"/>
  <c r="Z328" i="2"/>
  <c r="AA328" i="2"/>
  <c r="Z312" i="2"/>
  <c r="AA312" i="2"/>
  <c r="Z296" i="2"/>
  <c r="AA296" i="2"/>
  <c r="Z280" i="2"/>
  <c r="AA280" i="2"/>
  <c r="Z264" i="2"/>
  <c r="AA264" i="2"/>
  <c r="Z237" i="2"/>
  <c r="AA237" i="2"/>
  <c r="Z221" i="2"/>
  <c r="AA221" i="2"/>
  <c r="Z205" i="2"/>
  <c r="AA205" i="2"/>
  <c r="Z189" i="2"/>
  <c r="AA189" i="2"/>
  <c r="AA173" i="2"/>
  <c r="Z173" i="2"/>
  <c r="Z157" i="2"/>
  <c r="AA157" i="2"/>
  <c r="Z141" i="2"/>
  <c r="AA141" i="2"/>
  <c r="Z125" i="2"/>
  <c r="AA125" i="2"/>
  <c r="Z109" i="2"/>
  <c r="AA109" i="2"/>
  <c r="Z93" i="2"/>
  <c r="AA93" i="2"/>
  <c r="Z77" i="2"/>
  <c r="AA77" i="2"/>
  <c r="Z66" i="2"/>
  <c r="AA66" i="2"/>
  <c r="Z50" i="2"/>
  <c r="AA50" i="2"/>
  <c r="Z39" i="2"/>
  <c r="AA39" i="2"/>
  <c r="Z28" i="2"/>
  <c r="AA28" i="2"/>
  <c r="Z718" i="2"/>
  <c r="AA718" i="2"/>
  <c r="Z702" i="2"/>
  <c r="AA702" i="2"/>
  <c r="Z686" i="2"/>
  <c r="AA686" i="2"/>
  <c r="Z670" i="2"/>
  <c r="AA670" i="2"/>
  <c r="Z659" i="2"/>
  <c r="AA659" i="2"/>
  <c r="Z643" i="2"/>
  <c r="AA643" i="2"/>
  <c r="Z627" i="2"/>
  <c r="AA627" i="2"/>
  <c r="Z611" i="2"/>
  <c r="AA611" i="2"/>
  <c r="Z595" i="2"/>
  <c r="AA595" i="2"/>
  <c r="Z573" i="2"/>
  <c r="AA573" i="2"/>
  <c r="Z557" i="2"/>
  <c r="AA557" i="2"/>
  <c r="Z541" i="2"/>
  <c r="AA541" i="2"/>
  <c r="Z525" i="2"/>
  <c r="AA525" i="2"/>
  <c r="Z509" i="2"/>
  <c r="AA509" i="2"/>
  <c r="Z493" i="2"/>
  <c r="AA493" i="2"/>
  <c r="Z477" i="2"/>
  <c r="AA477" i="2"/>
  <c r="Z461" i="2"/>
  <c r="AA461" i="2"/>
  <c r="Z445" i="2"/>
  <c r="AA445" i="2"/>
  <c r="Z429" i="2"/>
  <c r="AA429" i="2"/>
  <c r="Z413" i="2"/>
  <c r="AA413" i="2"/>
  <c r="Z397" i="2"/>
  <c r="AA397" i="2"/>
  <c r="Z381" i="2"/>
  <c r="AA381" i="2"/>
  <c r="Z365" i="2"/>
  <c r="AA365" i="2"/>
  <c r="Z349" i="2"/>
  <c r="AA349" i="2"/>
  <c r="Z333" i="2"/>
  <c r="AA333" i="2"/>
  <c r="Z317" i="2"/>
  <c r="AA317" i="2"/>
  <c r="Z301" i="2"/>
  <c r="AA301" i="2"/>
  <c r="Z285" i="2"/>
  <c r="AA285" i="2"/>
  <c r="Z269" i="2"/>
  <c r="AA269" i="2"/>
  <c r="Z253" i="2"/>
  <c r="AA253" i="2"/>
  <c r="Z242" i="2"/>
  <c r="AA242" i="2"/>
  <c r="Z226" i="2"/>
  <c r="AA226" i="2"/>
  <c r="Z210" i="2"/>
  <c r="AA210" i="2"/>
  <c r="Z194" i="2"/>
  <c r="AA194" i="2"/>
  <c r="Z178" i="2"/>
  <c r="AA178" i="2"/>
  <c r="Z162" i="2"/>
  <c r="AA162" i="2"/>
  <c r="Z146" i="2"/>
  <c r="AA146" i="2"/>
  <c r="Z130" i="2"/>
  <c r="AA130" i="2"/>
  <c r="Z114" i="2"/>
  <c r="AA114" i="2"/>
  <c r="Z98" i="2"/>
  <c r="AA98" i="2"/>
  <c r="Z82" i="2"/>
  <c r="AA82" i="2"/>
  <c r="Z55" i="2"/>
  <c r="AA55" i="2"/>
  <c r="Z44" i="2"/>
  <c r="AA44" i="2"/>
  <c r="Z33" i="2"/>
  <c r="AA33" i="2"/>
  <c r="Z17" i="2"/>
  <c r="AA17" i="2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B38" i="28"/>
  <c r="D38" i="28" s="1"/>
  <c r="C38" i="28"/>
  <c r="B39" i="28"/>
  <c r="D39" i="28" s="1"/>
  <c r="C39" i="28"/>
  <c r="B40" i="28"/>
  <c r="D40" i="28" s="1"/>
  <c r="C40" i="28"/>
  <c r="B41" i="28"/>
  <c r="D41" i="28" s="1"/>
  <c r="C41" i="28"/>
  <c r="B42" i="28"/>
  <c r="D42" i="28" s="1"/>
  <c r="C42" i="28"/>
  <c r="B43" i="28"/>
  <c r="D43" i="28" s="1"/>
  <c r="C43" i="28"/>
  <c r="B44" i="28"/>
  <c r="D44" i="28" s="1"/>
  <c r="C44" i="28"/>
  <c r="B45" i="28"/>
  <c r="D45" i="28" s="1"/>
  <c r="C45" i="28"/>
  <c r="B46" i="28"/>
  <c r="D46" i="28" s="1"/>
  <c r="C46" i="28"/>
  <c r="B47" i="28"/>
  <c r="D47" i="28" s="1"/>
  <c r="C47" i="28"/>
  <c r="B48" i="28"/>
  <c r="D48" i="28" s="1"/>
  <c r="C48" i="28"/>
  <c r="B49" i="28"/>
  <c r="D49" i="28" s="1"/>
  <c r="C49" i="28"/>
  <c r="B50" i="28"/>
  <c r="D50" i="28" s="1"/>
  <c r="C50" i="28"/>
  <c r="B51" i="28"/>
  <c r="D51" i="28" s="1"/>
  <c r="C51" i="28"/>
  <c r="B52" i="28"/>
  <c r="D52" i="28" s="1"/>
  <c r="C52" i="28"/>
  <c r="B53" i="28"/>
  <c r="D53" i="28" s="1"/>
  <c r="C53" i="28"/>
  <c r="B54" i="28"/>
  <c r="D54" i="28" s="1"/>
  <c r="C54" i="28"/>
  <c r="A16" i="28"/>
  <c r="A40" i="28" l="1"/>
  <c r="J56" i="1"/>
  <c r="J46" i="1"/>
  <c r="E100" i="10"/>
  <c r="E101" i="10"/>
  <c r="E102" i="10"/>
  <c r="E103" i="10"/>
  <c r="E104" i="10"/>
  <c r="E105" i="10"/>
  <c r="E106" i="10"/>
  <c r="E107" i="10"/>
  <c r="E108" i="10"/>
  <c r="B37" i="28"/>
  <c r="D37" i="28" s="1"/>
  <c r="C37" i="28"/>
  <c r="B55" i="28"/>
  <c r="D55" i="28" s="1"/>
  <c r="C55" i="28"/>
  <c r="B56" i="28"/>
  <c r="D56" i="28" s="1"/>
  <c r="C56" i="28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D20" i="56" l="1"/>
  <c r="D21" i="56"/>
  <c r="D22" i="56"/>
  <c r="D23" i="56"/>
  <c r="D24" i="56"/>
  <c r="D25" i="56"/>
  <c r="D26" i="56"/>
  <c r="D27" i="56"/>
  <c r="D28" i="56"/>
  <c r="D29" i="56"/>
  <c r="D30" i="56"/>
  <c r="D31" i="56"/>
  <c r="D32" i="56"/>
  <c r="D33" i="56"/>
  <c r="D34" i="56"/>
  <c r="D35" i="56"/>
  <c r="D36" i="56"/>
  <c r="AA31" i="56"/>
  <c r="Z31" i="56"/>
  <c r="Y31" i="56"/>
  <c r="X31" i="56"/>
  <c r="W31" i="56"/>
  <c r="AA30" i="56"/>
  <c r="Z30" i="56"/>
  <c r="Y30" i="56"/>
  <c r="X30" i="56"/>
  <c r="W30" i="56"/>
  <c r="X29" i="56"/>
  <c r="X28" i="56"/>
  <c r="X27" i="56"/>
  <c r="X26" i="56"/>
  <c r="AN25" i="56"/>
  <c r="X25" i="56"/>
  <c r="AN24" i="56"/>
  <c r="X24" i="56"/>
  <c r="AN23" i="56"/>
  <c r="X23" i="56"/>
  <c r="AN22" i="56"/>
  <c r="X22" i="56"/>
  <c r="AN21" i="56"/>
  <c r="X21" i="56"/>
  <c r="AN20" i="56"/>
  <c r="X20" i="56"/>
  <c r="AN36" i="56"/>
  <c r="AN35" i="56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AA20" i="56" l="1"/>
  <c r="Z20" i="56"/>
  <c r="AA29" i="56"/>
  <c r="Z29" i="56"/>
  <c r="AA28" i="56"/>
  <c r="Z28" i="56"/>
  <c r="AA27" i="56"/>
  <c r="Z27" i="56"/>
  <c r="Z26" i="56"/>
  <c r="AA26" i="56"/>
  <c r="AA25" i="56"/>
  <c r="Z25" i="56"/>
  <c r="AA24" i="56"/>
  <c r="Z24" i="56"/>
  <c r="AA23" i="56"/>
  <c r="Z23" i="56"/>
  <c r="Z22" i="56"/>
  <c r="AA22" i="56"/>
  <c r="Z21" i="56"/>
  <c r="AA21" i="56"/>
  <c r="AD30" i="56"/>
  <c r="AD31" i="56"/>
  <c r="J62" i="1"/>
  <c r="M62" i="1"/>
  <c r="G62" i="1"/>
  <c r="J29" i="1"/>
  <c r="J27" i="1"/>
  <c r="J24" i="1"/>
  <c r="J23" i="1"/>
  <c r="J40" i="1"/>
  <c r="J39" i="1"/>
  <c r="J20" i="1"/>
  <c r="A30" i="28"/>
  <c r="A29" i="28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A53" i="28" l="1"/>
  <c r="A54" i="28"/>
  <c r="W25" i="56"/>
  <c r="AD25" i="56" s="1"/>
  <c r="Y25" i="56"/>
  <c r="Y27" i="56"/>
  <c r="W27" i="56"/>
  <c r="AD27" i="56" s="1"/>
  <c r="Y29" i="56"/>
  <c r="W29" i="56"/>
  <c r="AD29" i="56" s="1"/>
  <c r="Y22" i="56"/>
  <c r="W22" i="56"/>
  <c r="AD22" i="56" s="1"/>
  <c r="Y24" i="56"/>
  <c r="W24" i="56"/>
  <c r="AD24" i="56" s="1"/>
  <c r="Y26" i="56"/>
  <c r="W26" i="56"/>
  <c r="AD26" i="56" s="1"/>
  <c r="W21" i="56"/>
  <c r="AD21" i="56" s="1"/>
  <c r="Y21" i="56"/>
  <c r="W28" i="56"/>
  <c r="AD28" i="56" s="1"/>
  <c r="Y28" i="56"/>
  <c r="Y20" i="56"/>
  <c r="W20" i="56"/>
  <c r="AD20" i="56" s="1"/>
  <c r="Y23" i="56"/>
  <c r="W23" i="56"/>
  <c r="AD23" i="56" s="1"/>
  <c r="M14" i="1" l="1"/>
  <c r="K14" i="1"/>
  <c r="J14" i="1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597" i="2"/>
  <c r="I596" i="2"/>
  <c r="I595" i="2"/>
  <c r="I594" i="2"/>
  <c r="I593" i="2"/>
  <c r="I592" i="2"/>
  <c r="I591" i="2"/>
  <c r="I590" i="2"/>
  <c r="I589" i="2"/>
  <c r="I588" i="2"/>
  <c r="I587" i="2"/>
  <c r="I586" i="2"/>
  <c r="I585" i="2"/>
  <c r="I584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33" i="2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A57" i="28" l="1"/>
  <c r="A13" i="28"/>
  <c r="A14" i="28"/>
  <c r="A15" i="28"/>
  <c r="A17" i="28"/>
  <c r="A18" i="28"/>
  <c r="A19" i="28"/>
  <c r="A20" i="28"/>
  <c r="A21" i="28"/>
  <c r="A22" i="28"/>
  <c r="A23" i="28"/>
  <c r="A24" i="28"/>
  <c r="A25" i="28"/>
  <c r="A26" i="28"/>
  <c r="A27" i="28"/>
  <c r="A28" i="28"/>
  <c r="A55" i="28"/>
  <c r="A31" i="28"/>
  <c r="A56" i="28" s="1"/>
  <c r="A47" i="28" l="1"/>
  <c r="A52" i="28"/>
  <c r="A51" i="28"/>
  <c r="A50" i="28"/>
  <c r="A49" i="28"/>
  <c r="A48" i="28"/>
  <c r="A46" i="28"/>
  <c r="A45" i="28"/>
  <c r="A44" i="28"/>
  <c r="A43" i="28"/>
  <c r="A42" i="28"/>
  <c r="A41" i="28"/>
  <c r="A39" i="28"/>
  <c r="A38" i="28"/>
  <c r="A37" i="28"/>
  <c r="J52" i="1"/>
  <c r="J41" i="1"/>
  <c r="J32" i="1"/>
  <c r="J37" i="1"/>
  <c r="J65" i="1" l="1"/>
  <c r="J64" i="1"/>
  <c r="J63" i="1"/>
  <c r="J58" i="1"/>
  <c r="J57" i="1"/>
  <c r="J55" i="1"/>
  <c r="J54" i="1"/>
  <c r="J53" i="1"/>
  <c r="J51" i="1"/>
  <c r="J50" i="1"/>
  <c r="J49" i="1"/>
  <c r="J48" i="1"/>
  <c r="J47" i="1"/>
  <c r="J45" i="1"/>
  <c r="J44" i="1"/>
  <c r="J42" i="1"/>
  <c r="J38" i="1"/>
  <c r="J36" i="1"/>
  <c r="J35" i="1"/>
  <c r="J34" i="1"/>
  <c r="J33" i="1"/>
  <c r="J31" i="1"/>
  <c r="J30" i="1"/>
  <c r="J26" i="1"/>
  <c r="J28" i="1"/>
  <c r="J25" i="1"/>
  <c r="J22" i="1"/>
  <c r="J21" i="1"/>
  <c r="J19" i="1"/>
  <c r="J18" i="1"/>
  <c r="J16" i="1"/>
  <c r="S587" i="2" l="1"/>
  <c r="Q587" i="2" s="1"/>
  <c r="S45" i="2"/>
  <c r="Q45" i="2" s="1"/>
  <c r="S38" i="2"/>
  <c r="Q38" i="2" s="1"/>
  <c r="S66" i="2"/>
  <c r="Q66" i="2" s="1"/>
  <c r="S586" i="2"/>
  <c r="Q586" i="2" s="1"/>
  <c r="S666" i="2"/>
  <c r="Q666" i="2" s="1"/>
  <c r="J17" i="1"/>
  <c r="I119" i="2" l="1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E11" i="31"/>
  <c r="I14" i="58"/>
  <c r="O14" i="58"/>
  <c r="U14" i="58"/>
  <c r="R14" i="58" s="1"/>
  <c r="V14" i="58"/>
  <c r="S14" i="58" s="1"/>
  <c r="W14" i="58"/>
  <c r="T14" i="58" s="1"/>
  <c r="X14" i="58"/>
  <c r="I15" i="58"/>
  <c r="O15" i="58"/>
  <c r="U15" i="58"/>
  <c r="R15" i="58" s="1"/>
  <c r="V15" i="58"/>
  <c r="S15" i="58" s="1"/>
  <c r="W15" i="58"/>
  <c r="T15" i="58" s="1"/>
  <c r="X15" i="58"/>
  <c r="I16" i="58"/>
  <c r="O16" i="58"/>
  <c r="U16" i="58"/>
  <c r="R16" i="58" s="1"/>
  <c r="V16" i="58"/>
  <c r="S16" i="58" s="1"/>
  <c r="W16" i="58"/>
  <c r="T16" i="58" s="1"/>
  <c r="X16" i="58"/>
  <c r="I17" i="58"/>
  <c r="O17" i="58"/>
  <c r="U17" i="58"/>
  <c r="R17" i="58" s="1"/>
  <c r="V17" i="58"/>
  <c r="S17" i="58" s="1"/>
  <c r="W17" i="58"/>
  <c r="T17" i="58" s="1"/>
  <c r="X17" i="58"/>
  <c r="I18" i="58"/>
  <c r="O18" i="58"/>
  <c r="U18" i="58"/>
  <c r="R18" i="58" s="1"/>
  <c r="V18" i="58"/>
  <c r="S18" i="58" s="1"/>
  <c r="W18" i="58"/>
  <c r="T18" i="58" s="1"/>
  <c r="X18" i="58"/>
  <c r="I19" i="58"/>
  <c r="O19" i="58"/>
  <c r="U19" i="58"/>
  <c r="R19" i="58" s="1"/>
  <c r="V19" i="58"/>
  <c r="S19" i="58" s="1"/>
  <c r="W19" i="58"/>
  <c r="T19" i="58" s="1"/>
  <c r="X19" i="58"/>
  <c r="I20" i="58"/>
  <c r="O20" i="58"/>
  <c r="U20" i="58"/>
  <c r="R20" i="58" s="1"/>
  <c r="V20" i="58"/>
  <c r="S20" i="58" s="1"/>
  <c r="W20" i="58"/>
  <c r="T20" i="58" s="1"/>
  <c r="X20" i="58"/>
  <c r="I21" i="58"/>
  <c r="O21" i="58"/>
  <c r="U21" i="58"/>
  <c r="R21" i="58" s="1"/>
  <c r="V21" i="58"/>
  <c r="S21" i="58" s="1"/>
  <c r="W21" i="58"/>
  <c r="T21" i="58" s="1"/>
  <c r="X21" i="58"/>
  <c r="I22" i="58"/>
  <c r="O22" i="58"/>
  <c r="U22" i="58"/>
  <c r="R22" i="58" s="1"/>
  <c r="V22" i="58"/>
  <c r="S22" i="58" s="1"/>
  <c r="W22" i="58"/>
  <c r="T22" i="58" s="1"/>
  <c r="X22" i="58"/>
  <c r="I23" i="58"/>
  <c r="O23" i="58"/>
  <c r="U23" i="58"/>
  <c r="R23" i="58" s="1"/>
  <c r="V23" i="58"/>
  <c r="S23" i="58" s="1"/>
  <c r="W23" i="58"/>
  <c r="T23" i="58" s="1"/>
  <c r="X23" i="58"/>
  <c r="I24" i="58"/>
  <c r="O24" i="58"/>
  <c r="U24" i="58"/>
  <c r="R24" i="58" s="1"/>
  <c r="V24" i="58"/>
  <c r="S24" i="58" s="1"/>
  <c r="W24" i="58"/>
  <c r="T24" i="58" s="1"/>
  <c r="X24" i="58"/>
  <c r="I25" i="58"/>
  <c r="O25" i="58"/>
  <c r="U25" i="58"/>
  <c r="R25" i="58" s="1"/>
  <c r="V25" i="58"/>
  <c r="S25" i="58" s="1"/>
  <c r="W25" i="58"/>
  <c r="T25" i="58" s="1"/>
  <c r="X25" i="58"/>
  <c r="I26" i="58"/>
  <c r="O26" i="58"/>
  <c r="U26" i="58"/>
  <c r="R26" i="58" s="1"/>
  <c r="V26" i="58"/>
  <c r="S26" i="58" s="1"/>
  <c r="W26" i="58"/>
  <c r="T26" i="58" s="1"/>
  <c r="X26" i="58"/>
  <c r="I27" i="58"/>
  <c r="O27" i="58"/>
  <c r="AC27" i="58" s="1"/>
  <c r="U27" i="58"/>
  <c r="R27" i="58" s="1"/>
  <c r="V27" i="58"/>
  <c r="S27" i="58" s="1"/>
  <c r="W27" i="58"/>
  <c r="T27" i="58" s="1"/>
  <c r="X27" i="58"/>
  <c r="I28" i="58"/>
  <c r="O28" i="58"/>
  <c r="AC28" i="58" s="1"/>
  <c r="U28" i="58"/>
  <c r="R28" i="58" s="1"/>
  <c r="V28" i="58"/>
  <c r="S28" i="58" s="1"/>
  <c r="W28" i="58"/>
  <c r="T28" i="58" s="1"/>
  <c r="X28" i="58"/>
  <c r="I29" i="58"/>
  <c r="O29" i="58"/>
  <c r="AD29" i="58" s="1"/>
  <c r="U29" i="58"/>
  <c r="R29" i="58" s="1"/>
  <c r="V29" i="58"/>
  <c r="S29" i="58" s="1"/>
  <c r="W29" i="58"/>
  <c r="T29" i="58" s="1"/>
  <c r="X29" i="58"/>
  <c r="I30" i="58"/>
  <c r="O30" i="58"/>
  <c r="U30" i="58"/>
  <c r="R30" i="58" s="1"/>
  <c r="V30" i="58"/>
  <c r="S30" i="58" s="1"/>
  <c r="W30" i="58"/>
  <c r="T30" i="58" s="1"/>
  <c r="X30" i="58"/>
  <c r="I31" i="58"/>
  <c r="O31" i="58"/>
  <c r="U31" i="58"/>
  <c r="R31" i="58" s="1"/>
  <c r="V31" i="58"/>
  <c r="S31" i="58" s="1"/>
  <c r="W31" i="58"/>
  <c r="T31" i="58" s="1"/>
  <c r="X31" i="58"/>
  <c r="I32" i="58"/>
  <c r="O32" i="58"/>
  <c r="U32" i="58"/>
  <c r="R32" i="58" s="1"/>
  <c r="V32" i="58"/>
  <c r="S32" i="58" s="1"/>
  <c r="W32" i="58"/>
  <c r="T32" i="58" s="1"/>
  <c r="X32" i="58"/>
  <c r="I33" i="58"/>
  <c r="O33" i="58"/>
  <c r="U33" i="58"/>
  <c r="R33" i="58" s="1"/>
  <c r="V33" i="58"/>
  <c r="S33" i="58" s="1"/>
  <c r="W33" i="58"/>
  <c r="T33" i="58" s="1"/>
  <c r="X33" i="58"/>
  <c r="I34" i="58"/>
  <c r="O34" i="58"/>
  <c r="U34" i="58"/>
  <c r="R34" i="58" s="1"/>
  <c r="V34" i="58"/>
  <c r="S34" i="58" s="1"/>
  <c r="W34" i="58"/>
  <c r="T34" i="58" s="1"/>
  <c r="X34" i="58"/>
  <c r="I35" i="58"/>
  <c r="O35" i="58"/>
  <c r="U35" i="58"/>
  <c r="R35" i="58" s="1"/>
  <c r="V35" i="58"/>
  <c r="S35" i="58" s="1"/>
  <c r="W35" i="58"/>
  <c r="T35" i="58" s="1"/>
  <c r="X35" i="58"/>
  <c r="I36" i="58"/>
  <c r="O36" i="58"/>
  <c r="U36" i="58"/>
  <c r="R36" i="58" s="1"/>
  <c r="V36" i="58"/>
  <c r="S36" i="58" s="1"/>
  <c r="W36" i="58"/>
  <c r="T36" i="58" s="1"/>
  <c r="X36" i="58"/>
  <c r="AD25" i="58"/>
  <c r="AC25" i="58"/>
  <c r="N16" i="55"/>
  <c r="G22" i="55"/>
  <c r="AD28" i="58" l="1"/>
  <c r="AD27" i="58"/>
  <c r="AC29" i="58"/>
  <c r="AE14" i="58" l="1"/>
  <c r="AD14" i="58"/>
  <c r="C71" i="28"/>
  <c r="D71" i="28" s="1"/>
  <c r="O16" i="55" l="1"/>
  <c r="M63" i="1" l="1"/>
  <c r="K63" i="1"/>
  <c r="K65" i="1"/>
  <c r="K66" i="1"/>
  <c r="K73" i="1" l="1"/>
  <c r="M73" i="1"/>
  <c r="M74" i="1" l="1"/>
  <c r="N25" i="1" l="1"/>
  <c r="N41" i="1"/>
  <c r="N27" i="1"/>
  <c r="N46" i="1"/>
  <c r="N23" i="1"/>
  <c r="N39" i="1"/>
  <c r="N30" i="1"/>
  <c r="N22" i="1"/>
  <c r="N32" i="1"/>
  <c r="N51" i="1"/>
  <c r="N17" i="1"/>
  <c r="N44" i="1"/>
  <c r="N58" i="1"/>
  <c r="N35" i="1"/>
  <c r="N52" i="1"/>
  <c r="N34" i="1"/>
  <c r="N15" i="1"/>
  <c r="N54" i="1"/>
  <c r="N49" i="1"/>
  <c r="N47" i="1"/>
  <c r="N42" i="1"/>
  <c r="N21" i="1"/>
  <c r="N19" i="1"/>
  <c r="N31" i="1"/>
  <c r="N36" i="1"/>
  <c r="N48" i="1"/>
  <c r="N61" i="1"/>
  <c r="N18" i="1"/>
  <c r="N66" i="1"/>
  <c r="N64" i="1"/>
  <c r="N63" i="1"/>
  <c r="N62" i="1"/>
  <c r="N14" i="1"/>
  <c r="N73" i="1" l="1"/>
  <c r="L16" i="28" l="1"/>
  <c r="L40" i="28"/>
  <c r="L47" i="28"/>
  <c r="L53" i="28"/>
  <c r="L51" i="28"/>
  <c r="L49" i="28"/>
  <c r="L54" i="28"/>
  <c r="L45" i="28"/>
  <c r="L48" i="28"/>
  <c r="L44" i="28"/>
  <c r="L43" i="28"/>
  <c r="L46" i="28"/>
  <c r="L52" i="28"/>
  <c r="L38" i="28"/>
  <c r="L39" i="28"/>
  <c r="L41" i="28"/>
  <c r="L42" i="28"/>
  <c r="L50" i="28"/>
  <c r="L55" i="28"/>
  <c r="L56" i="28"/>
  <c r="Q56" i="28" s="1"/>
  <c r="L30" i="28"/>
  <c r="L29" i="28"/>
  <c r="L13" i="28"/>
  <c r="L14" i="28"/>
  <c r="L15" i="28"/>
  <c r="L25" i="28"/>
  <c r="L17" i="28"/>
  <c r="L18" i="28"/>
  <c r="L28" i="28"/>
  <c r="L19" i="28"/>
  <c r="L27" i="28"/>
  <c r="L20" i="28"/>
  <c r="L21" i="28"/>
  <c r="L24" i="28"/>
  <c r="L22" i="28"/>
  <c r="L23" i="28"/>
  <c r="L26" i="28"/>
  <c r="L37" i="28"/>
  <c r="E68" i="28"/>
  <c r="F68" i="28" s="1"/>
  <c r="G68" i="28" s="1"/>
  <c r="H68" i="28" s="1"/>
  <c r="I68" i="28" s="1"/>
  <c r="J68" i="28" s="1"/>
  <c r="K68" i="28" s="1"/>
  <c r="L75" i="55"/>
  <c r="L74" i="55"/>
  <c r="L73" i="55"/>
  <c r="L71" i="55"/>
  <c r="L70" i="55"/>
  <c r="L72" i="55"/>
  <c r="AC37" i="58" l="1"/>
  <c r="AC36" i="58"/>
  <c r="AC35" i="58"/>
  <c r="AD34" i="58"/>
  <c r="AD33" i="58"/>
  <c r="AD32" i="58"/>
  <c r="AD30" i="58"/>
  <c r="AC33" i="58" l="1"/>
  <c r="AC30" i="58"/>
  <c r="AC32" i="58"/>
  <c r="AC34" i="58"/>
  <c r="AD35" i="58"/>
  <c r="AD36" i="58"/>
  <c r="AD37" i="58"/>
  <c r="H73" i="31" l="1"/>
  <c r="G72" i="31"/>
  <c r="F71" i="31"/>
  <c r="J75" i="31"/>
  <c r="G10" i="58" l="1"/>
  <c r="G9" i="58"/>
  <c r="G7" i="58"/>
  <c r="G6" i="58"/>
  <c r="G5" i="58"/>
  <c r="E4" i="58"/>
  <c r="J53" i="28" l="1"/>
  <c r="J46" i="28"/>
  <c r="J44" i="28"/>
  <c r="J51" i="28"/>
  <c r="J54" i="28"/>
  <c r="J38" i="28"/>
  <c r="J45" i="28"/>
  <c r="J52" i="28"/>
  <c r="J43" i="28"/>
  <c r="J50" i="28"/>
  <c r="J40" i="28"/>
  <c r="J41" i="28"/>
  <c r="J39" i="28"/>
  <c r="J48" i="28"/>
  <c r="J49" i="28"/>
  <c r="J42" i="28"/>
  <c r="J47" i="28"/>
  <c r="J55" i="28"/>
  <c r="J56" i="28"/>
  <c r="J37" i="28"/>
  <c r="M31" i="28"/>
  <c r="P16" i="55"/>
  <c r="J154" i="10" l="1"/>
  <c r="E26" i="33"/>
  <c r="G8" i="58" l="1"/>
  <c r="G6" i="2" l="1"/>
  <c r="G10" i="2"/>
  <c r="G9" i="2"/>
  <c r="G8" i="2"/>
  <c r="G7" i="2"/>
  <c r="G5" i="2"/>
  <c r="E99" i="10" l="1"/>
  <c r="H84" i="10" l="1"/>
  <c r="H79" i="10"/>
  <c r="H87" i="10" s="1"/>
  <c r="H59" i="10"/>
  <c r="H67" i="10" s="1"/>
  <c r="H39" i="10"/>
  <c r="H47" i="10" s="1"/>
  <c r="H64" i="10" l="1"/>
  <c r="H44" i="10"/>
  <c r="H86" i="10"/>
  <c r="H89" i="10" s="1"/>
  <c r="H91" i="10" s="1"/>
  <c r="H66" i="10"/>
  <c r="H46" i="10"/>
  <c r="H49" i="10" l="1"/>
  <c r="H51" i="10" s="1"/>
  <c r="H69" i="10"/>
  <c r="H71" i="10" s="1"/>
  <c r="I32" i="31" l="1"/>
  <c r="U16" i="55"/>
  <c r="X16" i="55"/>
  <c r="R16" i="55"/>
  <c r="E11" i="56" l="1"/>
  <c r="E10" i="56"/>
  <c r="E9" i="56"/>
  <c r="E8" i="56"/>
  <c r="E7" i="56"/>
  <c r="E6" i="56"/>
  <c r="L69" i="55" l="1"/>
  <c r="E35" i="31"/>
  <c r="E25" i="31"/>
  <c r="Y16" i="55"/>
  <c r="V16" i="55"/>
  <c r="Y24" i="55"/>
  <c r="X24" i="55"/>
  <c r="V24" i="55"/>
  <c r="U24" i="55"/>
  <c r="T24" i="55"/>
  <c r="R24" i="55"/>
  <c r="P24" i="55"/>
  <c r="O24" i="55"/>
  <c r="N24" i="55"/>
  <c r="E4" i="2" l="1"/>
  <c r="H19" i="10"/>
  <c r="H26" i="10" s="1"/>
  <c r="E157" i="10"/>
  <c r="F10" i="55"/>
  <c r="F9" i="55"/>
  <c r="F8" i="55"/>
  <c r="F7" i="55"/>
  <c r="F6" i="55"/>
  <c r="F5" i="55"/>
  <c r="F62" i="55"/>
  <c r="G51" i="55"/>
  <c r="G57" i="55" s="1"/>
  <c r="I43" i="55"/>
  <c r="Y27" i="55"/>
  <c r="X27" i="55"/>
  <c r="V27" i="55"/>
  <c r="U27" i="55"/>
  <c r="U29" i="55" s="1"/>
  <c r="T27" i="55"/>
  <c r="R27" i="55"/>
  <c r="P27" i="55"/>
  <c r="O27" i="55"/>
  <c r="N27" i="55"/>
  <c r="G18" i="55"/>
  <c r="C4" i="28"/>
  <c r="N25" i="31"/>
  <c r="G10" i="5"/>
  <c r="G9" i="5"/>
  <c r="G8" i="5"/>
  <c r="G7" i="5"/>
  <c r="G6" i="5"/>
  <c r="G5" i="5"/>
  <c r="F10" i="10"/>
  <c r="F9" i="10"/>
  <c r="F8" i="10"/>
  <c r="F7" i="10"/>
  <c r="F6" i="10"/>
  <c r="F5" i="10"/>
  <c r="F10" i="1"/>
  <c r="F9" i="1"/>
  <c r="F8" i="1"/>
  <c r="F7" i="1"/>
  <c r="F6" i="1"/>
  <c r="F5" i="1"/>
  <c r="C9" i="28"/>
  <c r="C5" i="28"/>
  <c r="C8" i="28"/>
  <c r="C7" i="28"/>
  <c r="C6" i="28"/>
  <c r="E10" i="31"/>
  <c r="E9" i="31"/>
  <c r="E8" i="31"/>
  <c r="H10" i="44"/>
  <c r="H9" i="44"/>
  <c r="H8" i="44"/>
  <c r="I16" i="28" l="1"/>
  <c r="H16" i="28"/>
  <c r="F16" i="28"/>
  <c r="E16" i="28"/>
  <c r="I30" i="28"/>
  <c r="H30" i="28"/>
  <c r="I29" i="28"/>
  <c r="H29" i="28"/>
  <c r="F29" i="28"/>
  <c r="E29" i="28"/>
  <c r="F30" i="28"/>
  <c r="E30" i="28"/>
  <c r="H22" i="28"/>
  <c r="I27" i="28"/>
  <c r="H17" i="28"/>
  <c r="I22" i="28"/>
  <c r="I28" i="28"/>
  <c r="I17" i="28"/>
  <c r="H23" i="28"/>
  <c r="H18" i="28"/>
  <c r="I23" i="28"/>
  <c r="I18" i="28"/>
  <c r="I24" i="28"/>
  <c r="H24" i="28"/>
  <c r="H26" i="28"/>
  <c r="I19" i="28"/>
  <c r="H25" i="28"/>
  <c r="I25" i="28"/>
  <c r="I20" i="28"/>
  <c r="H20" i="28"/>
  <c r="H21" i="28"/>
  <c r="I26" i="28"/>
  <c r="I21" i="28"/>
  <c r="H15" i="28"/>
  <c r="H27" i="28"/>
  <c r="H28" i="28"/>
  <c r="I15" i="28"/>
  <c r="H19" i="28"/>
  <c r="H13" i="28"/>
  <c r="I13" i="28"/>
  <c r="H14" i="28"/>
  <c r="I14" i="28"/>
  <c r="F28" i="28"/>
  <c r="F13" i="28"/>
  <c r="F18" i="28"/>
  <c r="E18" i="28"/>
  <c r="F24" i="28"/>
  <c r="E22" i="28"/>
  <c r="E25" i="28"/>
  <c r="F19" i="28"/>
  <c r="E24" i="28"/>
  <c r="E27" i="28"/>
  <c r="E26" i="28"/>
  <c r="F22" i="28"/>
  <c r="E15" i="28"/>
  <c r="E28" i="28"/>
  <c r="F25" i="28"/>
  <c r="E17" i="28"/>
  <c r="F20" i="28"/>
  <c r="F26" i="28"/>
  <c r="E20" i="28"/>
  <c r="F21" i="28"/>
  <c r="F14" i="28"/>
  <c r="F15" i="28"/>
  <c r="F17" i="28"/>
  <c r="E14" i="28"/>
  <c r="E23" i="28"/>
  <c r="E13" i="28"/>
  <c r="F27" i="28"/>
  <c r="F23" i="28"/>
  <c r="E21" i="28"/>
  <c r="E19" i="28"/>
  <c r="E71" i="28"/>
  <c r="F71" i="28" s="1"/>
  <c r="G71" i="28" s="1"/>
  <c r="H71" i="28" s="1"/>
  <c r="I71" i="28" s="1"/>
  <c r="N29" i="55"/>
  <c r="N31" i="55" s="1"/>
  <c r="N33" i="55" s="1"/>
  <c r="O69" i="55" s="1"/>
  <c r="H24" i="10"/>
  <c r="H27" i="10"/>
  <c r="F59" i="55"/>
  <c r="F60" i="55"/>
  <c r="F61" i="55"/>
  <c r="D25" i="31"/>
  <c r="P29" i="55"/>
  <c r="T29" i="55"/>
  <c r="T31" i="55" s="1"/>
  <c r="T33" i="55" s="1"/>
  <c r="O73" i="55" s="1"/>
  <c r="O29" i="55"/>
  <c r="O31" i="55" s="1"/>
  <c r="O33" i="55" s="1"/>
  <c r="O70" i="55" s="1"/>
  <c r="X29" i="55"/>
  <c r="X31" i="55" s="1"/>
  <c r="X33" i="55" s="1"/>
  <c r="R29" i="55"/>
  <c r="R31" i="55" s="1"/>
  <c r="R33" i="55" s="1"/>
  <c r="V29" i="55"/>
  <c r="V31" i="55" s="1"/>
  <c r="V33" i="55" s="1"/>
  <c r="O75" i="55" s="1"/>
  <c r="Y29" i="55"/>
  <c r="Y31" i="55" s="1"/>
  <c r="Y33" i="55" s="1"/>
  <c r="U31" i="55"/>
  <c r="U33" i="55" s="1"/>
  <c r="O74" i="55" s="1"/>
  <c r="Q40" i="28" l="1"/>
  <c r="M16" i="28"/>
  <c r="K16" i="28"/>
  <c r="Q54" i="28"/>
  <c r="X655" i="2" s="1"/>
  <c r="Q43" i="28"/>
  <c r="Q44" i="28"/>
  <c r="Q45" i="28"/>
  <c r="Q42" i="28"/>
  <c r="Q50" i="28"/>
  <c r="Q51" i="28"/>
  <c r="Q48" i="28"/>
  <c r="Q41" i="28"/>
  <c r="Q53" i="28"/>
  <c r="X720" i="2" s="1"/>
  <c r="Q38" i="28"/>
  <c r="Q47" i="28"/>
  <c r="Q49" i="28"/>
  <c r="Q46" i="28"/>
  <c r="Q52" i="28"/>
  <c r="X697" i="2" s="1"/>
  <c r="Q39" i="28"/>
  <c r="M29" i="28"/>
  <c r="K29" i="28"/>
  <c r="M30" i="28"/>
  <c r="K30" i="28"/>
  <c r="M28" i="28"/>
  <c r="M25" i="28"/>
  <c r="M19" i="28"/>
  <c r="K19" i="28"/>
  <c r="M26" i="28"/>
  <c r="K26" i="28"/>
  <c r="K24" i="28"/>
  <c r="M24" i="28"/>
  <c r="M14" i="28"/>
  <c r="K14" i="28"/>
  <c r="M27" i="28"/>
  <c r="K27" i="28"/>
  <c r="M15" i="28"/>
  <c r="K15" i="28"/>
  <c r="M13" i="28"/>
  <c r="K13" i="28"/>
  <c r="K21" i="28"/>
  <c r="M21" i="28"/>
  <c r="K18" i="28"/>
  <c r="M18" i="28"/>
  <c r="M20" i="28"/>
  <c r="K20" i="28"/>
  <c r="M23" i="28"/>
  <c r="K23" i="28"/>
  <c r="K25" i="28"/>
  <c r="K28" i="28"/>
  <c r="M17" i="28"/>
  <c r="K17" i="28"/>
  <c r="M22" i="28"/>
  <c r="K22" i="28"/>
  <c r="Q37" i="28"/>
  <c r="Q55" i="28"/>
  <c r="J71" i="28"/>
  <c r="K71" i="28" s="1"/>
  <c r="H29" i="10"/>
  <c r="H31" i="10" s="1"/>
  <c r="H94" i="10" s="1"/>
  <c r="H99" i="10" s="1"/>
  <c r="G63" i="55"/>
  <c r="M38" i="55" s="1"/>
  <c r="P31" i="55"/>
  <c r="P33" i="55" s="1"/>
  <c r="O71" i="55" s="1"/>
  <c r="X671" i="2" l="1"/>
  <c r="X670" i="2"/>
  <c r="H109" i="10"/>
  <c r="H117" i="10"/>
  <c r="E39" i="28" s="1"/>
  <c r="H125" i="10"/>
  <c r="E47" i="28" s="1"/>
  <c r="H133" i="10"/>
  <c r="H141" i="10"/>
  <c r="H149" i="10"/>
  <c r="H110" i="10"/>
  <c r="H118" i="10"/>
  <c r="E40" i="28" s="1"/>
  <c r="H126" i="10"/>
  <c r="E48" i="28" s="1"/>
  <c r="H134" i="10"/>
  <c r="H142" i="10"/>
  <c r="H111" i="10"/>
  <c r="H119" i="10"/>
  <c r="E41" i="28" s="1"/>
  <c r="H127" i="10"/>
  <c r="E49" i="28" s="1"/>
  <c r="H135" i="10"/>
  <c r="H143" i="10"/>
  <c r="H112" i="10"/>
  <c r="H120" i="10"/>
  <c r="E42" i="28" s="1"/>
  <c r="H128" i="10"/>
  <c r="E50" i="28" s="1"/>
  <c r="H136" i="10"/>
  <c r="H144" i="10"/>
  <c r="H121" i="10"/>
  <c r="E43" i="28" s="1"/>
  <c r="H129" i="10"/>
  <c r="E51" i="28" s="1"/>
  <c r="H137" i="10"/>
  <c r="H145" i="10"/>
  <c r="H130" i="10"/>
  <c r="E52" i="28" s="1"/>
  <c r="H138" i="10"/>
  <c r="H146" i="10"/>
  <c r="H113" i="10"/>
  <c r="H114" i="10"/>
  <c r="H122" i="10"/>
  <c r="E44" i="28" s="1"/>
  <c r="H123" i="10"/>
  <c r="E45" i="28" s="1"/>
  <c r="H131" i="10"/>
  <c r="E53" i="28" s="1"/>
  <c r="H139" i="10"/>
  <c r="H147" i="10"/>
  <c r="H115" i="10"/>
  <c r="E37" i="28" s="1"/>
  <c r="H116" i="10"/>
  <c r="E38" i="28" s="1"/>
  <c r="H124" i="10"/>
  <c r="E46" i="28" s="1"/>
  <c r="H132" i="10"/>
  <c r="E54" i="28" s="1"/>
  <c r="H140" i="10"/>
  <c r="H148" i="10"/>
  <c r="H102" i="10"/>
  <c r="H101" i="10"/>
  <c r="H103" i="10"/>
  <c r="H104" i="10"/>
  <c r="H105" i="10"/>
  <c r="H106" i="10"/>
  <c r="H107" i="10"/>
  <c r="H108" i="10"/>
  <c r="H100" i="10"/>
  <c r="X658" i="2"/>
  <c r="X665" i="2"/>
  <c r="X657" i="2"/>
  <c r="X715" i="2"/>
  <c r="X714" i="2"/>
  <c r="X660" i="2"/>
  <c r="X662" i="2"/>
  <c r="X667" i="2"/>
  <c r="X656" i="2"/>
  <c r="X659" i="2"/>
  <c r="X669" i="2"/>
  <c r="X664" i="2"/>
  <c r="X661" i="2"/>
  <c r="X668" i="2"/>
  <c r="X666" i="2"/>
  <c r="X663" i="2"/>
  <c r="X705" i="2"/>
  <c r="X722" i="2"/>
  <c r="X712" i="2"/>
  <c r="X721" i="2"/>
  <c r="X713" i="2"/>
  <c r="X717" i="2"/>
  <c r="X718" i="2"/>
  <c r="X709" i="2"/>
  <c r="X708" i="2"/>
  <c r="X707" i="2"/>
  <c r="X711" i="2"/>
  <c r="X706" i="2"/>
  <c r="X672" i="2"/>
  <c r="X685" i="2"/>
  <c r="X702" i="2"/>
  <c r="X674" i="2"/>
  <c r="X698" i="2"/>
  <c r="X675" i="2"/>
  <c r="X724" i="2"/>
  <c r="X716" i="2"/>
  <c r="X719" i="2"/>
  <c r="X723" i="2"/>
  <c r="X704" i="2"/>
  <c r="X710" i="2"/>
  <c r="X690" i="2"/>
  <c r="X678" i="2"/>
  <c r="X673" i="2"/>
  <c r="X693" i="2"/>
  <c r="X700" i="2"/>
  <c r="X676" i="2"/>
  <c r="X689" i="2"/>
  <c r="X686" i="2"/>
  <c r="X679" i="2"/>
  <c r="X703" i="2"/>
  <c r="X695" i="2"/>
  <c r="X680" i="2"/>
  <c r="X684" i="2"/>
  <c r="X696" i="2"/>
  <c r="X701" i="2"/>
  <c r="X694" i="2"/>
  <c r="X687" i="2"/>
  <c r="X677" i="2"/>
  <c r="X683" i="2"/>
  <c r="X681" i="2"/>
  <c r="X692" i="2"/>
  <c r="X691" i="2"/>
  <c r="X682" i="2"/>
  <c r="X699" i="2"/>
  <c r="X688" i="2"/>
  <c r="X617" i="2"/>
  <c r="X621" i="2"/>
  <c r="X601" i="2"/>
  <c r="X625" i="2"/>
  <c r="X603" i="2"/>
  <c r="X610" i="2"/>
  <c r="X607" i="2"/>
  <c r="X611" i="2"/>
  <c r="X600" i="2"/>
  <c r="X612" i="2"/>
  <c r="X622" i="2"/>
  <c r="X616" i="2"/>
  <c r="X624" i="2"/>
  <c r="X602" i="2"/>
  <c r="X614" i="2"/>
  <c r="X613" i="2"/>
  <c r="X609" i="2"/>
  <c r="X619" i="2"/>
  <c r="X615" i="2"/>
  <c r="X604" i="2"/>
  <c r="X599" i="2"/>
  <c r="X623" i="2"/>
  <c r="X608" i="2"/>
  <c r="X606" i="2"/>
  <c r="X620" i="2"/>
  <c r="X598" i="2"/>
  <c r="X618" i="2"/>
  <c r="X605" i="2"/>
  <c r="X646" i="2"/>
  <c r="X641" i="2"/>
  <c r="X642" i="2"/>
  <c r="X651" i="2"/>
  <c r="X627" i="2"/>
  <c r="X654" i="2"/>
  <c r="X630" i="2"/>
  <c r="X635" i="2"/>
  <c r="X631" i="2"/>
  <c r="X640" i="2"/>
  <c r="X648" i="2"/>
  <c r="X637" i="2"/>
  <c r="X632" i="2"/>
  <c r="X645" i="2"/>
  <c r="X634" i="2"/>
  <c r="X629" i="2"/>
  <c r="X649" i="2"/>
  <c r="X647" i="2"/>
  <c r="X639" i="2"/>
  <c r="X638" i="2"/>
  <c r="X626" i="2"/>
  <c r="X644" i="2"/>
  <c r="X650" i="2"/>
  <c r="X628" i="2"/>
  <c r="X652" i="2"/>
  <c r="X636" i="2"/>
  <c r="X643" i="2"/>
  <c r="X653" i="2"/>
  <c r="X633" i="2"/>
  <c r="X596" i="2"/>
  <c r="X594" i="2"/>
  <c r="X597" i="2"/>
  <c r="X595" i="2"/>
  <c r="X399" i="2"/>
  <c r="X391" i="2"/>
  <c r="X383" i="2"/>
  <c r="X373" i="2"/>
  <c r="X365" i="2"/>
  <c r="X357" i="2"/>
  <c r="X349" i="2"/>
  <c r="X341" i="2"/>
  <c r="X333" i="2"/>
  <c r="X325" i="2"/>
  <c r="X317" i="2"/>
  <c r="X312" i="2"/>
  <c r="X307" i="2"/>
  <c r="X299" i="2"/>
  <c r="X294" i="2"/>
  <c r="X286" i="2"/>
  <c r="X256" i="2"/>
  <c r="X248" i="2"/>
  <c r="X240" i="2"/>
  <c r="X232" i="2"/>
  <c r="X402" i="2"/>
  <c r="X394" i="2"/>
  <c r="X386" i="2"/>
  <c r="X376" i="2"/>
  <c r="X368" i="2"/>
  <c r="X360" i="2"/>
  <c r="X352" i="2"/>
  <c r="X344" i="2"/>
  <c r="X336" i="2"/>
  <c r="X328" i="2"/>
  <c r="X320" i="2"/>
  <c r="X310" i="2"/>
  <c r="X302" i="2"/>
  <c r="X289" i="2"/>
  <c r="X281" i="2"/>
  <c r="X259" i="2"/>
  <c r="X251" i="2"/>
  <c r="X243" i="2"/>
  <c r="X235" i="2"/>
  <c r="X397" i="2"/>
  <c r="X389" i="2"/>
  <c r="X381" i="2"/>
  <c r="X371" i="2"/>
  <c r="X363" i="2"/>
  <c r="X355" i="2"/>
  <c r="X347" i="2"/>
  <c r="X339" i="2"/>
  <c r="X331" i="2"/>
  <c r="X323" i="2"/>
  <c r="X315" i="2"/>
  <c r="X305" i="2"/>
  <c r="X297" i="2"/>
  <c r="X292" i="2"/>
  <c r="X284" i="2"/>
  <c r="X276" i="2"/>
  <c r="X272" i="2"/>
  <c r="X262" i="2"/>
  <c r="X254" i="2"/>
  <c r="X246" i="2"/>
  <c r="X238" i="2"/>
  <c r="X230" i="2"/>
  <c r="X222" i="2"/>
  <c r="X400" i="2"/>
  <c r="X392" i="2"/>
  <c r="X384" i="2"/>
  <c r="X374" i="2"/>
  <c r="X366" i="2"/>
  <c r="X358" i="2"/>
  <c r="X350" i="2"/>
  <c r="X342" i="2"/>
  <c r="X334" i="2"/>
  <c r="X326" i="2"/>
  <c r="X318" i="2"/>
  <c r="X313" i="2"/>
  <c r="X308" i="2"/>
  <c r="X300" i="2"/>
  <c r="X295" i="2"/>
  <c r="X287" i="2"/>
  <c r="X279" i="2"/>
  <c r="X275" i="2"/>
  <c r="X267" i="2"/>
  <c r="X257" i="2"/>
  <c r="X249" i="2"/>
  <c r="X241" i="2"/>
  <c r="X233" i="2"/>
  <c r="X225" i="2"/>
  <c r="X395" i="2"/>
  <c r="X387" i="2"/>
  <c r="X379" i="2"/>
  <c r="X377" i="2"/>
  <c r="X369" i="2"/>
  <c r="X361" i="2"/>
  <c r="X353" i="2"/>
  <c r="X345" i="2"/>
  <c r="X337" i="2"/>
  <c r="X329" i="2"/>
  <c r="X321" i="2"/>
  <c r="X311" i="2"/>
  <c r="X303" i="2"/>
  <c r="X290" i="2"/>
  <c r="X282" i="2"/>
  <c r="X260" i="2"/>
  <c r="X252" i="2"/>
  <c r="X244" i="2"/>
  <c r="X393" i="2"/>
  <c r="X250" i="2"/>
  <c r="X236" i="2"/>
  <c r="X218" i="2"/>
  <c r="X356" i="2"/>
  <c r="X354" i="2"/>
  <c r="X340" i="2"/>
  <c r="X338" i="2"/>
  <c r="X324" i="2"/>
  <c r="X322" i="2"/>
  <c r="X258" i="2"/>
  <c r="X234" i="2"/>
  <c r="X209" i="2"/>
  <c r="X204" i="2"/>
  <c r="X196" i="2"/>
  <c r="X188" i="2"/>
  <c r="X180" i="2"/>
  <c r="X172" i="2"/>
  <c r="X223" i="2"/>
  <c r="X216" i="2"/>
  <c r="X214" i="2"/>
  <c r="X212" i="2"/>
  <c r="X207" i="2"/>
  <c r="X199" i="2"/>
  <c r="X191" i="2"/>
  <c r="X183" i="2"/>
  <c r="X175" i="2"/>
  <c r="X390" i="2"/>
  <c r="X388" i="2"/>
  <c r="X278" i="2"/>
  <c r="X264" i="2"/>
  <c r="X228" i="2"/>
  <c r="X221" i="2"/>
  <c r="X367" i="2"/>
  <c r="X301" i="2"/>
  <c r="X296" i="2"/>
  <c r="X280" i="2"/>
  <c r="X202" i="2"/>
  <c r="X194" i="2"/>
  <c r="X186" i="2"/>
  <c r="X178" i="2"/>
  <c r="X378" i="2"/>
  <c r="X351" i="2"/>
  <c r="X335" i="2"/>
  <c r="X270" i="2"/>
  <c r="X266" i="2"/>
  <c r="X319" i="2"/>
  <c r="X298" i="2"/>
  <c r="X293" i="2"/>
  <c r="X291" i="2"/>
  <c r="X268" i="2"/>
  <c r="X226" i="2"/>
  <c r="X219" i="2"/>
  <c r="X210" i="2"/>
  <c r="X205" i="2"/>
  <c r="X197" i="2"/>
  <c r="X189" i="2"/>
  <c r="X181" i="2"/>
  <c r="X173" i="2"/>
  <c r="X401" i="2"/>
  <c r="X364" i="2"/>
  <c r="X362" i="2"/>
  <c r="X274" i="2"/>
  <c r="X247" i="2"/>
  <c r="X245" i="2"/>
  <c r="X239" i="2"/>
  <c r="X348" i="2"/>
  <c r="X346" i="2"/>
  <c r="X332" i="2"/>
  <c r="X330" i="2"/>
  <c r="X277" i="2"/>
  <c r="X255" i="2"/>
  <c r="X253" i="2"/>
  <c r="X237" i="2"/>
  <c r="X224" i="2"/>
  <c r="X215" i="2"/>
  <c r="X208" i="2"/>
  <c r="X200" i="2"/>
  <c r="X192" i="2"/>
  <c r="X184" i="2"/>
  <c r="X176" i="2"/>
  <c r="X396" i="2"/>
  <c r="X385" i="2"/>
  <c r="X316" i="2"/>
  <c r="X314" i="2"/>
  <c r="X231" i="2"/>
  <c r="X217" i="2"/>
  <c r="X398" i="2"/>
  <c r="X263" i="2"/>
  <c r="X261" i="2"/>
  <c r="X213" i="2"/>
  <c r="X203" i="2"/>
  <c r="X195" i="2"/>
  <c r="X187" i="2"/>
  <c r="X179" i="2"/>
  <c r="X375" i="2"/>
  <c r="X309" i="2"/>
  <c r="X265" i="2"/>
  <c r="X229" i="2"/>
  <c r="X382" i="2"/>
  <c r="X380" i="2"/>
  <c r="X288" i="2"/>
  <c r="X273" i="2"/>
  <c r="X220" i="2"/>
  <c r="X211" i="2"/>
  <c r="X206" i="2"/>
  <c r="X198" i="2"/>
  <c r="X190" i="2"/>
  <c r="X182" i="2"/>
  <c r="X174" i="2"/>
  <c r="X359" i="2"/>
  <c r="X343" i="2"/>
  <c r="X327" i="2"/>
  <c r="X306" i="2"/>
  <c r="X304" i="2"/>
  <c r="X271" i="2"/>
  <c r="X269" i="2"/>
  <c r="X227" i="2"/>
  <c r="X372" i="2"/>
  <c r="X370" i="2"/>
  <c r="X285" i="2"/>
  <c r="X283" i="2"/>
  <c r="X242" i="2"/>
  <c r="X201" i="2"/>
  <c r="X193" i="2"/>
  <c r="X185" i="2"/>
  <c r="X177" i="2"/>
  <c r="X592" i="2"/>
  <c r="X584" i="2"/>
  <c r="X576" i="2"/>
  <c r="X571" i="2"/>
  <c r="X566" i="2"/>
  <c r="X558" i="2"/>
  <c r="X553" i="2"/>
  <c r="X545" i="2"/>
  <c r="X537" i="2"/>
  <c r="X529" i="2"/>
  <c r="X521" i="2"/>
  <c r="X513" i="2"/>
  <c r="X505" i="2"/>
  <c r="X497" i="2"/>
  <c r="X487" i="2"/>
  <c r="X479" i="2"/>
  <c r="X471" i="2"/>
  <c r="X463" i="2"/>
  <c r="X455" i="2"/>
  <c r="X445" i="2"/>
  <c r="X443" i="2"/>
  <c r="X587" i="2"/>
  <c r="X579" i="2"/>
  <c r="X569" i="2"/>
  <c r="X561" i="2"/>
  <c r="X548" i="2"/>
  <c r="X540" i="2"/>
  <c r="X532" i="2"/>
  <c r="X524" i="2"/>
  <c r="X516" i="2"/>
  <c r="X508" i="2"/>
  <c r="X490" i="2"/>
  <c r="X482" i="2"/>
  <c r="X474" i="2"/>
  <c r="X590" i="2"/>
  <c r="X582" i="2"/>
  <c r="X574" i="2"/>
  <c r="X564" i="2"/>
  <c r="X556" i="2"/>
  <c r="X551" i="2"/>
  <c r="X543" i="2"/>
  <c r="X535" i="2"/>
  <c r="X493" i="2"/>
  <c r="X485" i="2"/>
  <c r="X477" i="2"/>
  <c r="X469" i="2"/>
  <c r="X593" i="2"/>
  <c r="X585" i="2"/>
  <c r="X577" i="2"/>
  <c r="X572" i="2"/>
  <c r="X567" i="2"/>
  <c r="X559" i="2"/>
  <c r="X554" i="2"/>
  <c r="X546" i="2"/>
  <c r="X538" i="2"/>
  <c r="X488" i="2"/>
  <c r="X480" i="2"/>
  <c r="X472" i="2"/>
  <c r="X464" i="2"/>
  <c r="X456" i="2"/>
  <c r="X448" i="2"/>
  <c r="X588" i="2"/>
  <c r="X580" i="2"/>
  <c r="X570" i="2"/>
  <c r="X562" i="2"/>
  <c r="X549" i="2"/>
  <c r="X541" i="2"/>
  <c r="X533" i="2"/>
  <c r="X525" i="2"/>
  <c r="X491" i="2"/>
  <c r="X591" i="2"/>
  <c r="X583" i="2"/>
  <c r="X575" i="2"/>
  <c r="X494" i="2"/>
  <c r="X486" i="2"/>
  <c r="X478" i="2"/>
  <c r="X470" i="2"/>
  <c r="X462" i="2"/>
  <c r="X454" i="2"/>
  <c r="X555" i="2"/>
  <c r="X522" i="2"/>
  <c r="X459" i="2"/>
  <c r="X450" i="2"/>
  <c r="X446" i="2"/>
  <c r="X434" i="2"/>
  <c r="X426" i="2"/>
  <c r="X418" i="2"/>
  <c r="X410" i="2"/>
  <c r="X507" i="2"/>
  <c r="X501" i="2"/>
  <c r="X457" i="2"/>
  <c r="X444" i="2"/>
  <c r="X581" i="2"/>
  <c r="X550" i="2"/>
  <c r="X511" i="2"/>
  <c r="X442" i="2"/>
  <c r="X437" i="2"/>
  <c r="X429" i="2"/>
  <c r="X421" i="2"/>
  <c r="X413" i="2"/>
  <c r="X405" i="2"/>
  <c r="X557" i="2"/>
  <c r="X492" i="2"/>
  <c r="X484" i="2"/>
  <c r="X552" i="2"/>
  <c r="X526" i="2"/>
  <c r="X509" i="2"/>
  <c r="X476" i="2"/>
  <c r="X453" i="2"/>
  <c r="X432" i="2"/>
  <c r="X424" i="2"/>
  <c r="X416" i="2"/>
  <c r="X408" i="2"/>
  <c r="X578" i="2"/>
  <c r="X547" i="2"/>
  <c r="X528" i="2"/>
  <c r="X515" i="2"/>
  <c r="X496" i="2"/>
  <c r="X468" i="2"/>
  <c r="X530" i="2"/>
  <c r="X519" i="2"/>
  <c r="X498" i="2"/>
  <c r="X466" i="2"/>
  <c r="X440" i="2"/>
  <c r="X435" i="2"/>
  <c r="X427" i="2"/>
  <c r="X419" i="2"/>
  <c r="X411" i="2"/>
  <c r="X403" i="2"/>
  <c r="X542" i="2"/>
  <c r="X504" i="2"/>
  <c r="X451" i="2"/>
  <c r="X573" i="2"/>
  <c r="X568" i="2"/>
  <c r="X517" i="2"/>
  <c r="X506" i="2"/>
  <c r="X502" i="2"/>
  <c r="X500" i="2"/>
  <c r="X460" i="2"/>
  <c r="X449" i="2"/>
  <c r="X447" i="2"/>
  <c r="X438" i="2"/>
  <c r="X430" i="2"/>
  <c r="X422" i="2"/>
  <c r="X414" i="2"/>
  <c r="X406" i="2"/>
  <c r="X544" i="2"/>
  <c r="X523" i="2"/>
  <c r="X458" i="2"/>
  <c r="X539" i="2"/>
  <c r="X489" i="2"/>
  <c r="X433" i="2"/>
  <c r="X425" i="2"/>
  <c r="X417" i="2"/>
  <c r="X409" i="2"/>
  <c r="X512" i="2"/>
  <c r="X510" i="2"/>
  <c r="X483" i="2"/>
  <c r="X481" i="2"/>
  <c r="X589" i="2"/>
  <c r="X563" i="2"/>
  <c r="X534" i="2"/>
  <c r="X527" i="2"/>
  <c r="X514" i="2"/>
  <c r="X495" i="2"/>
  <c r="X475" i="2"/>
  <c r="X473" i="2"/>
  <c r="X441" i="2"/>
  <c r="X436" i="2"/>
  <c r="X428" i="2"/>
  <c r="X420" i="2"/>
  <c r="X412" i="2"/>
  <c r="X404" i="2"/>
  <c r="X565" i="2"/>
  <c r="X467" i="2"/>
  <c r="X536" i="2"/>
  <c r="X465" i="2"/>
  <c r="X461" i="2"/>
  <c r="X452" i="2"/>
  <c r="X439" i="2"/>
  <c r="X431" i="2"/>
  <c r="X423" i="2"/>
  <c r="X415" i="2"/>
  <c r="X407" i="2"/>
  <c r="X586" i="2"/>
  <c r="X560" i="2"/>
  <c r="X531" i="2"/>
  <c r="X520" i="2"/>
  <c r="X518" i="2"/>
  <c r="X503" i="2"/>
  <c r="X499" i="2"/>
  <c r="L71" i="28"/>
  <c r="C72" i="28" s="1"/>
  <c r="E55" i="28" l="1"/>
  <c r="E56" i="28"/>
  <c r="J51" i="31"/>
  <c r="J52" i="31" l="1"/>
  <c r="J50" i="31"/>
  <c r="J49" i="31"/>
  <c r="Y34" i="55"/>
  <c r="Y36" i="55" s="1"/>
  <c r="Y38" i="55" s="1"/>
  <c r="Y39" i="55" s="1"/>
  <c r="X34" i="55"/>
  <c r="X36" i="55" s="1"/>
  <c r="X38" i="55" s="1"/>
  <c r="X39" i="55" s="1"/>
  <c r="X44" i="55" l="1"/>
  <c r="X55" i="55" s="1"/>
  <c r="X57" i="55" s="1"/>
  <c r="X59" i="55" s="1"/>
  <c r="X65" i="55" s="1"/>
  <c r="Y44" i="55"/>
  <c r="Y55" i="55" s="1"/>
  <c r="Y57" i="55" s="1"/>
  <c r="Y59" i="55" s="1"/>
  <c r="Y61" i="55" s="1"/>
  <c r="X63" i="55" l="1"/>
  <c r="X61" i="55"/>
  <c r="Y65" i="55"/>
  <c r="Y63" i="55"/>
  <c r="H25" i="31" l="1"/>
  <c r="H20" i="31" l="1"/>
  <c r="H30" i="31"/>
  <c r="H24" i="31"/>
  <c r="N71" i="55" s="1"/>
  <c r="P71" i="55" s="1"/>
  <c r="H32" i="31"/>
  <c r="N74" i="55" s="1"/>
  <c r="P74" i="55" s="1"/>
  <c r="H22" i="31"/>
  <c r="N70" i="55" s="1"/>
  <c r="P70" i="55" s="1"/>
  <c r="H34" i="31"/>
  <c r="N75" i="55" s="1"/>
  <c r="P75" i="55" s="1"/>
  <c r="N73" i="55" l="1"/>
  <c r="P73" i="55" s="1"/>
  <c r="F32" i="31"/>
  <c r="J32" i="31"/>
  <c r="F34" i="31"/>
  <c r="F22" i="31"/>
  <c r="F24" i="31"/>
  <c r="F30" i="31"/>
  <c r="H35" i="31"/>
  <c r="F20" i="31"/>
  <c r="N69" i="55"/>
  <c r="F35" i="31" l="1"/>
  <c r="F25" i="31"/>
  <c r="P69" i="55"/>
  <c r="P76" i="55" s="1"/>
  <c r="N76" i="55"/>
  <c r="O78" i="55" l="1"/>
  <c r="G38" i="55" s="1"/>
  <c r="G40" i="55" s="1"/>
  <c r="G43" i="55" s="1"/>
  <c r="F154" i="10"/>
  <c r="G28" i="55" l="1"/>
  <c r="G33" i="55" s="1"/>
  <c r="O34" i="55" s="1"/>
  <c r="O36" i="55" s="1"/>
  <c r="O38" i="55" s="1"/>
  <c r="O39" i="55" s="1"/>
  <c r="U34" i="55"/>
  <c r="U36" i="55" s="1"/>
  <c r="U38" i="55" s="1"/>
  <c r="U39" i="55" s="1"/>
  <c r="V34" i="55"/>
  <c r="V36" i="55" s="1"/>
  <c r="V38" i="55" s="1"/>
  <c r="V39" i="55" s="1"/>
  <c r="P34" i="55"/>
  <c r="P36" i="55" s="1"/>
  <c r="P38" i="55" s="1"/>
  <c r="P39" i="55" s="1"/>
  <c r="H154" i="10"/>
  <c r="R34" i="55" l="1"/>
  <c r="R36" i="55" s="1"/>
  <c r="R38" i="55" s="1"/>
  <c r="R39" i="55" s="1"/>
  <c r="T34" i="55"/>
  <c r="T36" i="55" s="1"/>
  <c r="T38" i="55" s="1"/>
  <c r="T39" i="55" s="1"/>
  <c r="T44" i="55" s="1"/>
  <c r="T55" i="55" s="1"/>
  <c r="T57" i="55" s="1"/>
  <c r="T59" i="55" s="1"/>
  <c r="I30" i="31" s="1"/>
  <c r="J30" i="31" s="1"/>
  <c r="M34" i="55"/>
  <c r="N34" i="55"/>
  <c r="N36" i="55" s="1"/>
  <c r="V44" i="55"/>
  <c r="V55" i="55" s="1"/>
  <c r="V57" i="55" s="1"/>
  <c r="V59" i="55" s="1"/>
  <c r="U44" i="55"/>
  <c r="U55" i="55" s="1"/>
  <c r="U57" i="55" s="1"/>
  <c r="U59" i="55" s="1"/>
  <c r="U65" i="55" s="1"/>
  <c r="O44" i="55"/>
  <c r="O55" i="55" s="1"/>
  <c r="O57" i="55" s="1"/>
  <c r="O59" i="55" s="1"/>
  <c r="P44" i="55"/>
  <c r="P55" i="55" s="1"/>
  <c r="P57" i="55" s="1"/>
  <c r="P59" i="55" s="1"/>
  <c r="I24" i="31" s="1"/>
  <c r="J24" i="31" s="1"/>
  <c r="N38" i="55" l="1"/>
  <c r="N39" i="55" s="1"/>
  <c r="N44" i="55" s="1"/>
  <c r="R44" i="55"/>
  <c r="R55" i="55" s="1"/>
  <c r="R57" i="55" s="1"/>
  <c r="R59" i="55" s="1"/>
  <c r="I22" i="31"/>
  <c r="J22" i="31" s="1"/>
  <c r="V61" i="55"/>
  <c r="I34" i="31"/>
  <c r="J34" i="31" s="1"/>
  <c r="J35" i="31" s="1"/>
  <c r="L35" i="31" s="1"/>
  <c r="L33" i="28" s="1"/>
  <c r="V63" i="55"/>
  <c r="U63" i="55"/>
  <c r="V65" i="55"/>
  <c r="U61" i="55"/>
  <c r="T63" i="55"/>
  <c r="T61" i="55"/>
  <c r="T65" i="55"/>
  <c r="O63" i="55"/>
  <c r="O65" i="55"/>
  <c r="O61" i="55"/>
  <c r="P63" i="55"/>
  <c r="P65" i="55"/>
  <c r="P61" i="55"/>
  <c r="N55" i="55" l="1"/>
  <c r="N57" i="55" s="1"/>
  <c r="N59" i="55" s="1"/>
  <c r="G53" i="28"/>
  <c r="G42" i="28"/>
  <c r="G50" i="28"/>
  <c r="G52" i="28"/>
  <c r="G43" i="28"/>
  <c r="G49" i="28"/>
  <c r="G40" i="28"/>
  <c r="G44" i="28"/>
  <c r="G48" i="28"/>
  <c r="G39" i="28"/>
  <c r="G38" i="28"/>
  <c r="G46" i="28"/>
  <c r="G47" i="28"/>
  <c r="G54" i="28"/>
  <c r="G51" i="28"/>
  <c r="G41" i="28"/>
  <c r="G45" i="28"/>
  <c r="G55" i="28"/>
  <c r="G56" i="28"/>
  <c r="G37" i="28"/>
  <c r="R63" i="55"/>
  <c r="R65" i="55"/>
  <c r="R61" i="55"/>
  <c r="N63" i="55" l="1"/>
  <c r="I20" i="31"/>
  <c r="J20" i="31" s="1"/>
  <c r="J25" i="31" s="1"/>
  <c r="L25" i="31" s="1"/>
  <c r="H33" i="28" s="1"/>
  <c r="N61" i="55"/>
  <c r="N65" i="55"/>
  <c r="N35" i="31" l="1"/>
  <c r="L37" i="31" s="1"/>
  <c r="W51" i="2" s="1"/>
  <c r="J39" i="31"/>
  <c r="J56" i="31" s="1"/>
  <c r="H38" i="28"/>
  <c r="I33" i="28"/>
  <c r="H37" i="28"/>
  <c r="H56" i="28"/>
  <c r="H54" i="28"/>
  <c r="H45" i="28"/>
  <c r="H39" i="28"/>
  <c r="H53" i="28"/>
  <c r="H41" i="28"/>
  <c r="H48" i="28"/>
  <c r="H46" i="28"/>
  <c r="H44" i="28"/>
  <c r="H55" i="28"/>
  <c r="H40" i="28"/>
  <c r="H47" i="28"/>
  <c r="H49" i="28"/>
  <c r="H51" i="28"/>
  <c r="H52" i="28"/>
  <c r="H43" i="28"/>
  <c r="H50" i="28"/>
  <c r="H42" i="28"/>
  <c r="W610" i="2"/>
  <c r="W710" i="2"/>
  <c r="W660" i="2"/>
  <c r="W600" i="2"/>
  <c r="W322" i="2"/>
  <c r="W362" i="2"/>
  <c r="W304" i="2"/>
  <c r="W375" i="2"/>
  <c r="W218" i="2"/>
  <c r="W345" i="2"/>
  <c r="W277" i="2"/>
  <c r="W286" i="2"/>
  <c r="W306" i="2"/>
  <c r="W279" i="2"/>
  <c r="W254" i="2"/>
  <c r="W382" i="2"/>
  <c r="W281" i="2"/>
  <c r="W374" i="2"/>
  <c r="W385" i="2"/>
  <c r="W357" i="2"/>
  <c r="W296" i="2"/>
  <c r="W195" i="2"/>
  <c r="W234" i="2"/>
  <c r="W292" i="2"/>
  <c r="W237" i="2"/>
  <c r="W260" i="2"/>
  <c r="W339" i="2"/>
  <c r="W224" i="2"/>
  <c r="W187" i="2"/>
  <c r="W239" i="2"/>
  <c r="W247" i="2"/>
  <c r="W172" i="2"/>
  <c r="W373" i="2"/>
  <c r="W381" i="2"/>
  <c r="W264" i="2"/>
  <c r="W356" i="2"/>
  <c r="W350" i="2"/>
  <c r="W394" i="2"/>
  <c r="W399" i="2"/>
  <c r="W308" i="2"/>
  <c r="W219" i="2"/>
  <c r="W320" i="2"/>
  <c r="W518" i="2"/>
  <c r="W581" i="2"/>
  <c r="W550" i="2"/>
  <c r="W510" i="2"/>
  <c r="W589" i="2"/>
  <c r="W563" i="2"/>
  <c r="W534" i="2"/>
  <c r="W524" i="2"/>
  <c r="W516" i="2"/>
  <c r="W442" i="2"/>
  <c r="W445" i="2"/>
  <c r="W448" i="2"/>
  <c r="W424" i="2"/>
  <c r="W480" i="2"/>
  <c r="W412" i="2"/>
  <c r="W558" i="2"/>
  <c r="W460" i="2"/>
  <c r="W575" i="2"/>
  <c r="W561" i="2"/>
  <c r="W533" i="2"/>
  <c r="W576" i="2"/>
  <c r="W82" i="2"/>
  <c r="W50" i="2"/>
  <c r="W95" i="2"/>
  <c r="W105" i="2"/>
  <c r="W58" i="2"/>
  <c r="W113" i="2"/>
  <c r="W66" i="2"/>
  <c r="W115" i="2"/>
  <c r="W97" i="2"/>
  <c r="W30" i="2"/>
  <c r="W88" i="2"/>
  <c r="W72" i="2"/>
  <c r="W63" i="2"/>
  <c r="W57" i="2"/>
  <c r="W16" i="2"/>
  <c r="W33" i="2"/>
  <c r="W78" i="2"/>
  <c r="W61" i="2"/>
  <c r="W20" i="2"/>
  <c r="W103" i="2"/>
  <c r="W111" i="2"/>
  <c r="W44" i="2"/>
  <c r="W60" i="2"/>
  <c r="W67" i="2"/>
  <c r="W22" i="2"/>
  <c r="W117" i="2"/>
  <c r="W64" i="2"/>
  <c r="W100" i="2"/>
  <c r="W92" i="2"/>
  <c r="W119" i="2"/>
  <c r="W80" i="2"/>
  <c r="W70" i="2"/>
  <c r="W90" i="2"/>
  <c r="W25" i="2"/>
  <c r="W15" i="2"/>
  <c r="W17" i="2"/>
  <c r="W86" i="2"/>
  <c r="W47" i="2"/>
  <c r="W102" i="2"/>
  <c r="W24" i="2"/>
  <c r="W49" i="2"/>
  <c r="W18" i="2"/>
  <c r="W73" i="2"/>
  <c r="W23" i="2"/>
  <c r="W21" i="2"/>
  <c r="W71" i="2"/>
  <c r="W56" i="2"/>
  <c r="W54" i="2"/>
  <c r="W91" i="2"/>
  <c r="W46" i="2"/>
  <c r="W114" i="2"/>
  <c r="W53" i="2"/>
  <c r="W39" i="2"/>
  <c r="W89" i="2"/>
  <c r="W62" i="2"/>
  <c r="W59" i="2"/>
  <c r="W37" i="2"/>
  <c r="W35" i="2"/>
  <c r="W26" i="2"/>
  <c r="W109" i="2"/>
  <c r="W112" i="2"/>
  <c r="W45" i="2"/>
  <c r="W43" i="2"/>
  <c r="W28" i="2"/>
  <c r="W107" i="2"/>
  <c r="W116" i="2"/>
  <c r="W167" i="2"/>
  <c r="W159" i="2"/>
  <c r="W151" i="2"/>
  <c r="W143" i="2"/>
  <c r="W161" i="2"/>
  <c r="W169" i="2"/>
  <c r="W137" i="2"/>
  <c r="W129" i="2"/>
  <c r="W153" i="2"/>
  <c r="W150" i="2"/>
  <c r="W168" i="2"/>
  <c r="W165" i="2"/>
  <c r="W152" i="2"/>
  <c r="W170" i="2"/>
  <c r="W133" i="2"/>
  <c r="W171" i="2"/>
  <c r="W144" i="2"/>
  <c r="W149" i="2"/>
  <c r="W156" i="2"/>
  <c r="W136" i="2"/>
  <c r="W142" i="2"/>
  <c r="W134" i="2"/>
  <c r="W123" i="2"/>
  <c r="W135" i="2"/>
  <c r="W145" i="2"/>
  <c r="W125" i="2"/>
  <c r="W146" i="2"/>
  <c r="W140" i="2"/>
  <c r="L52" i="31"/>
  <c r="W679" i="2" l="1"/>
  <c r="W639" i="2"/>
  <c r="W706" i="2"/>
  <c r="W367" i="2"/>
  <c r="W177" i="2"/>
  <c r="W289" i="2"/>
  <c r="W316" i="2"/>
  <c r="W363" i="2"/>
  <c r="W467" i="2"/>
  <c r="W463" i="2"/>
  <c r="W493" i="2"/>
  <c r="W553" i="2"/>
  <c r="W580" i="2"/>
  <c r="W587" i="2"/>
  <c r="W535" i="2"/>
  <c r="W490" i="2"/>
  <c r="W457" i="2"/>
  <c r="W560" i="2"/>
  <c r="W527" i="2"/>
  <c r="W582" i="2"/>
  <c r="W508" i="2"/>
  <c r="W476" i="2"/>
  <c r="W410" i="2"/>
  <c r="W499" i="2"/>
  <c r="W417" i="2"/>
  <c r="W578" i="2"/>
  <c r="W568" i="2"/>
  <c r="W529" i="2"/>
  <c r="W517" i="2"/>
  <c r="W572" i="2"/>
  <c r="W520" i="2"/>
  <c r="W435" i="2"/>
  <c r="W583" i="2"/>
  <c r="W528" i="2"/>
  <c r="W474" i="2"/>
  <c r="W475" i="2"/>
  <c r="W454" i="2"/>
  <c r="W555" i="2"/>
  <c r="W488" i="2"/>
  <c r="W422" i="2"/>
  <c r="W549" i="2"/>
  <c r="W500" i="2"/>
  <c r="W408" i="2"/>
  <c r="W414" i="2"/>
  <c r="W507" i="2"/>
  <c r="W438" i="2"/>
  <c r="W586" i="2"/>
  <c r="W543" i="2"/>
  <c r="W584" i="2"/>
  <c r="W577" i="2"/>
  <c r="W439" i="2"/>
  <c r="W449" i="2"/>
  <c r="W585" i="2"/>
  <c r="W547" i="2"/>
  <c r="W477" i="2"/>
  <c r="W590" i="2"/>
  <c r="W512" i="2"/>
  <c r="W505" i="2"/>
  <c r="W486" i="2"/>
  <c r="W592" i="2"/>
  <c r="W565" i="2"/>
  <c r="W444" i="2"/>
  <c r="W407" i="2"/>
  <c r="W469" i="2"/>
  <c r="W537" i="2"/>
  <c r="W492" i="2"/>
  <c r="W487" i="2"/>
  <c r="W478" i="2"/>
  <c r="W436" i="2"/>
  <c r="W544" i="2"/>
  <c r="W552" i="2"/>
  <c r="W545" i="2"/>
  <c r="W523" i="2"/>
  <c r="W447" i="2"/>
  <c r="W504" i="2"/>
  <c r="W574" i="2"/>
  <c r="W538" i="2"/>
  <c r="W418" i="2"/>
  <c r="W421" i="2"/>
  <c r="W404" i="2"/>
  <c r="W494" i="2"/>
  <c r="W556" i="2"/>
  <c r="W519" i="2"/>
  <c r="W513" i="2"/>
  <c r="W34" i="2"/>
  <c r="W79" i="2"/>
  <c r="W36" i="2"/>
  <c r="W42" i="2"/>
  <c r="W104" i="2"/>
  <c r="W110" i="2"/>
  <c r="W48" i="2"/>
  <c r="W19" i="2"/>
  <c r="W40" i="2"/>
  <c r="W38" i="2"/>
  <c r="W32" i="2"/>
  <c r="W108" i="2"/>
  <c r="W96" i="2"/>
  <c r="W14" i="2"/>
  <c r="W87" i="2"/>
  <c r="W81" i="2"/>
  <c r="W77" i="2"/>
  <c r="W65" i="2"/>
  <c r="W94" i="2"/>
  <c r="W27" i="2"/>
  <c r="W52" i="2"/>
  <c r="W93" i="2"/>
  <c r="W85" i="2"/>
  <c r="W83" i="2"/>
  <c r="W69" i="2"/>
  <c r="W98" i="2"/>
  <c r="W29" i="2"/>
  <c r="W76" i="2"/>
  <c r="W55" i="2"/>
  <c r="W84" i="2"/>
  <c r="W101" i="2"/>
  <c r="W99" i="2"/>
  <c r="W75" i="2"/>
  <c r="W106" i="2"/>
  <c r="W126" i="2"/>
  <c r="W139" i="2"/>
  <c r="W132" i="2"/>
  <c r="W138" i="2"/>
  <c r="W127" i="2"/>
  <c r="W160" i="2"/>
  <c r="W121" i="2"/>
  <c r="W162" i="2"/>
  <c r="W648" i="2"/>
  <c r="W426" i="2"/>
  <c r="W416" i="2"/>
  <c r="W419" i="2"/>
  <c r="W430" i="2"/>
  <c r="W441" i="2"/>
  <c r="W591" i="2"/>
  <c r="W468" i="2"/>
  <c r="W415" i="2"/>
  <c r="W514" i="2"/>
  <c r="W403" i="2"/>
  <c r="W427" i="2"/>
  <c r="W489" i="2"/>
  <c r="W551" i="2"/>
  <c r="W506" i="2"/>
  <c r="W501" i="2"/>
  <c r="W569" i="2"/>
  <c r="W548" i="2"/>
  <c r="W431" i="2"/>
  <c r="W434" i="2"/>
  <c r="W437" i="2"/>
  <c r="W411" i="2"/>
  <c r="W462" i="2"/>
  <c r="W532" i="2"/>
  <c r="W571" i="2"/>
  <c r="W525" i="2"/>
  <c r="W458" i="2"/>
  <c r="W453" i="2"/>
  <c r="W451" i="2"/>
  <c r="W443" i="2"/>
  <c r="W483" i="2"/>
  <c r="W425" i="2"/>
  <c r="W428" i="2"/>
  <c r="W74" i="2"/>
  <c r="W68" i="2"/>
  <c r="W31" i="2"/>
  <c r="W41" i="2"/>
  <c r="W118" i="2"/>
  <c r="W166" i="2"/>
  <c r="W148" i="2"/>
  <c r="W131" i="2"/>
  <c r="W157" i="2"/>
  <c r="W128" i="2"/>
  <c r="W154" i="2"/>
  <c r="W158" i="2"/>
  <c r="W130" i="2"/>
  <c r="W124" i="2"/>
  <c r="W120" i="2"/>
  <c r="W163" i="2"/>
  <c r="W155" i="2"/>
  <c r="W141" i="2"/>
  <c r="W122" i="2"/>
  <c r="W164" i="2"/>
  <c r="W147" i="2"/>
  <c r="W223" i="2"/>
  <c r="W215" i="2"/>
  <c r="W207" i="2"/>
  <c r="W181" i="2"/>
  <c r="W333" i="2"/>
  <c r="W272" i="2"/>
  <c r="W225" i="2"/>
  <c r="W354" i="2"/>
  <c r="W268" i="2"/>
  <c r="W683" i="2"/>
  <c r="W598" i="2"/>
  <c r="W606" i="2"/>
  <c r="W668" i="2"/>
  <c r="W618" i="2"/>
  <c r="W656" i="2"/>
  <c r="W712" i="2"/>
  <c r="W647" i="2"/>
  <c r="W603" i="2"/>
  <c r="W391" i="2"/>
  <c r="W384" i="2"/>
  <c r="W310" i="2"/>
  <c r="W325" i="2"/>
  <c r="W175" i="2"/>
  <c r="W204" i="2"/>
  <c r="W291" i="2"/>
  <c r="W596" i="2"/>
  <c r="W676" i="2"/>
  <c r="W674" i="2"/>
  <c r="W627" i="2"/>
  <c r="W717" i="2"/>
  <c r="W667" i="2"/>
  <c r="W640" i="2"/>
  <c r="W259" i="2"/>
  <c r="W355" i="2"/>
  <c r="W318" i="2"/>
  <c r="W270" i="2"/>
  <c r="W390" i="2"/>
  <c r="W262" i="2"/>
  <c r="W349" i="2"/>
  <c r="W402" i="2"/>
  <c r="W342" i="2"/>
  <c r="W326" i="2"/>
  <c r="W389" i="2"/>
  <c r="W242" i="2"/>
  <c r="W209" i="2"/>
  <c r="W293" i="2"/>
  <c r="W608" i="2"/>
  <c r="W651" i="2"/>
  <c r="W641" i="2"/>
  <c r="W650" i="2"/>
  <c r="W723" i="2"/>
  <c r="W720" i="2"/>
  <c r="W685" i="2"/>
  <c r="W669" i="2"/>
  <c r="W671" i="2"/>
  <c r="W334" i="2"/>
  <c r="W360" i="2"/>
  <c r="W200" i="2"/>
  <c r="W238" i="2"/>
  <c r="W328" i="2"/>
  <c r="W317" i="2"/>
  <c r="W365" i="2"/>
  <c r="W243" i="2"/>
  <c r="W266" i="2"/>
  <c r="W230" i="2"/>
  <c r="W214" i="2"/>
  <c r="W211" i="2"/>
  <c r="W298" i="2"/>
  <c r="W611" i="2"/>
  <c r="W632" i="2"/>
  <c r="W681" i="2"/>
  <c r="W713" i="2"/>
  <c r="W707" i="2"/>
  <c r="W699" i="2"/>
  <c r="W642" i="2"/>
  <c r="W670" i="2"/>
  <c r="W687" i="2"/>
  <c r="W406" i="2"/>
  <c r="W409" i="2"/>
  <c r="W497" i="2"/>
  <c r="W313" i="2"/>
  <c r="W330" i="2"/>
  <c r="W301" i="2"/>
  <c r="W235" i="2"/>
  <c r="W194" i="2"/>
  <c r="W386" i="2"/>
  <c r="W282" i="2"/>
  <c r="W376" i="2"/>
  <c r="W358" i="2"/>
  <c r="W300" i="2"/>
  <c r="W295" i="2"/>
  <c r="W196" i="2"/>
  <c r="W174" i="2"/>
  <c r="W241" i="2"/>
  <c r="W319" i="2"/>
  <c r="W638" i="2"/>
  <c r="W622" i="2"/>
  <c r="W678" i="2"/>
  <c r="W689" i="2"/>
  <c r="W634" i="2"/>
  <c r="W715" i="2"/>
  <c r="W657" i="2"/>
  <c r="W675" i="2"/>
  <c r="W709" i="2"/>
  <c r="W502" i="2"/>
  <c r="W429" i="2"/>
  <c r="W588" i="2"/>
  <c r="W432" i="2"/>
  <c r="W450" i="2"/>
  <c r="W413" i="2"/>
  <c r="W482" i="2"/>
  <c r="W496" i="2"/>
  <c r="W473" i="2"/>
  <c r="W278" i="2"/>
  <c r="W240" i="2"/>
  <c r="W220" i="2"/>
  <c r="W191" i="2"/>
  <c r="W255" i="2"/>
  <c r="W303" i="2"/>
  <c r="W337" i="2"/>
  <c r="W312" i="2"/>
  <c r="W274" i="2"/>
  <c r="W257" i="2"/>
  <c r="W252" i="2"/>
  <c r="W265" i="2"/>
  <c r="W261" i="2"/>
  <c r="W210" i="2"/>
  <c r="W378" i="2"/>
  <c r="W609" i="2"/>
  <c r="W625" i="2"/>
  <c r="W718" i="2"/>
  <c r="W719" i="2"/>
  <c r="W700" i="2"/>
  <c r="W613" i="2"/>
  <c r="W695" i="2"/>
  <c r="W711" i="2"/>
  <c r="W693" i="2"/>
  <c r="W515" i="2"/>
  <c r="W531" i="2"/>
  <c r="W495" i="2"/>
  <c r="W440" i="2"/>
  <c r="W423" i="2"/>
  <c r="W405" i="2"/>
  <c r="W485" i="2"/>
  <c r="W452" i="2"/>
  <c r="W481" i="2"/>
  <c r="W371" i="2"/>
  <c r="W188" i="2"/>
  <c r="W329" i="2"/>
  <c r="W244" i="2"/>
  <c r="W267" i="2"/>
  <c r="W353" i="2"/>
  <c r="W323" i="2"/>
  <c r="W321" i="2"/>
  <c r="W307" i="2"/>
  <c r="W340" i="2"/>
  <c r="W273" i="2"/>
  <c r="W217" i="2"/>
  <c r="W179" i="2"/>
  <c r="W271" i="2"/>
  <c r="W388" i="2"/>
  <c r="W682" i="2"/>
  <c r="W691" i="2"/>
  <c r="W665" i="2"/>
  <c r="W703" i="2"/>
  <c r="W646" i="2"/>
  <c r="W617" i="2"/>
  <c r="W637" i="2"/>
  <c r="W605" i="2"/>
  <c r="W677" i="2"/>
  <c r="W701" i="2"/>
  <c r="W602" i="2"/>
  <c r="W644" i="2"/>
  <c r="W621" i="2"/>
  <c r="W702" i="2"/>
  <c r="W659" i="2"/>
  <c r="W631" i="2"/>
  <c r="W612" i="2"/>
  <c r="W661" i="2"/>
  <c r="W420" i="2"/>
  <c r="W455" i="2"/>
  <c r="W593" i="2"/>
  <c r="W570" i="2"/>
  <c r="W479" i="2"/>
  <c r="W472" i="2"/>
  <c r="W338" i="2"/>
  <c r="W190" i="2"/>
  <c r="W246" i="2"/>
  <c r="W197" i="2"/>
  <c r="W275" i="2"/>
  <c r="W245" i="2"/>
  <c r="W199" i="2"/>
  <c r="W173" i="2"/>
  <c r="W341" i="2"/>
  <c r="W208" i="2"/>
  <c r="W249" i="2"/>
  <c r="W184" i="2"/>
  <c r="W368" i="2"/>
  <c r="W327" i="2"/>
  <c r="W256" i="2"/>
  <c r="W594" i="2"/>
  <c r="W652" i="2"/>
  <c r="W664" i="2"/>
  <c r="W684" i="2"/>
  <c r="W658" i="2"/>
  <c r="W662" i="2"/>
  <c r="W697" i="2"/>
  <c r="W629" i="2"/>
  <c r="W470" i="2"/>
  <c r="W540" i="2"/>
  <c r="W541" i="2"/>
  <c r="W536" i="2"/>
  <c r="W539" i="2"/>
  <c r="W459" i="2"/>
  <c r="W573" i="2"/>
  <c r="W346" i="2"/>
  <c r="W401" i="2"/>
  <c r="W192" i="2"/>
  <c r="W269" i="2"/>
  <c r="W294" i="2"/>
  <c r="W372" i="2"/>
  <c r="W335" i="2"/>
  <c r="W311" i="2"/>
  <c r="W366" i="2"/>
  <c r="W398" i="2"/>
  <c r="W203" i="2"/>
  <c r="W176" i="2"/>
  <c r="W336" i="2"/>
  <c r="W343" i="2"/>
  <c r="W370" i="2"/>
  <c r="W595" i="2"/>
  <c r="W721" i="2"/>
  <c r="W696" i="2"/>
  <c r="W619" i="2"/>
  <c r="W680" i="2"/>
  <c r="W694" i="2"/>
  <c r="W614" i="2"/>
  <c r="W645" i="2"/>
  <c r="W446" i="2"/>
  <c r="W559" i="2"/>
  <c r="W562" i="2"/>
  <c r="W579" i="2"/>
  <c r="W461" i="2"/>
  <c r="W183" i="2"/>
  <c r="W213" i="2"/>
  <c r="W280" i="2"/>
  <c r="W297" i="2"/>
  <c r="W395" i="2"/>
  <c r="W332" i="2"/>
  <c r="W324" i="2"/>
  <c r="W364" i="2"/>
  <c r="W348" i="2"/>
  <c r="W221" i="2"/>
  <c r="W393" i="2"/>
  <c r="W228" i="2"/>
  <c r="W347" i="2"/>
  <c r="W359" i="2"/>
  <c r="W698" i="2"/>
  <c r="W716" i="2"/>
  <c r="W692" i="2"/>
  <c r="W597" i="2"/>
  <c r="W705" i="2"/>
  <c r="W666" i="2"/>
  <c r="W599" i="2"/>
  <c r="W722" i="2"/>
  <c r="W456" i="2"/>
  <c r="W564" i="2"/>
  <c r="W509" i="2"/>
  <c r="W522" i="2"/>
  <c r="W471" i="2"/>
  <c r="W542" i="2"/>
  <c r="W206" i="2"/>
  <c r="W285" i="2"/>
  <c r="W290" i="2"/>
  <c r="W299" i="2"/>
  <c r="W305" i="2"/>
  <c r="W377" i="2"/>
  <c r="W369" i="2"/>
  <c r="W198" i="2"/>
  <c r="W180" i="2"/>
  <c r="W205" i="2"/>
  <c r="W216" i="2"/>
  <c r="W352" i="2"/>
  <c r="W315" i="2"/>
  <c r="W380" i="2"/>
  <c r="W724" i="2"/>
  <c r="W623" i="2"/>
  <c r="W714" i="2"/>
  <c r="W620" i="2"/>
  <c r="W653" i="2"/>
  <c r="W633" i="2"/>
  <c r="W672" i="2"/>
  <c r="W601" i="2"/>
  <c r="W484" i="2"/>
  <c r="W433" i="2"/>
  <c r="W464" i="2"/>
  <c r="W530" i="2"/>
  <c r="W546" i="2"/>
  <c r="W557" i="2"/>
  <c r="W554" i="2"/>
  <c r="W465" i="2"/>
  <c r="W193" i="2"/>
  <c r="W186" i="2"/>
  <c r="W379" i="2"/>
  <c r="W397" i="2"/>
  <c r="W250" i="2"/>
  <c r="W222" i="2"/>
  <c r="W201" i="2"/>
  <c r="W283" i="2"/>
  <c r="W229" i="2"/>
  <c r="W263" i="2"/>
  <c r="W202" i="2"/>
  <c r="W227" i="2"/>
  <c r="W287" i="2"/>
  <c r="W309" i="2"/>
  <c r="W654" i="2"/>
  <c r="W690" i="2"/>
  <c r="W626" i="2"/>
  <c r="W655" i="2"/>
  <c r="W624" i="2"/>
  <c r="W630" i="2"/>
  <c r="W616" i="2"/>
  <c r="W521" i="2"/>
  <c r="W491" i="2"/>
  <c r="W466" i="2"/>
  <c r="W567" i="2"/>
  <c r="W498" i="2"/>
  <c r="W566" i="2"/>
  <c r="W503" i="2"/>
  <c r="W236" i="2"/>
  <c r="W331" i="2"/>
  <c r="W302" i="2"/>
  <c r="W344" i="2"/>
  <c r="W351" i="2"/>
  <c r="W185" i="2"/>
  <c r="W182" i="2"/>
  <c r="W288" i="2"/>
  <c r="W248" i="2"/>
  <c r="W178" i="2"/>
  <c r="W233" i="2"/>
  <c r="W392" i="2"/>
  <c r="W383" i="2"/>
  <c r="W314" i="2"/>
  <c r="W643" i="2"/>
  <c r="W704" i="2"/>
  <c r="W607" i="2"/>
  <c r="W708" i="2"/>
  <c r="W673" i="2"/>
  <c r="W636" i="2"/>
  <c r="W688" i="2"/>
  <c r="W511" i="2"/>
  <c r="W526" i="2"/>
  <c r="W189" i="2"/>
  <c r="W276" i="2"/>
  <c r="W212" i="2"/>
  <c r="W284" i="2"/>
  <c r="W232" i="2"/>
  <c r="W258" i="2"/>
  <c r="W253" i="2"/>
  <c r="W231" i="2"/>
  <c r="W226" i="2"/>
  <c r="W400" i="2"/>
  <c r="W361" i="2"/>
  <c r="W387" i="2"/>
  <c r="W251" i="2"/>
  <c r="W396" i="2"/>
  <c r="W604" i="2"/>
  <c r="W649" i="2"/>
  <c r="W615" i="2"/>
  <c r="W663" i="2"/>
  <c r="W686" i="2"/>
  <c r="W628" i="2"/>
  <c r="W635" i="2"/>
  <c r="F63" i="31"/>
  <c r="F55" i="28"/>
  <c r="I55" i="28" s="1"/>
  <c r="M55" i="28" s="1"/>
  <c r="F56" i="28"/>
  <c r="I56" i="28" s="1"/>
  <c r="F54" i="28"/>
  <c r="I54" i="28" s="1"/>
  <c r="M54" i="28" s="1"/>
  <c r="F51" i="28"/>
  <c r="I51" i="28" s="1"/>
  <c r="M51" i="28" s="1"/>
  <c r="F40" i="28"/>
  <c r="I40" i="28" s="1"/>
  <c r="M40" i="28" s="1"/>
  <c r="F38" i="28"/>
  <c r="I38" i="28" s="1"/>
  <c r="M38" i="28" s="1"/>
  <c r="F37" i="28"/>
  <c r="I37" i="28" s="1"/>
  <c r="M37" i="28" s="1"/>
  <c r="F46" i="28"/>
  <c r="I46" i="28" s="1"/>
  <c r="M46" i="28" s="1"/>
  <c r="F39" i="28"/>
  <c r="I39" i="28" s="1"/>
  <c r="M39" i="28" s="1"/>
  <c r="F50" i="28"/>
  <c r="I50" i="28" s="1"/>
  <c r="M50" i="28" s="1"/>
  <c r="F42" i="28"/>
  <c r="I42" i="28" s="1"/>
  <c r="T42" i="28" s="1"/>
  <c r="F47" i="28"/>
  <c r="I47" i="28" s="1"/>
  <c r="M47" i="28" s="1"/>
  <c r="F53" i="28"/>
  <c r="I53" i="28" s="1"/>
  <c r="F49" i="28"/>
  <c r="I49" i="28" s="1"/>
  <c r="M49" i="28" s="1"/>
  <c r="F52" i="28"/>
  <c r="I52" i="28" s="1"/>
  <c r="M52" i="28" s="1"/>
  <c r="F41" i="28"/>
  <c r="I41" i="28" s="1"/>
  <c r="M41" i="28" s="1"/>
  <c r="F44" i="28"/>
  <c r="I44" i="28" s="1"/>
  <c r="F43" i="28"/>
  <c r="I43" i="28" s="1"/>
  <c r="M43" i="28" s="1"/>
  <c r="F45" i="28"/>
  <c r="I45" i="28" s="1"/>
  <c r="M45" i="28" s="1"/>
  <c r="F48" i="28"/>
  <c r="I48" i="28" s="1"/>
  <c r="M48" i="28" s="1"/>
  <c r="J57" i="31"/>
  <c r="J58" i="31" s="1"/>
  <c r="M56" i="28" l="1"/>
  <c r="T56" i="28"/>
  <c r="T38" i="28"/>
  <c r="T50" i="28"/>
  <c r="T54" i="28"/>
  <c r="T39" i="28"/>
  <c r="M53" i="28"/>
  <c r="T53" i="28"/>
  <c r="T37" i="28"/>
  <c r="T51" i="28"/>
  <c r="T45" i="28"/>
  <c r="M44" i="28"/>
  <c r="T44" i="28"/>
  <c r="T43" i="28"/>
  <c r="T48" i="28"/>
  <c r="T46" i="28"/>
  <c r="T47" i="28"/>
  <c r="T40" i="28"/>
  <c r="T49" i="28"/>
  <c r="M42" i="28"/>
  <c r="T41" i="28"/>
  <c r="T55" i="28"/>
  <c r="T52" i="28"/>
  <c r="E61" i="28" l="1"/>
  <c r="L61" i="28"/>
  <c r="F61" i="28"/>
  <c r="G61" i="28"/>
  <c r="H61" i="28"/>
  <c r="D61" i="28"/>
  <c r="M61" i="28"/>
  <c r="I61" i="28"/>
  <c r="J61" i="28"/>
  <c r="J73" i="31"/>
  <c r="J71" i="31"/>
  <c r="J72" i="31" l="1"/>
  <c r="J79" i="31" s="1"/>
  <c r="J80" i="31" l="1"/>
  <c r="J81" i="31" s="1"/>
  <c r="X72" i="2" l="1"/>
  <c r="X39" i="2"/>
  <c r="X130" i="2"/>
  <c r="X37" i="2"/>
  <c r="X158" i="2"/>
  <c r="X71" i="2"/>
  <c r="X171" i="2"/>
  <c r="X134" i="2"/>
  <c r="X160" i="2"/>
  <c r="X116" i="2"/>
  <c r="X107" i="2"/>
  <c r="X20" i="2"/>
  <c r="X105" i="2"/>
  <c r="X111" i="2"/>
  <c r="X93" i="2"/>
  <c r="X84" i="2"/>
  <c r="X16" i="2"/>
  <c r="X169" i="2"/>
  <c r="X95" i="2"/>
  <c r="X88" i="2"/>
  <c r="X49" i="2"/>
  <c r="X63" i="2"/>
  <c r="X133" i="2"/>
  <c r="X108" i="2"/>
  <c r="X138" i="2"/>
  <c r="X128" i="2"/>
  <c r="X31" i="2"/>
  <c r="X15" i="2"/>
  <c r="X144" i="2"/>
  <c r="X79" i="2"/>
  <c r="X69" i="2"/>
  <c r="X83" i="2"/>
  <c r="X23" i="2"/>
  <c r="X139" i="2"/>
  <c r="X43" i="2"/>
  <c r="X109" i="2"/>
  <c r="X100" i="2"/>
  <c r="X81" i="2"/>
  <c r="X98" i="2"/>
  <c r="X73" i="2"/>
  <c r="X102" i="2"/>
  <c r="X30" i="2"/>
  <c r="X40" i="2"/>
  <c r="X156" i="2"/>
  <c r="X137" i="2"/>
  <c r="X163" i="2"/>
  <c r="X113" i="2"/>
  <c r="X149" i="2"/>
  <c r="X61" i="2"/>
  <c r="X125" i="2"/>
  <c r="X75" i="2"/>
  <c r="X85" i="2"/>
  <c r="X27" i="2"/>
  <c r="X60" i="2"/>
  <c r="X117" i="2"/>
  <c r="X28" i="2"/>
  <c r="X146" i="2"/>
  <c r="X87" i="2"/>
  <c r="X129" i="2"/>
  <c r="X97" i="2"/>
  <c r="X157" i="2"/>
  <c r="X80" i="2"/>
  <c r="X26" i="2"/>
  <c r="X56" i="2"/>
  <c r="X103" i="2"/>
  <c r="X34" i="2"/>
  <c r="X50" i="2"/>
  <c r="X135" i="2"/>
  <c r="X132" i="2"/>
  <c r="X114" i="2"/>
  <c r="X123" i="2"/>
  <c r="X91" i="2"/>
  <c r="X70" i="2"/>
  <c r="X21" i="2"/>
  <c r="X77" i="2"/>
  <c r="X142" i="2"/>
  <c r="X46" i="2"/>
  <c r="X151" i="2"/>
  <c r="X145" i="2"/>
  <c r="X104" i="2"/>
  <c r="X147" i="2"/>
  <c r="X38" i="2"/>
  <c r="X66" i="2"/>
  <c r="X136" i="2"/>
  <c r="X115" i="2"/>
  <c r="X120" i="2"/>
  <c r="X152" i="2"/>
  <c r="X25" i="2"/>
  <c r="X41" i="2"/>
  <c r="X29" i="2"/>
  <c r="X150" i="2"/>
  <c r="X86" i="2"/>
  <c r="X45" i="2"/>
  <c r="X62" i="2"/>
  <c r="X154" i="2"/>
  <c r="X127" i="2"/>
  <c r="X55" i="2"/>
  <c r="X155" i="2"/>
  <c r="X65" i="2"/>
  <c r="X94" i="2"/>
  <c r="X57" i="2"/>
  <c r="X48" i="2"/>
  <c r="X165" i="2"/>
  <c r="X92" i="2"/>
  <c r="X18" i="2"/>
  <c r="X54" i="2"/>
  <c r="X96" i="2"/>
  <c r="X67" i="2"/>
  <c r="X42" i="2"/>
  <c r="X148" i="2"/>
  <c r="X24" i="2"/>
  <c r="X14" i="2"/>
  <c r="X19" i="2"/>
  <c r="X89" i="2"/>
  <c r="X90" i="2"/>
  <c r="X35" i="2"/>
  <c r="X153" i="2"/>
  <c r="X78" i="2"/>
  <c r="X17" i="2"/>
  <c r="X161" i="2"/>
  <c r="X74" i="2"/>
  <c r="X118" i="2"/>
  <c r="X110" i="2"/>
  <c r="X143" i="2"/>
  <c r="X101" i="2"/>
  <c r="X140" i="2"/>
  <c r="X82" i="2"/>
  <c r="X121" i="2"/>
  <c r="X122" i="2"/>
  <c r="X36" i="2"/>
  <c r="X59" i="2"/>
  <c r="X167" i="2"/>
  <c r="X159" i="2"/>
  <c r="X112" i="2"/>
  <c r="X166" i="2"/>
  <c r="X126" i="2"/>
  <c r="X119" i="2"/>
  <c r="X76" i="2"/>
  <c r="X170" i="2"/>
  <c r="X33" i="2"/>
  <c r="X22" i="2"/>
  <c r="X168" i="2"/>
  <c r="X106" i="2"/>
  <c r="X162" i="2"/>
  <c r="X124" i="2"/>
  <c r="X44" i="2"/>
  <c r="X32" i="2"/>
  <c r="X64" i="2"/>
  <c r="X52" i="2"/>
  <c r="X164" i="2"/>
  <c r="X47" i="2"/>
  <c r="X58" i="2"/>
  <c r="X141" i="2"/>
  <c r="X51" i="2"/>
  <c r="X68" i="2"/>
  <c r="X99" i="2"/>
  <c r="X53" i="2"/>
  <c r="X131" i="2"/>
  <c r="W30" i="31" l="1"/>
  <c r="W20" i="31"/>
</calcChain>
</file>

<file path=xl/sharedStrings.xml><?xml version="1.0" encoding="utf-8"?>
<sst xmlns="http://schemas.openxmlformats.org/spreadsheetml/2006/main" count="4608" uniqueCount="1082">
  <si>
    <t>Opslag niet werkbare dagen in procenten</t>
  </si>
  <si>
    <t xml:space="preserve">Vakantietoeslag </t>
  </si>
  <si>
    <t>Subtotaal loonkosten per uur inclusief sociale verzekeringen</t>
  </si>
  <si>
    <t>Opslag niet werkbare dagen</t>
  </si>
  <si>
    <t>TOTAAL KOSTEN PER JAAR EXCLUSIEF BTW</t>
  </si>
  <si>
    <t>B.T.W.</t>
  </si>
  <si>
    <t>Prijspeil</t>
  </si>
  <si>
    <t>Administratiekosten</t>
  </si>
  <si>
    <t>Huisvestingskosten</t>
  </si>
  <si>
    <t>Aantal kalenderdagen</t>
  </si>
  <si>
    <t>Weekenddagen</t>
  </si>
  <si>
    <t>Werkdagen per jaar</t>
  </si>
  <si>
    <t>PRESTATIE NORM</t>
  </si>
  <si>
    <t>Tariefgroep</t>
  </si>
  <si>
    <t>: cijfermatige notatie van het aantal keren dat een ruimte per jaar wordt schoongemaakt (zie onderstaande opgave)</t>
  </si>
  <si>
    <t>Opmerking</t>
  </si>
  <si>
    <t>Werkkleding en uitrusting</t>
  </si>
  <si>
    <t>nvt</t>
  </si>
  <si>
    <t>Totaal eindtarief feestdagen [incl. 150% toeslag]</t>
  </si>
  <si>
    <t>Grondslag loon voor berekening OP premie</t>
  </si>
  <si>
    <t>Premie Ouderdomspensioen (OP)</t>
  </si>
  <si>
    <t>Specialist - algemeen</t>
  </si>
  <si>
    <t>Bruto uurloon</t>
  </si>
  <si>
    <t>Afroepprijzen</t>
  </si>
  <si>
    <t>FREQ. NOTATIE</t>
  </si>
  <si>
    <t>VERD.</t>
  </si>
  <si>
    <t>Locatie</t>
  </si>
  <si>
    <t>Omschrijving blad</t>
  </si>
  <si>
    <t>Jaarkosten per locatie</t>
  </si>
  <si>
    <t>%</t>
  </si>
  <si>
    <t>Vakantiedagen</t>
  </si>
  <si>
    <t>Programmacode</t>
  </si>
  <si>
    <t xml:space="preserve">Renteverlies per jaar </t>
  </si>
  <si>
    <t>Adres/plaats</t>
  </si>
  <si>
    <t>: unieke code die is gekoppeld aan een schoonmaakprogramma voor een bepaalde ruimtecategorie</t>
  </si>
  <si>
    <t>Omschrijving</t>
  </si>
  <si>
    <t>Werkbare dagen per jaar</t>
  </si>
  <si>
    <t>Werktijden</t>
  </si>
  <si>
    <t>Korting</t>
  </si>
  <si>
    <t>Kengetal</t>
  </si>
  <si>
    <t xml:space="preserve">Feestdag tussen 06.00 en 21.30 uur   </t>
  </si>
  <si>
    <t>Glasbewassing</t>
  </si>
  <si>
    <t>Frequentienotatie</t>
  </si>
  <si>
    <t>Opmerking:</t>
  </si>
  <si>
    <t>Prestatienorm</t>
  </si>
  <si>
    <t>Totaal loonkosten per uur</t>
  </si>
  <si>
    <t>Frequentie-omschr.</t>
  </si>
  <si>
    <t>V</t>
  </si>
  <si>
    <t>Tapijt</t>
  </si>
  <si>
    <t>Totaal eindtarief weekenden [incl. 50% toeslag]</t>
  </si>
  <si>
    <t>M2 VLOER NIO</t>
  </si>
  <si>
    <t>BIJZONDERHEDEN</t>
  </si>
  <si>
    <t>Bruto uurloon inclusief toeslagen</t>
  </si>
  <si>
    <t>RUIMTE CATEGORIE</t>
  </si>
  <si>
    <t>Totaal kosten bij koop per jaar per machine</t>
  </si>
  <si>
    <t>P.Z. kosten</t>
  </si>
  <si>
    <t>Opleiding</t>
  </si>
  <si>
    <t>Kosten bij koop per jaar</t>
  </si>
  <si>
    <t>Nat. feestdagen, kort verzuim, bijz. CAO</t>
  </si>
  <si>
    <t>Ziektedagen</t>
  </si>
  <si>
    <t>Vorstverlet</t>
  </si>
  <si>
    <t xml:space="preserve">Za/zo tussen 06.00 en 21.30 uur   </t>
  </si>
  <si>
    <t>Machine investeringkosten</t>
  </si>
  <si>
    <t>Machine</t>
  </si>
  <si>
    <t>Franchise OP-premie per uur</t>
  </si>
  <si>
    <t>Effectieve OP premie</t>
  </si>
  <si>
    <t>Catalogusprijs</t>
  </si>
  <si>
    <t>VSR CODE</t>
  </si>
  <si>
    <t>Alle prijzen exclusief btw</t>
  </si>
  <si>
    <t>Nat. feestdagen, kort verzuim, bijz CAO</t>
  </si>
  <si>
    <t>Ruimtecategorie</t>
  </si>
  <si>
    <t xml:space="preserve">Verzekeringskosten per jaar </t>
  </si>
  <si>
    <t>FREQ. OMSCHRIJVING</t>
  </si>
  <si>
    <t>Kinderopvang</t>
  </si>
  <si>
    <t>werkgeversdeel</t>
  </si>
  <si>
    <t>SV uurloon inclusief toeslagen</t>
  </si>
  <si>
    <t>Risico en winst</t>
  </si>
  <si>
    <t>: onderverdeling van de aanwezige ruimten in een object in een aantal categorieën</t>
  </si>
  <si>
    <t>M2 VLOER IO</t>
  </si>
  <si>
    <t xml:space="preserve">Afschrijvingstermijn in jaren </t>
  </si>
  <si>
    <t>Prijs in € per m2 in staffelvorm</t>
  </si>
  <si>
    <t>Managementkosten</t>
  </si>
  <si>
    <t>Kosten bij koop (excl. btw)</t>
  </si>
  <si>
    <t>Naam leverancier</t>
  </si>
  <si>
    <t>Kengetallenoverzicht schoonmaakonderhoud</t>
  </si>
  <si>
    <t>Naam opdrachtgever</t>
  </si>
  <si>
    <t xml:space="preserve">RAS-heffing </t>
  </si>
  <si>
    <t>Totale kosten investering machines</t>
  </si>
  <si>
    <t>VSR-code</t>
  </si>
  <si>
    <t>Materiaal/- en middelen</t>
  </si>
  <si>
    <t>Totaal directe kosten</t>
  </si>
  <si>
    <t>: omschrijving van het aantal keren dat een ruimte per jaar wordt schoongemaakt (zie onderstaande opgave)</t>
  </si>
  <si>
    <t xml:space="preserve">Ma/ vrij tussen 06.00 en 21.30 uur   </t>
  </si>
  <si>
    <t>VERHOUDING VLOEROPP.</t>
  </si>
  <si>
    <t>Totale kosten per jaar inclusief B.T.W.</t>
  </si>
  <si>
    <t>Ma/ vrij tussen 06.00 en 21.30 uur</t>
  </si>
  <si>
    <t>VLOER SOORT</t>
  </si>
  <si>
    <t>Indirect toezicht</t>
  </si>
  <si>
    <t>Netto aanschafprijs</t>
  </si>
  <si>
    <t>Restwaarde</t>
  </si>
  <si>
    <t>INVESTERING MACHINEKOSTEN</t>
  </si>
  <si>
    <t>Inzet van het aantal machines [stuks]</t>
  </si>
  <si>
    <t>Premies Sociale Verzekeringen</t>
  </si>
  <si>
    <t>Afschrijvingskosten per jaar</t>
  </si>
  <si>
    <t>Prijs in € per stuk in staffelvorm</t>
  </si>
  <si>
    <t>Kostprijs</t>
  </si>
  <si>
    <t>JAARPRIJS SCHOONMAAK</t>
  </si>
  <si>
    <t xml:space="preserve">: uren per vierkante meter per jaar </t>
  </si>
  <si>
    <t>GEBOUW</t>
  </si>
  <si>
    <t>Totaal indirecte kosten</t>
  </si>
  <si>
    <t>Totaal eindtarief normale werktijden [06.00-21.30 uur]</t>
  </si>
  <si>
    <t>Onderhoudskosten per jaar*</t>
  </si>
  <si>
    <t>SV-loon grondslag voor berekening sociale verzekeringen</t>
  </si>
  <si>
    <t>Kosten ziektedagen</t>
  </si>
  <si>
    <t>Besteknummer</t>
  </si>
  <si>
    <t>Toelichting kengetallenoverzicht:</t>
  </si>
  <si>
    <t>: aantal schoon te maken m2 per uur</t>
  </si>
  <si>
    <t>Medewerk(st)er algemeen schoonmaak onderhoud</t>
  </si>
  <si>
    <t>RUIMTE OMSCHRIJVING (OPDRACHTGEVER)</t>
  </si>
  <si>
    <t>Eénmalige uitkering</t>
  </si>
  <si>
    <t>RUIMTECATEGORIE</t>
  </si>
  <si>
    <t>Indexering</t>
  </si>
  <si>
    <t>invoerings datum</t>
  </si>
  <si>
    <t>percentage</t>
  </si>
  <si>
    <t>ADDITIONELE PROJECTGEBONDEN SCHOONMAAKWERKZAAMHEDEN</t>
  </si>
  <si>
    <t>PER-CEEL</t>
  </si>
  <si>
    <t>Totaal eindtarief weekenden [incl. 30% toeslag]</t>
  </si>
  <si>
    <t>m2 Vloer IO</t>
  </si>
  <si>
    <t>m2 Vloer NIO</t>
  </si>
  <si>
    <t>: aantal m2 in onderhoud</t>
  </si>
  <si>
    <t>: aantal m2 niet in onderhoud</t>
  </si>
  <si>
    <t>Verhouding vloeropp.</t>
  </si>
  <si>
    <t>Bijzonde3rheden</t>
  </si>
  <si>
    <t>Calculatiemodule</t>
  </si>
  <si>
    <t>Schoonmaakonderhoud</t>
  </si>
  <si>
    <t>: percentage vloeroppervlakte per ruimtecategorie t.o.v. totale vloeroppervlakte</t>
  </si>
  <si>
    <t>niet van toepassing</t>
  </si>
  <si>
    <t>&amp;</t>
  </si>
  <si>
    <t>Mutatie nummer</t>
  </si>
  <si>
    <t>Mutatie datum</t>
  </si>
  <si>
    <t>OP/NP pensioen</t>
  </si>
  <si>
    <t>Totaal</t>
  </si>
  <si>
    <t>Perentage inzet per locatieo.b.v. verhouding inzewt productie-uren</t>
  </si>
  <si>
    <t>Bedrag reservering per jaar/locatie</t>
  </si>
  <si>
    <t>Aantallen</t>
  </si>
  <si>
    <t>Versie</t>
  </si>
  <si>
    <t>Tabblad: Voorblad</t>
  </si>
  <si>
    <t>Tabblad: 1.2-Kengetal</t>
  </si>
  <si>
    <t>Tabblad: 1.3-Basis ruimtestaat</t>
  </si>
  <si>
    <t>Tabblad: 1.6-Machine-investeringskosten</t>
  </si>
  <si>
    <t>Tabblad: 1.7-Afroep prijzen</t>
  </si>
  <si>
    <t>Tabblad: 1.8-Glasbewassing</t>
  </si>
  <si>
    <t>Tabblad: 1.0-Contractblad</t>
  </si>
  <si>
    <t>= invulvelden</t>
  </si>
  <si>
    <t>Eind datum berekening</t>
  </si>
  <si>
    <t>Te verekenen dagen</t>
  </si>
  <si>
    <t>Mutatiebedrag per jaar</t>
  </si>
  <si>
    <t>Verrekenbedrag</t>
  </si>
  <si>
    <t>Percentages</t>
  </si>
  <si>
    <t>BHV toeslag (indien van toepassing)</t>
  </si>
  <si>
    <t>Selecteer categorie medewerker</t>
  </si>
  <si>
    <t>Toelichting</t>
  </si>
  <si>
    <t>PRODUCTIE-UREN MAANDAG-VRIJDAG 06:00-21:30 uur</t>
  </si>
  <si>
    <t>TOEZICHT-UREN MAANDAG-VRIJDAG 06:00-21:30 uur</t>
  </si>
  <si>
    <t>Contractblad jaarprijs schoonmaak &amp; Glasbewassing</t>
  </si>
  <si>
    <t>Regie- uurtarieven (volgens matrix CAO)</t>
  </si>
  <si>
    <t>Vul de naam van uw organisatie in bij: "Naam Inschrijver"</t>
  </si>
  <si>
    <t xml:space="preserve">STAP 1: Voer in de gekleurde cellen de gevraagde kengetallen in </t>
  </si>
  <si>
    <t xml:space="preserve">STAP 2: De ingevoerde kengetallen worden automatisch geplaatst in het tabblad 1.3-Basisruimtestaat. Het aantal productie-uren per jaar wordt op ruimteniveau weergegeven. </t>
  </si>
  <si>
    <t>Volg de stappen 1 t/m 8 om de calcualtie</t>
  </si>
  <si>
    <t>in te voeren.</t>
  </si>
  <si>
    <t>Op ieder tabblad is een kortetoelichting</t>
  </si>
  <si>
    <t>aanwezig. Selecteer de cel "Toelichting"</t>
  </si>
  <si>
    <t>om de informatie te lezen.</t>
  </si>
  <si>
    <t>Tabblad: 1.1a-Jaarprijzen</t>
  </si>
  <si>
    <t>In dit tabblad wordt een recapitulatie van alle calcuatiegegevens weeergegeven</t>
  </si>
  <si>
    <t>Het tabblad 1.3a-Mutaties is niet van toepassing (indien aanwezig)</t>
  </si>
  <si>
    <t>Specialisten toeslag (indien van toepassing)</t>
  </si>
  <si>
    <t>op afroep</t>
  </si>
  <si>
    <t>Lngr 1 : Vakvolwassen</t>
  </si>
  <si>
    <t>Lngr 6 : Vakvolwassen</t>
  </si>
  <si>
    <t>Selecteer het aantal dienstjaren</t>
  </si>
  <si>
    <t>Lngr 2 : Vakvolwassen</t>
  </si>
  <si>
    <t>Lngr 3 : Vakvolwassen</t>
  </si>
  <si>
    <t>Lngr 4 : Vakvolwassen</t>
  </si>
  <si>
    <t>Lngr 5 : Vakvolwassen</t>
  </si>
  <si>
    <t>Lngr 1 : 17 jaar en jonger</t>
  </si>
  <si>
    <t>Lngr 2 : 17 jaar en jonger</t>
  </si>
  <si>
    <t>Lngr 3 : 17 jaar en jonger</t>
  </si>
  <si>
    <t>Lngr 4 : 17 jaar en jonger</t>
  </si>
  <si>
    <t>Lngr 5 : 17 jaar en jonger</t>
  </si>
  <si>
    <t>Lngr 6 : 17 jaar en jonger</t>
  </si>
  <si>
    <t>Lngr 1 : 18 jaar</t>
  </si>
  <si>
    <t>Lngr 2 : 18 jaar</t>
  </si>
  <si>
    <t>Lngr 3 : 18 jaar</t>
  </si>
  <si>
    <t>Lngr 4 : 18 jaar</t>
  </si>
  <si>
    <t>Lngr 5 : 18 jaar</t>
  </si>
  <si>
    <t>Lngr 6 : 18 jaar</t>
  </si>
  <si>
    <t>Lngr 1 : 19 jaar</t>
  </si>
  <si>
    <t>Lngr 2 : 19 jaar</t>
  </si>
  <si>
    <t>Lngr 3 : 19 jaar</t>
  </si>
  <si>
    <t>Lngr 4 : 19 jaar</t>
  </si>
  <si>
    <t>Lngr 5 : 19 jaar</t>
  </si>
  <si>
    <t>Lngr 6 : 19 jaar</t>
  </si>
  <si>
    <t>Lngr 1 : 20 jaar</t>
  </si>
  <si>
    <t>Lngr 2 : 20 jaar</t>
  </si>
  <si>
    <t>Lngr 3 : 20 jaar</t>
  </si>
  <si>
    <t>Lngr 4 : 20 jaar</t>
  </si>
  <si>
    <t>Lngr 5 : 20 jaar</t>
  </si>
  <si>
    <t>Lngr 6 : 20 jaar</t>
  </si>
  <si>
    <t>Premies en opslagen &amp; tarieven  voor schoonmaakonderhoud</t>
  </si>
  <si>
    <t xml:space="preserve">Totaal premies sociale verzekeringen    </t>
  </si>
  <si>
    <t>Overname kosten volgens Bijlage overname personeel</t>
  </si>
  <si>
    <t>Autokosten</t>
  </si>
  <si>
    <t>FACTOR PERIODIEK</t>
  </si>
  <si>
    <t>KENGETAL MA-VR</t>
  </si>
  <si>
    <t xml:space="preserve">Prijsvorming Extra Vloerenonderhoud  (inclusief middelen/materialen en uit-/inruimen van het meubilair) </t>
  </si>
  <si>
    <t>1 - 250</t>
  </si>
  <si>
    <t>251 - 500</t>
  </si>
  <si>
    <t>501 - 1.000</t>
  </si>
  <si>
    <t>&lt; 1.000</t>
  </si>
  <si>
    <t>1 t/m 25</t>
  </si>
  <si>
    <t>26 t/m 50</t>
  </si>
  <si>
    <t>51 t/m 100</t>
  </si>
  <si>
    <t>&gt; 100</t>
  </si>
  <si>
    <t>Monitor</t>
  </si>
  <si>
    <t>Toestenbord + muis (in- en uitwendig)</t>
  </si>
  <si>
    <t>Computer- en randapparatuur</t>
  </si>
  <si>
    <t>Stof en vlekvrij maken, vochtig reinigen</t>
  </si>
  <si>
    <t>Indien buiten genoemde dagen en uren regiewerkzaamheden verricht dienen te worden is aannemer gerechtigd de toeslagpercentages, zoals vastgelegd in artikel 18 van de CAO voor Schoonmaak- en Glazenwassersbedrijf, te berekenen.  De toeslag dient steeds over het basis CAO-uurloon, zoals vermeld in invuldocument 5-Opbouw uurtarieven te worden berekend.</t>
  </si>
  <si>
    <t>Alle prijzen inclusief materialen en middelen, toezicht, voorrijkosten en overige bijkomende kosten.</t>
  </si>
  <si>
    <t>In het contractblad wordt automatisch het aantal m2 glas weergegeven (indien van toepassing).</t>
  </si>
  <si>
    <t>KENGETAL PERIODIEK</t>
  </si>
  <si>
    <t>UREN P/JR PERIODIEK</t>
  </si>
  <si>
    <t>UREN P/JR REGULIER</t>
  </si>
  <si>
    <t>KENGETAL REGULIER</t>
  </si>
  <si>
    <t>€ SCHOONMAAK</t>
  </si>
  <si>
    <t>PROGR. CODE REGULIER</t>
  </si>
  <si>
    <t>PROGR. CODE NALOOP</t>
  </si>
  <si>
    <t>KENGETAL NALOOP</t>
  </si>
  <si>
    <t>Handeling</t>
  </si>
  <si>
    <t>Prijsvorming  extra werkzaamheden (inclusief middelen/materialen)</t>
  </si>
  <si>
    <t>Reiging meubilair</t>
  </si>
  <si>
    <t>Verwerkt in ruimtestaat</t>
  </si>
  <si>
    <t>FACTOR REGULIER</t>
  </si>
  <si>
    <t>PERCEEL</t>
  </si>
  <si>
    <t>UREN P/JR NALOOP</t>
  </si>
  <si>
    <t>PRODUCTIE UREN PERIODIEK</t>
  </si>
  <si>
    <t>TOEZICHT UREN MA-VR</t>
  </si>
  <si>
    <t>TOTAAL M2 GLAS</t>
  </si>
  <si>
    <t>Selecteer tarief toezicht</t>
  </si>
  <si>
    <t>Selecteer tarief uitvoerend</t>
  </si>
  <si>
    <t>WGA sectorpremie</t>
  </si>
  <si>
    <t>ZW-flex</t>
  </si>
  <si>
    <t>Totaal premie Whk</t>
  </si>
  <si>
    <t>Project gemiddelde</t>
  </si>
  <si>
    <t>Selecteer tarief glazenwasser</t>
  </si>
  <si>
    <t>t</t>
  </si>
  <si>
    <t>CALCULATIE-CODE MA-VR</t>
  </si>
  <si>
    <t>[A]</t>
  </si>
  <si>
    <t>[B]</t>
  </si>
  <si>
    <t>1e</t>
  </si>
  <si>
    <t>STAP 8: Selecteer "Selecteer tarief medewerker en/of toezicht" om een loongroep medewerker te selecteren. Het uurtarief wordt automatisch geplaats. Vul het percentage in van het aantal in te zetten uren en het jaarbedrag wordt gecalculeerd.</t>
  </si>
  <si>
    <t xml:space="preserve">Omschrijving blad : </t>
  </si>
  <si>
    <t xml:space="preserve">Naam opdrachtgever : </t>
  </si>
  <si>
    <t xml:space="preserve">Adres/plaats : </t>
  </si>
  <si>
    <t xml:space="preserve">Besteknummer : </t>
  </si>
  <si>
    <t xml:space="preserve">Versie : </t>
  </si>
  <si>
    <t xml:space="preserve">Naam leverancier : </t>
  </si>
  <si>
    <t xml:space="preserve">Prijspeil : </t>
  </si>
  <si>
    <t>LOCATTIE</t>
  </si>
  <si>
    <t>GLAZENWASSER</t>
  </si>
  <si>
    <t>= formule velden 'niet wijzigen'</t>
  </si>
  <si>
    <t>TOEZICHTMEDEWERKER</t>
  </si>
  <si>
    <t>SCHOONMAAKMEDEWERKER</t>
  </si>
  <si>
    <t>Selecteer omvang van uw organisatie</t>
  </si>
  <si>
    <t>Aof-kleine werkgever</t>
  </si>
  <si>
    <t>Aof-grotere werkgever</t>
  </si>
  <si>
    <t>Zorgverzekeringswet (Zvw)</t>
  </si>
  <si>
    <t>Tabblad: 1.4-Opbouw uurtarieven</t>
  </si>
  <si>
    <t>M2 BUITENGLAS</t>
  </si>
  <si>
    <t>M2 BINNENGLAS</t>
  </si>
  <si>
    <t>FREQ BINNEN</t>
  </si>
  <si>
    <t>FREQ SEPGLAS</t>
  </si>
  <si>
    <t>FREQ BUITEN</t>
  </si>
  <si>
    <t>TOTAAL PER JAAR €</t>
  </si>
  <si>
    <t>M2 € BINNEN</t>
  </si>
  <si>
    <t>M2 € BUITEN</t>
  </si>
  <si>
    <t>M2 € SEPGLAS</t>
  </si>
  <si>
    <t>INZET HOOGWERKER</t>
  </si>
  <si>
    <t>sanitaire ruimte (toilet-/doucheruimte)</t>
  </si>
  <si>
    <t>trappenhuis</t>
  </si>
  <si>
    <t>tijdlk nvt</t>
  </si>
  <si>
    <t>tijdelijk niet van toepassing</t>
  </si>
  <si>
    <t>SUBTOTAAL [A+B]</t>
  </si>
  <si>
    <t>JAARPRIJS GLASBEWASSING</t>
  </si>
  <si>
    <t>RUIMTENR</t>
  </si>
  <si>
    <t>CATEGORIE MEDEWERKER</t>
  </si>
  <si>
    <t>PERCENTAGE INZET MEDEWERKER</t>
  </si>
  <si>
    <t>AANTAL UREN PER DAG (GEMIDDELD)</t>
  </si>
  <si>
    <t>AANTAL UREN PER JAAR</t>
  </si>
  <si>
    <t>TARIEF</t>
  </si>
  <si>
    <t>PRIJS PER JAAR</t>
  </si>
  <si>
    <t>AANTAL DAGEN PER JAAR</t>
  </si>
  <si>
    <t>UREN PER JAAR</t>
  </si>
  <si>
    <t>M2       BUITEGLAS</t>
  </si>
  <si>
    <t>M2 SEPARATIEGLAS *</t>
  </si>
  <si>
    <t>INZET ARBEIDSMIDDELEN</t>
  </si>
  <si>
    <t>FREQUENTIE</t>
  </si>
  <si>
    <t>ADRES</t>
  </si>
  <si>
    <t>PLAATS</t>
  </si>
  <si>
    <t>VLOEROPPERVLAK IN ONDERHOUD</t>
  </si>
  <si>
    <t>VLOEROPPERVLAK NIET IN ONDERHOUD</t>
  </si>
  <si>
    <t>PERCEEL (I.V.T.)</t>
  </si>
  <si>
    <t>PRODUCTIE UREN REGULIER MA-VR</t>
  </si>
  <si>
    <t>AFRONDING TAAK UREN</t>
  </si>
  <si>
    <t>GEWOGEN GEMIDDELDE O.B.V. VLOEROPPERVLAK IN ONDERHOUD</t>
  </si>
  <si>
    <t>ADDITIONLE KOSTEN</t>
  </si>
  <si>
    <t>PRODUCTIEKOSTEN MA-VR</t>
  </si>
  <si>
    <t>TOEZICHTKOSTEN</t>
  </si>
  <si>
    <t>KOSTEN AFRONDING TAAK UREN</t>
  </si>
  <si>
    <t>TOTAAL SCHOONMAAK</t>
  </si>
  <si>
    <t>VERREKJEND JA/NEE</t>
  </si>
  <si>
    <t>GLASBEWASSING</t>
  </si>
  <si>
    <t>KOSTEN TOTAAL PER JAAR</t>
  </si>
  <si>
    <t xml:space="preserve">MUTATIE VOLGENS 1.3A </t>
  </si>
  <si>
    <t>M2     BINNENGLAS</t>
  </si>
  <si>
    <t>MUTATIE NUMMER</t>
  </si>
  <si>
    <t>MUTATIE DATUM</t>
  </si>
  <si>
    <t>€ GLASBEWASSING</t>
  </si>
  <si>
    <t>SOCIALE VERZEKERINGEN</t>
  </si>
  <si>
    <t>SOCIALE VERZEKERINGEN - OUDERDOMS PENSIOEN</t>
  </si>
  <si>
    <t>BEREKENING WERKBARE DAGEN</t>
  </si>
  <si>
    <t>SV GRONDSLAG</t>
  </si>
  <si>
    <t>TOTAAL SV GRONDSLAG</t>
  </si>
  <si>
    <t>STAP 7: Voer in de gekleurde cellen de gevraagde informatie in. Let op: in de rood gekleurde cellen zijn formules of koppelingen aanwezig, deze mogen niet worden verwijderd of aangepast.</t>
  </si>
  <si>
    <t>STAP 5: Voer in de gekleurde cellen de gevraagde informatie in. Let op: in de rood gekleurde cellen zijn formules of koppelingen aanwezig, deze mogen niet worden verwijderd of aangepast.</t>
  </si>
  <si>
    <t>STAP 6: Voer in de gekleurde cellen de gevraagde informatie in. Let op: in de rood gekleurde cellen zijn formules of koppelingen aanwezig, deze mogen niet worden verwijderd of aangepast.</t>
  </si>
  <si>
    <t>-</t>
  </si>
  <si>
    <t>+</t>
  </si>
  <si>
    <t>Gemiddeld uurtarief excl. machinekosten excl. BTW</t>
  </si>
  <si>
    <t>Ruimte/-CAlCulAtiestAAt</t>
  </si>
  <si>
    <t xml:space="preserve"> = invulvelden</t>
  </si>
  <si>
    <r>
      <t xml:space="preserve">M2 SEPARATIE-GLAS </t>
    </r>
    <r>
      <rPr>
        <i/>
        <sz val="10"/>
        <color theme="0"/>
        <rFont val="Avenir Book"/>
        <family val="2"/>
      </rPr>
      <t>(tweezijdig gemeten)</t>
    </r>
  </si>
  <si>
    <r>
      <t xml:space="preserve">TYPE </t>
    </r>
    <r>
      <rPr>
        <i/>
        <sz val="10"/>
        <color theme="0"/>
        <rFont val="Avenir Book"/>
        <family val="2"/>
      </rPr>
      <t>(omschrijving)</t>
    </r>
  </si>
  <si>
    <t>* Prijzen p/m2 (separatieglas dubbelvoudig gemeten)</t>
  </si>
  <si>
    <t>GEMIDDELD SV-GRONDSLAG</t>
  </si>
  <si>
    <t xml:space="preserve">Overal waar in het Calculatiemodel de  invoervelden aanwezig  zijn, dient een getal (niet zijnde nul (0)) te worden ingevuld. </t>
  </si>
  <si>
    <t>Ingevoerde wijziging:</t>
  </si>
  <si>
    <t>&lt; 100 m2</t>
  </si>
  <si>
    <t>101-250 m2</t>
  </si>
  <si>
    <t>251-500 m2</t>
  </si>
  <si>
    <t>501-1.000 m2</t>
  </si>
  <si>
    <t>&gt; 1.000 m2</t>
  </si>
  <si>
    <t>Reinigen bureaustoelen</t>
  </si>
  <si>
    <t>Burostoel gestoffeerd injectie-extractie</t>
  </si>
  <si>
    <t>Aantal stuks</t>
  </si>
  <si>
    <t>Freq</t>
  </si>
  <si>
    <t>Prijs per stuk</t>
  </si>
  <si>
    <t>Totaal kosten</t>
  </si>
  <si>
    <t>Reinigen koelkasten</t>
  </si>
  <si>
    <t>Eenmaal per kwartaal reinigen van de binnen-/ en buitenzijde koelkasten (excl. vriesruimten) en verwijderen van artikelen over houdbaarheidsdatum</t>
  </si>
  <si>
    <t>Automatisch gekoppeld aan tabblad 1.0-Contractblad</t>
  </si>
  <si>
    <t>Reinigen magnetron</t>
  </si>
  <si>
    <t>Het in-/ en uitwendig reinigen</t>
  </si>
  <si>
    <t>Reinigen vaatwasser</t>
  </si>
  <si>
    <t>Alle prijzen inclusief materialen en middelen, voorrijkosten en overige bijkomende kosten.</t>
  </si>
  <si>
    <t>Het separatieglas is dubelzijdig gemeten, prijs dient voor enkelzijdig wassen te worden ingevoerd</t>
  </si>
  <si>
    <t>Productkeuze:</t>
  </si>
  <si>
    <t>Neutraal reinigingsmiddel, pH-7, het product mag niet schadelijk zijn voor het afwerkmateriaal, geen corroderende werking hebben en mag geen schuurmiddel of etsende stoffen bevatten.</t>
  </si>
  <si>
    <t>Het product is vrij van zure en alkalische bestanddelen, waardoor er geen enkel gevaar is voor aantasting van metaal, lak, rubber enz.</t>
  </si>
  <si>
    <t>Handeling:</t>
  </si>
  <si>
    <t>Inzetten van de beglazing met water en een reinigingsmiddel met behulp van schapenvacht en/of spons</t>
  </si>
  <si>
    <t>Omlijstingen en raam- en kozijnprofielen met spons afnemen.</t>
  </si>
  <si>
    <t>Droogtrekken van het glas en kozijnen zodat er geen resten van het reinigingsmiddel met de opgenomen vervuiling achterblijven.</t>
  </si>
  <si>
    <t>Aantal</t>
  </si>
  <si>
    <t>Frequentie</t>
  </si>
  <si>
    <t>Prijs p/stuk</t>
  </si>
  <si>
    <t>1 x per maand</t>
  </si>
  <si>
    <t>S</t>
  </si>
  <si>
    <t>&lt; Cel F63</t>
  </si>
  <si>
    <t>Tabblad: 1.9-Sanitaire supples</t>
  </si>
  <si>
    <t>STAP 3: Selecteer een loongroep medewerker in de cellen "Selecteer categorie medewerker". Voer in de gekleurde cellen de gevraagde informatie in. Let op: in de rood gekleurde cellen zijn formules of koppelingen aanwezig, deze mogen niet worden verwijderd of aangepast.</t>
  </si>
  <si>
    <t>STAP 4: Voer in de gekleurde cellen de gevraagde informatie in. Let op: in de rood gekleurde cellen zijn formules of koppelingen aanwezig, deze mogen niet worden verwijderd of aangepast.</t>
  </si>
  <si>
    <t>= keuze velden *</t>
  </si>
  <si>
    <t>* Vul alleen de invulvelden in als er een keuzeveld is gekozen.</t>
  </si>
  <si>
    <t>: eventuele opmerkingen</t>
  </si>
  <si>
    <t>gang</t>
  </si>
  <si>
    <t>werkkast</t>
  </si>
  <si>
    <t>personeelsruimte</t>
  </si>
  <si>
    <t>speellokaal</t>
  </si>
  <si>
    <t>berging</t>
  </si>
  <si>
    <t>bibliotheek</t>
  </si>
  <si>
    <t>entree</t>
  </si>
  <si>
    <t>kantoor</t>
  </si>
  <si>
    <t>keuken</t>
  </si>
  <si>
    <t>aula</t>
  </si>
  <si>
    <t>spreekkamer</t>
  </si>
  <si>
    <t>buitenberging</t>
  </si>
  <si>
    <t>gymzaal</t>
  </si>
  <si>
    <t>trap</t>
  </si>
  <si>
    <t>opslag</t>
  </si>
  <si>
    <t>Perceel 2 totalen</t>
  </si>
  <si>
    <t>leslokaal</t>
  </si>
  <si>
    <t>administratieve -,  vergaderruimte</t>
  </si>
  <si>
    <t>1 x per week - 40 weken</t>
  </si>
  <si>
    <t>2 x per week - 40 weken</t>
  </si>
  <si>
    <t>5 x per week - 40 weken</t>
  </si>
  <si>
    <t>5 x per week - 52 weken</t>
  </si>
  <si>
    <t>entree, gang, hal, repro</t>
  </si>
  <si>
    <t>pantry/keuken</t>
  </si>
  <si>
    <t>praktijklokaal</t>
  </si>
  <si>
    <t>L</t>
  </si>
  <si>
    <t>leslokaal/bevo/handvaardigheid</t>
  </si>
  <si>
    <t>leslokaal groep 1 t/m 3</t>
  </si>
  <si>
    <t>leslokaal groep 1 t/m 3 + kinderopvang</t>
  </si>
  <si>
    <t>trappenhuis (nood)</t>
  </si>
  <si>
    <t>lift</t>
  </si>
  <si>
    <t>kinderverblijf ruimte</t>
  </si>
  <si>
    <t>kleedruimten</t>
  </si>
  <si>
    <t>gymzaal (berging)</t>
  </si>
  <si>
    <t>Sp</t>
  </si>
  <si>
    <t>leslokaal/leerplein groep 4 t/m 8</t>
  </si>
  <si>
    <t>vervallen</t>
  </si>
  <si>
    <t>vervallen (mutatie)</t>
  </si>
  <si>
    <t>s</t>
  </si>
  <si>
    <t>bu</t>
  </si>
  <si>
    <t>bi</t>
  </si>
  <si>
    <t>Topcoating</t>
  </si>
  <si>
    <t>Recoating</t>
  </si>
  <si>
    <t>Linoleum/Marmoleum</t>
  </si>
  <si>
    <t>Sprayen en opwrijven (full-sprayen)</t>
  </si>
  <si>
    <t>Spotsprayen en opwrijven</t>
  </si>
  <si>
    <t>Linoleum/PVC/steen/gietvloer</t>
  </si>
  <si>
    <t>Schrobben (handmatig)</t>
  </si>
  <si>
    <t>Schrobzuigen (machinaal)</t>
  </si>
  <si>
    <t>Tegels , DHT met voegen</t>
  </si>
  <si>
    <t>Sproei-extraheren</t>
  </si>
  <si>
    <t>Borstelzuigen</t>
  </si>
  <si>
    <t xml:space="preserve">Bonnetmethode </t>
  </si>
  <si>
    <t xml:space="preserve">Droge poederreiniging </t>
  </si>
  <si>
    <t>Gestoffeerde stoelen</t>
  </si>
  <si>
    <t>Koolzuurreiniging</t>
  </si>
  <si>
    <t>Prijs in €</t>
  </si>
  <si>
    <t>Zonwering</t>
  </si>
  <si>
    <t>per meter</t>
  </si>
  <si>
    <t>per m2</t>
  </si>
  <si>
    <t>Vertikale lamellen (textiel)</t>
  </si>
  <si>
    <t>Stofzuigen</t>
  </si>
  <si>
    <t>Vertikale lamellen (kunststof/ aluminium)</t>
  </si>
  <si>
    <t>Afsponzen</t>
  </si>
  <si>
    <t>Gordijnen</t>
  </si>
  <si>
    <t>Reinigen, inclusief afhalen en ophangen</t>
  </si>
  <si>
    <t>Vitrage</t>
  </si>
  <si>
    <t xml:space="preserve">Prijsvorming Reinigen buitenterrein  (inclusief middelen/materialen) </t>
  </si>
  <si>
    <t>Buitenterrein (speelplein, fietsenstalling, etc.)</t>
  </si>
  <si>
    <t>Machinaal vegen</t>
  </si>
  <si>
    <t xml:space="preserve">Handmatig vegen </t>
  </si>
  <si>
    <t>Hogedruk reinigen</t>
  </si>
  <si>
    <t>Kauwgum verwijderen</t>
  </si>
  <si>
    <t>gietvloer</t>
  </si>
  <si>
    <t>tapijt</t>
  </si>
  <si>
    <t>sportvloer</t>
  </si>
  <si>
    <t xml:space="preserve">berging </t>
  </si>
  <si>
    <t>hout</t>
  </si>
  <si>
    <t>pvc</t>
  </si>
  <si>
    <t>toestelberging</t>
  </si>
  <si>
    <t>0.02</t>
  </si>
  <si>
    <t>0.03</t>
  </si>
  <si>
    <t>0.04</t>
  </si>
  <si>
    <t>0.05</t>
  </si>
  <si>
    <t>0.06</t>
  </si>
  <si>
    <t>0.07</t>
  </si>
  <si>
    <t>0.08</t>
  </si>
  <si>
    <t>0.01</t>
  </si>
  <si>
    <t>steen</t>
  </si>
  <si>
    <t>leerplein</t>
  </si>
  <si>
    <t>toilet</t>
  </si>
  <si>
    <t>= Ruimte Kinderopvang</t>
  </si>
  <si>
    <t>= vaste waarde 'niet wijzigen'</t>
  </si>
  <si>
    <t>Strippen en conserveren</t>
  </si>
  <si>
    <t>3 x per week - 40 weken</t>
  </si>
  <si>
    <t>WIA Basispremie</t>
  </si>
  <si>
    <t>Werkeloosheidswqet Awf</t>
  </si>
  <si>
    <t>Transitiekosten</t>
  </si>
  <si>
    <t>Reiskosten</t>
  </si>
  <si>
    <t>Naam organisatie</t>
  </si>
  <si>
    <t>Stichting opspoor - SKOP</t>
  </si>
  <si>
    <t>Purmerend e.o.</t>
  </si>
  <si>
    <t>L.001</t>
  </si>
  <si>
    <t>L.002</t>
  </si>
  <si>
    <t>L.003</t>
  </si>
  <si>
    <t>L.004</t>
  </si>
  <si>
    <t>L.005</t>
  </si>
  <si>
    <t>L.006</t>
  </si>
  <si>
    <t>L.007</t>
  </si>
  <si>
    <t>L.008</t>
  </si>
  <si>
    <t>L.009</t>
  </si>
  <si>
    <t>L.010</t>
  </si>
  <si>
    <t>L.011</t>
  </si>
  <si>
    <t>L.012</t>
  </si>
  <si>
    <t>L.013</t>
  </si>
  <si>
    <t>L.014</t>
  </si>
  <si>
    <t>L.015</t>
  </si>
  <si>
    <t>L.017</t>
  </si>
  <si>
    <t>L.018</t>
  </si>
  <si>
    <t>L.019</t>
  </si>
  <si>
    <t>L.020</t>
  </si>
  <si>
    <t>L.021</t>
  </si>
  <si>
    <t>L.022</t>
  </si>
  <si>
    <t>S.001</t>
  </si>
  <si>
    <t>S.002</t>
  </si>
  <si>
    <t>S.003</t>
  </si>
  <si>
    <t>S.004</t>
  </si>
  <si>
    <t>TR.004</t>
  </si>
  <si>
    <t>TR.005</t>
  </si>
  <si>
    <t>TR.006</t>
  </si>
  <si>
    <t>TR.007</t>
  </si>
  <si>
    <t>TR.008</t>
  </si>
  <si>
    <t>TR.009</t>
  </si>
  <si>
    <t>TR.010</t>
  </si>
  <si>
    <t>TR.012</t>
  </si>
  <si>
    <t>TR.013</t>
  </si>
  <si>
    <t>E.001</t>
  </si>
  <si>
    <t>E.002</t>
  </si>
  <si>
    <t>E.003</t>
  </si>
  <si>
    <t>G.001</t>
  </si>
  <si>
    <t>G.002</t>
  </si>
  <si>
    <t>G.003</t>
  </si>
  <si>
    <t>G.005</t>
  </si>
  <si>
    <t>G.006</t>
  </si>
  <si>
    <t>G.007</t>
  </si>
  <si>
    <t>G.008</t>
  </si>
  <si>
    <t>G.009</t>
  </si>
  <si>
    <t>T.001</t>
  </si>
  <si>
    <t>1 toilet</t>
  </si>
  <si>
    <t>T.002</t>
  </si>
  <si>
    <t>T.003</t>
  </si>
  <si>
    <t>T.004</t>
  </si>
  <si>
    <t>T.005</t>
  </si>
  <si>
    <t>2 toiletten</t>
  </si>
  <si>
    <t>T.006</t>
  </si>
  <si>
    <t>T.007</t>
  </si>
  <si>
    <t>T.008</t>
  </si>
  <si>
    <t>T.009</t>
  </si>
  <si>
    <t>T.010</t>
  </si>
  <si>
    <t>T.011</t>
  </si>
  <si>
    <t>T.012</t>
  </si>
  <si>
    <t>T.013</t>
  </si>
  <si>
    <t>3 toiletten</t>
  </si>
  <si>
    <t>T.014</t>
  </si>
  <si>
    <t>T.015</t>
  </si>
  <si>
    <t>T.016</t>
  </si>
  <si>
    <t>T.017</t>
  </si>
  <si>
    <t>T.018</t>
  </si>
  <si>
    <t>T.019</t>
  </si>
  <si>
    <t>T.020</t>
  </si>
  <si>
    <t>P.001</t>
  </si>
  <si>
    <t>directie</t>
  </si>
  <si>
    <t>P.002</t>
  </si>
  <si>
    <t>P.003</t>
  </si>
  <si>
    <t>docentenkamer</t>
  </si>
  <si>
    <t>P.004</t>
  </si>
  <si>
    <t>P.005</t>
  </si>
  <si>
    <t>pantry</t>
  </si>
  <si>
    <t>P.007</t>
  </si>
  <si>
    <t>personeel</t>
  </si>
  <si>
    <t>P.008</t>
  </si>
  <si>
    <t>P.009</t>
  </si>
  <si>
    <t>P.010</t>
  </si>
  <si>
    <t>O.001</t>
  </si>
  <si>
    <t>meterkast</t>
  </si>
  <si>
    <t>O.002</t>
  </si>
  <si>
    <t>kleedruimte</t>
  </si>
  <si>
    <t>O.003</t>
  </si>
  <si>
    <t>doucheruimte</t>
  </si>
  <si>
    <t>O.005</t>
  </si>
  <si>
    <t>O.006</t>
  </si>
  <si>
    <t>O.007</t>
  </si>
  <si>
    <t>O.008</t>
  </si>
  <si>
    <t>O.009</t>
  </si>
  <si>
    <t>O.012</t>
  </si>
  <si>
    <t>O.019</t>
  </si>
  <si>
    <t>O.020</t>
  </si>
  <si>
    <t>O.051</t>
  </si>
  <si>
    <t>O.057</t>
  </si>
  <si>
    <t>O.010</t>
  </si>
  <si>
    <t>O.011</t>
  </si>
  <si>
    <t>O.013</t>
  </si>
  <si>
    <t>O.014</t>
  </si>
  <si>
    <t>O.015</t>
  </si>
  <si>
    <t>O.016</t>
  </si>
  <si>
    <t>O.017</t>
  </si>
  <si>
    <t>O.018</t>
  </si>
  <si>
    <t>O.021</t>
  </si>
  <si>
    <t>O.022</t>
  </si>
  <si>
    <t>O.036</t>
  </si>
  <si>
    <t>0.09</t>
  </si>
  <si>
    <t>0.10</t>
  </si>
  <si>
    <t>0.11</t>
  </si>
  <si>
    <t>1.01</t>
  </si>
  <si>
    <t>1.02</t>
  </si>
  <si>
    <t>1.03</t>
  </si>
  <si>
    <t>1.04</t>
  </si>
  <si>
    <t>1.05</t>
  </si>
  <si>
    <t>bgg</t>
  </si>
  <si>
    <t>teamruimte</t>
  </si>
  <si>
    <t>0.12</t>
  </si>
  <si>
    <t>0.13</t>
  </si>
  <si>
    <t>0.14</t>
  </si>
  <si>
    <t>0.15</t>
  </si>
  <si>
    <t>toilet miva</t>
  </si>
  <si>
    <t>0.16</t>
  </si>
  <si>
    <t>0.17</t>
  </si>
  <si>
    <t>0.18</t>
  </si>
  <si>
    <t>0.19</t>
  </si>
  <si>
    <t>0.20</t>
  </si>
  <si>
    <t>0.21</t>
  </si>
  <si>
    <t>0.22</t>
  </si>
  <si>
    <t>0.24</t>
  </si>
  <si>
    <t>0.25</t>
  </si>
  <si>
    <t>0.26</t>
  </si>
  <si>
    <t>0.27</t>
  </si>
  <si>
    <t>0.28</t>
  </si>
  <si>
    <t>S1</t>
  </si>
  <si>
    <t>S2</t>
  </si>
  <si>
    <t>L3</t>
  </si>
  <si>
    <t>L4</t>
  </si>
  <si>
    <t>L5</t>
  </si>
  <si>
    <t>S6</t>
  </si>
  <si>
    <t>L8</t>
  </si>
  <si>
    <t>V9</t>
  </si>
  <si>
    <t>L1</t>
  </si>
  <si>
    <t>L2</t>
  </si>
  <si>
    <t>V008</t>
  </si>
  <si>
    <t>S10</t>
  </si>
  <si>
    <t>1.06</t>
  </si>
  <si>
    <t>1.07</t>
  </si>
  <si>
    <t>L.01</t>
  </si>
  <si>
    <t>L.02</t>
  </si>
  <si>
    <t>L.03</t>
  </si>
  <si>
    <t>S.01</t>
  </si>
  <si>
    <t>liftschacht</t>
  </si>
  <si>
    <t>E.01</t>
  </si>
  <si>
    <t>E.02</t>
  </si>
  <si>
    <t>G.01</t>
  </si>
  <si>
    <t>G.02</t>
  </si>
  <si>
    <t>A.01</t>
  </si>
  <si>
    <t>T.01</t>
  </si>
  <si>
    <t>T.02</t>
  </si>
  <si>
    <t>T.03</t>
  </si>
  <si>
    <t>T.04</t>
  </si>
  <si>
    <t>T.05</t>
  </si>
  <si>
    <t>P.01</t>
  </si>
  <si>
    <t>P.02</t>
  </si>
  <si>
    <t>P.03</t>
  </si>
  <si>
    <t>ib</t>
  </si>
  <si>
    <t>ict</t>
  </si>
  <si>
    <t>techniek</t>
  </si>
  <si>
    <t>O.01</t>
  </si>
  <si>
    <t>O.02</t>
  </si>
  <si>
    <t>L.04</t>
  </si>
  <si>
    <t>L.05</t>
  </si>
  <si>
    <t>L.06</t>
  </si>
  <si>
    <t>L.07</t>
  </si>
  <si>
    <t>T.06</t>
  </si>
  <si>
    <t>T.07</t>
  </si>
  <si>
    <t>T.08</t>
  </si>
  <si>
    <t>L.08</t>
  </si>
  <si>
    <t>L.09</t>
  </si>
  <si>
    <t>entrée</t>
  </si>
  <si>
    <t>H.001</t>
  </si>
  <si>
    <t>hal</t>
  </si>
  <si>
    <t>wasruimte</t>
  </si>
  <si>
    <t>miva toilet</t>
  </si>
  <si>
    <t>slaapkamer</t>
  </si>
  <si>
    <t>administratie</t>
  </si>
  <si>
    <t>repro</t>
  </si>
  <si>
    <t>1.08</t>
  </si>
  <si>
    <t>1.09</t>
  </si>
  <si>
    <t>1.10</t>
  </si>
  <si>
    <t>1.11</t>
  </si>
  <si>
    <t>1.12</t>
  </si>
  <si>
    <t>1.13</t>
  </si>
  <si>
    <t>1.14</t>
  </si>
  <si>
    <t>lokaal</t>
  </si>
  <si>
    <t>1.15</t>
  </si>
  <si>
    <t>1.16</t>
  </si>
  <si>
    <t>werkruimte</t>
  </si>
  <si>
    <t>speelhal</t>
  </si>
  <si>
    <t>G.004</t>
  </si>
  <si>
    <t>A.001</t>
  </si>
  <si>
    <t>A.002</t>
  </si>
  <si>
    <t>toiletten</t>
  </si>
  <si>
    <t>O.004</t>
  </si>
  <si>
    <t>stadsverwarming</t>
  </si>
  <si>
    <t>lino</t>
  </si>
  <si>
    <t>Hout</t>
  </si>
  <si>
    <t>inloop/coral</t>
  </si>
  <si>
    <t>Lino</t>
  </si>
  <si>
    <t>Steen</t>
  </si>
  <si>
    <t>Purmerend</t>
  </si>
  <si>
    <t>aula, gemeenschappelijke ruimte, bibliotheek</t>
  </si>
  <si>
    <t>handvaardigheid</t>
  </si>
  <si>
    <t>A.02</t>
  </si>
  <si>
    <t>tegel</t>
  </si>
  <si>
    <t>Verklaring :</t>
  </si>
  <si>
    <t>BSO = Buitenschoolse opvang</t>
  </si>
  <si>
    <t>VSO = Voorschoolse Opvang</t>
  </si>
  <si>
    <t>NSO = Naschoolse Opvang</t>
  </si>
  <si>
    <t>VVE  = Voor- en Vroegschoolse Educatie</t>
  </si>
  <si>
    <t>VKO = Voorschoolse Kinder opvang</t>
  </si>
  <si>
    <t>PSZ = Peuterspeelzaal</t>
  </si>
  <si>
    <t>KDV = Kinderdagverblijf</t>
  </si>
  <si>
    <t>4 x per week - 52 weken</t>
  </si>
  <si>
    <t>1 x per week 52 weken</t>
  </si>
  <si>
    <t>speellokaal (berging)</t>
  </si>
  <si>
    <t>werkplek</t>
  </si>
  <si>
    <t>P.006</t>
  </si>
  <si>
    <t>conciërge</t>
  </si>
  <si>
    <t>OBS Willem Eggert</t>
  </si>
  <si>
    <t>telt niet mee</t>
  </si>
  <si>
    <t>copy</t>
  </si>
  <si>
    <t>Tr.001</t>
  </si>
  <si>
    <t>Tr.002</t>
  </si>
  <si>
    <t>0.01t</t>
  </si>
  <si>
    <t>trap naar 1e verd</t>
  </si>
  <si>
    <t>0.02t</t>
  </si>
  <si>
    <t>0.03t</t>
  </si>
  <si>
    <t>0.04t</t>
  </si>
  <si>
    <t>0.05t</t>
  </si>
  <si>
    <t>0.06t</t>
  </si>
  <si>
    <t>0.07t</t>
  </si>
  <si>
    <t>1.01t</t>
  </si>
  <si>
    <t>1.02t</t>
  </si>
  <si>
    <t>werkast</t>
  </si>
  <si>
    <t>1.03t</t>
  </si>
  <si>
    <t>1.04t</t>
  </si>
  <si>
    <t>1.05t</t>
  </si>
  <si>
    <t>1.06t</t>
  </si>
  <si>
    <t>SBO Het Tangram</t>
  </si>
  <si>
    <t>kelder</t>
  </si>
  <si>
    <t>centrale hal</t>
  </si>
  <si>
    <t>podium aula</t>
  </si>
  <si>
    <t>trap naar kelder</t>
  </si>
  <si>
    <t>techniek lokaal</t>
  </si>
  <si>
    <t>kooklokaal</t>
  </si>
  <si>
    <t>0.23</t>
  </si>
  <si>
    <t>gemeenschappelijk</t>
  </si>
  <si>
    <t>0.29</t>
  </si>
  <si>
    <t>0.30</t>
  </si>
  <si>
    <t>0.31</t>
  </si>
  <si>
    <t>0.32</t>
  </si>
  <si>
    <t>0.33</t>
  </si>
  <si>
    <t>0.34</t>
  </si>
  <si>
    <t>0.35</t>
  </si>
  <si>
    <t>0.36</t>
  </si>
  <si>
    <t>0.37</t>
  </si>
  <si>
    <t>0.38</t>
  </si>
  <si>
    <t>0.39</t>
  </si>
  <si>
    <t>0.40</t>
  </si>
  <si>
    <t>0.41</t>
  </si>
  <si>
    <t>0.42</t>
  </si>
  <si>
    <t>0.43</t>
  </si>
  <si>
    <t>0.44</t>
  </si>
  <si>
    <t>speelzaal</t>
  </si>
  <si>
    <t>0.46</t>
  </si>
  <si>
    <t>0.47</t>
  </si>
  <si>
    <t>0.48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</si>
  <si>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</si>
  <si>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</si>
  <si>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</si>
  <si>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</si>
  <si>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</si>
  <si>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</si>
  <si>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</si>
  <si>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</si>
  <si>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</si>
  <si>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</si>
  <si>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</si>
  <si>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</si>
  <si>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</si>
  <si>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</si>
  <si>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</si>
  <si>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</si>
  <si>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</si>
  <si>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</si>
  <si>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</si>
  <si>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</si>
  <si>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Sure step</t>
  </si>
  <si>
    <t>Jan van Egmondstraat 14</t>
  </si>
  <si>
    <t>Slenkstraat 50</t>
  </si>
  <si>
    <t>OBS De Fuut</t>
  </si>
  <si>
    <t>leercafe</t>
  </si>
  <si>
    <t>expressieruimte</t>
  </si>
  <si>
    <t>0.02a</t>
  </si>
  <si>
    <t>podium</t>
  </si>
  <si>
    <t>leerprlein</t>
  </si>
  <si>
    <t>leslokaal (tijdelijk)</t>
  </si>
  <si>
    <t>gang (tijdelijk)</t>
  </si>
  <si>
    <t>toiletten (tijdelijk)</t>
  </si>
  <si>
    <t>entree (tijdelijk)</t>
  </si>
  <si>
    <t>spreekkamer (tijdelijk)</t>
  </si>
  <si>
    <t>leerplein (tijdelijk)</t>
  </si>
  <si>
    <t>miva (tijdelijjk)</t>
  </si>
  <si>
    <t>0.07a</t>
  </si>
  <si>
    <t>workshop</t>
  </si>
  <si>
    <t>stamgroep</t>
  </si>
  <si>
    <t>OBS De Havenrakkers</t>
  </si>
  <si>
    <t>0.1</t>
  </si>
  <si>
    <t>0.2</t>
  </si>
  <si>
    <t>0.3</t>
  </si>
  <si>
    <t>0.4</t>
  </si>
  <si>
    <t>0.5</t>
  </si>
  <si>
    <t>0.6</t>
  </si>
  <si>
    <t>0.7</t>
  </si>
  <si>
    <t>0.8</t>
  </si>
  <si>
    <t>0.9</t>
  </si>
  <si>
    <t>berging bibliotheek</t>
  </si>
  <si>
    <t>0.40a</t>
  </si>
  <si>
    <t>0.45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</si>
  <si>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</si>
  <si>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</si>
  <si>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</si>
  <si>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</si>
  <si>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</si>
  <si>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</si>
  <si>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</si>
  <si>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</si>
  <si>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</si>
  <si>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OBS De Overhaal</t>
  </si>
  <si>
    <t>L007</t>
  </si>
  <si>
    <t>L008</t>
  </si>
  <si>
    <t>L014</t>
  </si>
  <si>
    <t>B17</t>
  </si>
  <si>
    <t>V005</t>
  </si>
  <si>
    <t>S007</t>
  </si>
  <si>
    <t>S012</t>
  </si>
  <si>
    <t>S013</t>
  </si>
  <si>
    <t>V014</t>
  </si>
  <si>
    <t>S019</t>
  </si>
  <si>
    <t>L020</t>
  </si>
  <si>
    <t>V021</t>
  </si>
  <si>
    <t>B1</t>
  </si>
  <si>
    <t>B2</t>
  </si>
  <si>
    <t>B3</t>
  </si>
  <si>
    <t>V1</t>
  </si>
  <si>
    <t>V2</t>
  </si>
  <si>
    <t>V5</t>
  </si>
  <si>
    <t>V6</t>
  </si>
  <si>
    <t>V7</t>
  </si>
  <si>
    <t>V8</t>
  </si>
  <si>
    <t>V10</t>
  </si>
  <si>
    <t>V11</t>
  </si>
  <si>
    <t>S3</t>
  </si>
  <si>
    <t>S4</t>
  </si>
  <si>
    <t>S5</t>
  </si>
  <si>
    <t>L6</t>
  </si>
  <si>
    <t>L7</t>
  </si>
  <si>
    <t>OBS De Gouwzee</t>
  </si>
  <si>
    <t>mediatheek</t>
  </si>
  <si>
    <t>V3</t>
  </si>
  <si>
    <t>V4</t>
  </si>
  <si>
    <t>S7</t>
  </si>
  <si>
    <t>S8</t>
  </si>
  <si>
    <t>S9</t>
  </si>
  <si>
    <t>OBS Het Parelhof</t>
  </si>
  <si>
    <t>G001</t>
  </si>
  <si>
    <t>A.003</t>
  </si>
  <si>
    <t>handarbeidlokaal</t>
  </si>
  <si>
    <t>Ha.002</t>
  </si>
  <si>
    <t>BC4</t>
  </si>
  <si>
    <t>L.016</t>
  </si>
  <si>
    <t>E.004</t>
  </si>
  <si>
    <t xml:space="preserve">1e </t>
  </si>
  <si>
    <t>copy/repro</t>
  </si>
  <si>
    <t>B.004</t>
  </si>
  <si>
    <t>B.005</t>
  </si>
  <si>
    <t>berging/kluis</t>
  </si>
  <si>
    <t>B.006</t>
  </si>
  <si>
    <t>B.007</t>
  </si>
  <si>
    <t>B.012</t>
  </si>
  <si>
    <t>B.013</t>
  </si>
  <si>
    <t>OBS Noorderlicht</t>
  </si>
  <si>
    <t>Ha.01</t>
  </si>
  <si>
    <t>Nh.01</t>
  </si>
  <si>
    <t>Nh.02</t>
  </si>
  <si>
    <t>Nh.03</t>
  </si>
  <si>
    <t>Po.01</t>
  </si>
  <si>
    <t>OBS De Delta</t>
  </si>
  <si>
    <t>V.001</t>
  </si>
  <si>
    <t>verkeersruimte</t>
  </si>
  <si>
    <t>toneel</t>
  </si>
  <si>
    <t>kopieerruimte</t>
  </si>
  <si>
    <t>berging/server</t>
  </si>
  <si>
    <t>PVC</t>
  </si>
  <si>
    <t>Agevaar 86</t>
  </si>
  <si>
    <t>Monnickendam</t>
  </si>
  <si>
    <t>Nieuwland 32</t>
  </si>
  <si>
    <t>Broek in Waterland</t>
  </si>
  <si>
    <t>Zuiderwouder Dorpsstraat 41</t>
  </si>
  <si>
    <t>Zuiderwoude</t>
  </si>
  <si>
    <t>Wilhelminalaan 58</t>
  </si>
  <si>
    <t>Zichthof 9 - 11</t>
  </si>
  <si>
    <t>Beethovenstraat 62-64</t>
  </si>
  <si>
    <t>Jachtwagenstraat 64</t>
  </si>
  <si>
    <t>Delfland 2</t>
  </si>
  <si>
    <t>Kindcentrum Wheermolen</t>
  </si>
  <si>
    <t>0.02A</t>
  </si>
  <si>
    <t>portaal</t>
  </si>
  <si>
    <t>technische ruimte</t>
  </si>
  <si>
    <t>toilet meisjes</t>
  </si>
  <si>
    <t>toilet jongens</t>
  </si>
  <si>
    <t>toestel berging</t>
  </si>
  <si>
    <t>peutergroep</t>
  </si>
  <si>
    <t>ib ruimte</t>
  </si>
  <si>
    <t>0.49</t>
  </si>
  <si>
    <t>0.50</t>
  </si>
  <si>
    <t>1.02A</t>
  </si>
  <si>
    <t>portaal (bordes)</t>
  </si>
  <si>
    <t>1.19A</t>
  </si>
  <si>
    <t>vide</t>
  </si>
  <si>
    <t>1.27</t>
  </si>
  <si>
    <t>1.28</t>
  </si>
  <si>
    <t>1.40</t>
  </si>
  <si>
    <t>lift (scahcht)</t>
  </si>
  <si>
    <t>1.47</t>
  </si>
  <si>
    <t>trappenhuis (bordes)</t>
  </si>
  <si>
    <t>OBS Wheermolen KO</t>
  </si>
  <si>
    <t>aankleedruimte/toilet</t>
  </si>
  <si>
    <t>ruimte kinderopvang</t>
  </si>
  <si>
    <t>ruimte baby</t>
  </si>
  <si>
    <t>buggy's</t>
  </si>
  <si>
    <t>0.37A</t>
  </si>
  <si>
    <t>bevo</t>
  </si>
  <si>
    <t>Luitstraat 4</t>
  </si>
  <si>
    <t>Luitstraat 2</t>
  </si>
  <si>
    <t>Periodiek</t>
  </si>
  <si>
    <t>210 keer per jaar +  5 dagen Herfst en 5 dagen voorjaarvakantie</t>
  </si>
  <si>
    <t>210 keer per jaar</t>
  </si>
  <si>
    <t>noodlokaal</t>
  </si>
  <si>
    <t>OCBS Kawama</t>
  </si>
  <si>
    <t>0.028</t>
  </si>
  <si>
    <t>0.026</t>
  </si>
  <si>
    <t>0.046</t>
  </si>
  <si>
    <t>TR.015</t>
  </si>
  <si>
    <t>0.025</t>
  </si>
  <si>
    <t>OBS Oeboentoe</t>
  </si>
  <si>
    <t>T.022</t>
  </si>
  <si>
    <t>G.012</t>
  </si>
  <si>
    <t>E.005</t>
  </si>
  <si>
    <t>E.006</t>
  </si>
  <si>
    <t>0.058</t>
  </si>
  <si>
    <t>G.013</t>
  </si>
  <si>
    <t>0.033</t>
  </si>
  <si>
    <t>0.035</t>
  </si>
  <si>
    <t>0.034</t>
  </si>
  <si>
    <t>Kinderdagverblijf Anansi</t>
  </si>
  <si>
    <t>tussen schoolse</t>
  </si>
  <si>
    <t>speelhal watoto</t>
  </si>
  <si>
    <t>peuterlokaal watoto</t>
  </si>
  <si>
    <t>leslokaal watoto</t>
  </si>
  <si>
    <t>0.004</t>
  </si>
  <si>
    <t>berging watoto</t>
  </si>
  <si>
    <t>T.026</t>
  </si>
  <si>
    <t xml:space="preserve">3 toiletten </t>
  </si>
  <si>
    <t xml:space="preserve">2 toiletten </t>
  </si>
  <si>
    <t xml:space="preserve">beheerdersruimte </t>
  </si>
  <si>
    <t>O.059</t>
  </si>
  <si>
    <t xml:space="preserve">werkkast </t>
  </si>
  <si>
    <t>O.060</t>
  </si>
  <si>
    <t>Kawama-Oeboentoe</t>
  </si>
  <si>
    <t>informatielokaal</t>
  </si>
  <si>
    <t>0.031</t>
  </si>
  <si>
    <t>0.054</t>
  </si>
  <si>
    <t>werkkamer</t>
  </si>
  <si>
    <t>TR.017</t>
  </si>
  <si>
    <t>T.024</t>
  </si>
  <si>
    <t>T.025</t>
  </si>
  <si>
    <t>T.021</t>
  </si>
  <si>
    <t>0.040</t>
  </si>
  <si>
    <t>toetselberging</t>
  </si>
  <si>
    <t>mivatoilet</t>
  </si>
  <si>
    <t>0.055</t>
  </si>
  <si>
    <t>0.056</t>
  </si>
  <si>
    <t>0.061</t>
  </si>
  <si>
    <t>0.039</t>
  </si>
  <si>
    <t>0.041</t>
  </si>
  <si>
    <t>G.015</t>
  </si>
  <si>
    <t>G.010</t>
  </si>
  <si>
    <t>G.011</t>
  </si>
  <si>
    <t>G.014</t>
  </si>
  <si>
    <t>0.038</t>
  </si>
  <si>
    <t>0.042</t>
  </si>
  <si>
    <t>A.004</t>
  </si>
  <si>
    <t>bijeenkomstruim1</t>
  </si>
  <si>
    <t>0.043</t>
  </si>
  <si>
    <t>0.044</t>
  </si>
  <si>
    <t>0.045</t>
  </si>
  <si>
    <t>0.047</t>
  </si>
  <si>
    <t>Gezamenlijk</t>
  </si>
  <si>
    <t>T.027</t>
  </si>
  <si>
    <t>0.022</t>
  </si>
  <si>
    <t>0.023</t>
  </si>
  <si>
    <t>0.024</t>
  </si>
  <si>
    <t>0.029</t>
  </si>
  <si>
    <t>elektrakast</t>
  </si>
  <si>
    <t>coördinator</t>
  </si>
  <si>
    <t>0.027</t>
  </si>
  <si>
    <t>containerbergint</t>
  </si>
  <si>
    <t>0.037</t>
  </si>
  <si>
    <t>0.002</t>
  </si>
  <si>
    <t>0.003</t>
  </si>
  <si>
    <t>0.030</t>
  </si>
  <si>
    <t>0.032</t>
  </si>
  <si>
    <t>geen</t>
  </si>
  <si>
    <t>Zambezielaan 278</t>
  </si>
  <si>
    <t>toiletgroep</t>
  </si>
  <si>
    <t>personeelskamer</t>
  </si>
  <si>
    <t>leerplein vso-nso</t>
  </si>
  <si>
    <t>entrée vso-nso</t>
  </si>
  <si>
    <t>gang vso-nso</t>
  </si>
  <si>
    <t>keuken vso-nso</t>
  </si>
  <si>
    <t>peuterspeelzaal vso-nso</t>
  </si>
  <si>
    <t>docentenruimte vso-nso</t>
  </si>
  <si>
    <t>directie vso-nso</t>
  </si>
  <si>
    <t>miva toilet vso-nso</t>
  </si>
  <si>
    <t>toiletten vso-nso</t>
  </si>
  <si>
    <t>trap vso-nso</t>
  </si>
  <si>
    <t>docentenkamer vso-nso</t>
  </si>
  <si>
    <t>entree skw</t>
  </si>
  <si>
    <t>miva</t>
  </si>
  <si>
    <t>ib-ruimte</t>
  </si>
  <si>
    <t>bovenbouw 3</t>
  </si>
  <si>
    <t>bovenbouw 2</t>
  </si>
  <si>
    <t>bovenbouw 1</t>
  </si>
  <si>
    <t>toilet d</t>
  </si>
  <si>
    <t>middenbouw 5</t>
  </si>
  <si>
    <t>middenbouw 4</t>
  </si>
  <si>
    <t>toilet h</t>
  </si>
  <si>
    <t>middenbouw 3</t>
  </si>
  <si>
    <t>middenbouw 2</t>
  </si>
  <si>
    <t>multifunctioneel lokaal</t>
  </si>
  <si>
    <t>psz/bso</t>
  </si>
  <si>
    <t>onderbouw 3</t>
  </si>
  <si>
    <t>onderbouw 2</t>
  </si>
  <si>
    <t>onderbouw 1</t>
  </si>
  <si>
    <t>bovenbouw 5</t>
  </si>
  <si>
    <t>bovenbouw 4</t>
  </si>
  <si>
    <t>ontmoetingsruimte</t>
  </si>
  <si>
    <t>hoofdentree</t>
  </si>
  <si>
    <t>directiekamer</t>
  </si>
  <si>
    <t>doorgang</t>
  </si>
  <si>
    <t>handarbeid</t>
  </si>
  <si>
    <t>leslokaal bso</t>
  </si>
  <si>
    <t>2 toiletten bso</t>
  </si>
  <si>
    <t>natte hoek</t>
  </si>
  <si>
    <t>overige ruimte</t>
  </si>
  <si>
    <t>peuterspeelzaal psz</t>
  </si>
  <si>
    <t xml:space="preserve">personeelsruimte </t>
  </si>
  <si>
    <t>speelplein ko</t>
  </si>
  <si>
    <t>toilet watoto</t>
  </si>
  <si>
    <t>Gebruik CPOW</t>
  </si>
  <si>
    <t>OCBS De Fuut</t>
  </si>
  <si>
    <t>Stichting Opspoor</t>
  </si>
  <si>
    <t>Zie opm. Bijlage D Gebouw gebonden bijzonderheden</t>
  </si>
  <si>
    <t>VSO-NSO  't Boemeltje</t>
  </si>
  <si>
    <t>KO</t>
  </si>
  <si>
    <t>BSO ruimte</t>
  </si>
  <si>
    <t>KDV "Grote Vriendelijke Reus" (50 weken)</t>
  </si>
  <si>
    <t>BSO "De Zuidpool"</t>
  </si>
  <si>
    <t>PSZ "'t Druppeltje"</t>
  </si>
  <si>
    <t>opgenomen in ruimnte P.002</t>
  </si>
  <si>
    <t>Tijdelijk gebruik</t>
  </si>
  <si>
    <t>Gebruik door derden</t>
  </si>
  <si>
    <t>: afkortingen voor ruimtecategorieën bij toepassing van VSR-kwaliteitsmetingen V=verkeersruimten, S=Sanitaire ruimten, B=Bureaukamer, L=Leslokalen en Sp=Gym- sportzaal</t>
  </si>
  <si>
    <t>OBS Delta Beethoven</t>
  </si>
  <si>
    <t>NA GOEDKEURING INVESTERING MACHINEKOSTEN (BLAD 1.6-MACHINE-INVESTERINGSKOSTEN)</t>
  </si>
  <si>
    <r>
      <t xml:space="preserve">Zie voor handeling </t>
    </r>
    <r>
      <rPr>
        <sz val="11"/>
        <color rgb="FF424242"/>
        <rFont val="Avenir Black Oblique"/>
      </rPr>
      <t>'Bijlage D, tabblad aanwiijzingen'</t>
    </r>
  </si>
  <si>
    <t>2027 V1</t>
  </si>
  <si>
    <t>1501-102-2026</t>
  </si>
  <si>
    <t>Uitvoering normale werktijden: maandag t/m vrijdag [06.00 en 21.30 uur]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</si>
</sst>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(&quot;€&quot;* #,##0.00_);_(&quot;€&quot;* \(#,##0.00\);_(&quot;€&quot;* &quot;-&quot;??_);_(@_)"/>
    <numFmt numFmtId="168" formatCode="_(&quot;ƒ&quot;* #,##0.00_);_(&quot;ƒ&quot;* \(#,##0.00\);_(&quot;ƒ&quot;* &quot;-&quot;??_);_(@_)"/>
    <numFmt numFmtId="169" formatCode="_-* #,##0.00_-;\-* #,##0.00_-;_-* &quot;-&quot;??_-;_-@_-"/>
    <numFmt numFmtId="170" formatCode="&quot;Fl.&quot;#,##0;\-&quot;Fl.&quot;#,##0"/>
    <numFmt numFmtId="171" formatCode="&quot;Fl.&quot;#,##0;[Red]\-&quot;Fl.&quot;#,##0"/>
    <numFmt numFmtId="172" formatCode="_-&quot;ƒ&quot;\ * #,##0.00_-;_-&quot;ƒ&quot;\ * #,##0.00\-;_-&quot;ƒ&quot;\ * &quot;-&quot;??_-;_-@_-"/>
    <numFmt numFmtId="173" formatCode="0_)"/>
    <numFmt numFmtId="174" formatCode="General_)"/>
    <numFmt numFmtId="175" formatCode="0.00_)"/>
    <numFmt numFmtId="176" formatCode="0.000"/>
    <numFmt numFmtId="177" formatCode="_-* #,##0_-;_-* #,##0\-;_-* &quot;-&quot;??_-;_-@_-"/>
    <numFmt numFmtId="178" formatCode="00,000"/>
    <numFmt numFmtId="179" formatCode="0.0%"/>
    <numFmt numFmtId="180" formatCode="0.0"/>
    <numFmt numFmtId="181" formatCode="#,##0.0"/>
    <numFmt numFmtId="182" formatCode="_-* #,##0.000_-;_-* #,##0.000\-;_-* &quot;-&quot;??_-;_-@_-"/>
    <numFmt numFmtId="183" formatCode="0.000%"/>
    <numFmt numFmtId="184" formatCode="_-[$€-2]\ * #,##0.00_ ;_-[$€-2]\ * \-#,##0.00\ ;_-[$€-2]\ * &quot;-&quot;??_ ;_-@_ "/>
    <numFmt numFmtId="185" formatCode="_([$€-2]\ * #,##0.00_);_([$€-2]\ * \(#,##0.00\);_([$€-2]\ * &quot;-&quot;??_);_(@_)"/>
    <numFmt numFmtId="186" formatCode="#,000"/>
    <numFmt numFmtId="187" formatCode="_-[$€-2]\ * #,##0.00_-;_-[$€-2]\ * #,##0.00\-;_-[$€-2]\ * &quot;-&quot;??_-;_-@_-"/>
    <numFmt numFmtId="188" formatCode="mm/dd/yyyy"/>
    <numFmt numFmtId="189" formatCode="[$-413]d\-mmm\-yy;@"/>
    <numFmt numFmtId="190" formatCode="_-[$€-413]\ * #,##0.00_-;_-[$€-413]\ * #,##0.00\-;_-[$€-413]\ * &quot;-&quot;??_-;_-@_-"/>
    <numFmt numFmtId="191" formatCode="[$-413]d/mmm/yy;@"/>
    <numFmt numFmtId="192" formatCode="dd/mmmm/yyyy"/>
    <numFmt numFmtId="193" formatCode="[$-413]dd/mmm/yy;@"/>
    <numFmt numFmtId="194" formatCode="&quot;fl&quot;\ #,##0_-;[Red]&quot;fl&quot;\ #,##0\-"/>
    <numFmt numFmtId="195" formatCode="_-[$€]\ * #,##0.00_-;_-[$€]\ * #,##0.00\-;_-[$€]\ * &quot;-&quot;??_-;_-@_-"/>
    <numFmt numFmtId="196" formatCode="_([$€]\ * #,##0.00_);_([$€]\ * \(#,##0.00\);_([$€]\ * &quot;-&quot;??_);_(@_)"/>
    <numFmt numFmtId="197" formatCode="_-&quot;fl&quot;\ * #,##0.00_-;_-&quot;fl&quot;\ * #,##0.00\-;_-&quot;fl&quot;\ * &quot;-&quot;??_-;_-@_-"/>
    <numFmt numFmtId="198" formatCode="_ [$€-413]\ * #,##0.00_ ;_ [$€-413]\ * \-#,##0.00_ ;_ [$€-413]\ * &quot;-&quot;??_ ;_ @_ "/>
    <numFmt numFmtId="199" formatCode="00"/>
    <numFmt numFmtId="200" formatCode="yyyy/mm/dd;@"/>
    <numFmt numFmtId="201" formatCode="0\ &quot;x jaar&quot;"/>
    <numFmt numFmtId="202" formatCode="0.0000000%"/>
  </numFmts>
  <fonts count="157">
    <font>
      <sz val="10"/>
      <name val="MS Sans Serif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Arial"/>
      <family val="2"/>
    </font>
    <font>
      <sz val="10"/>
      <name val="Courier"/>
      <family val="3"/>
    </font>
    <font>
      <sz val="8"/>
      <name val="Helvetica"/>
      <family val="2"/>
    </font>
    <font>
      <sz val="8"/>
      <name val="MS Sans Serif"/>
      <family val="2"/>
    </font>
    <font>
      <sz val="9"/>
      <name val="Geneva"/>
      <family val="2"/>
    </font>
    <font>
      <sz val="12"/>
      <name val="Times"/>
      <family val="1"/>
    </font>
    <font>
      <sz val="8"/>
      <name val="Geneva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sz val="12"/>
      <color indexed="63"/>
      <name val="Verdana"/>
      <family val="2"/>
    </font>
    <font>
      <sz val="8"/>
      <name val="Verdan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Verdana"/>
      <family val="2"/>
    </font>
    <font>
      <b/>
      <sz val="14"/>
      <name val="Verdana"/>
      <family val="2"/>
    </font>
    <font>
      <sz val="10"/>
      <color theme="0"/>
      <name val="Verdana"/>
      <family val="2"/>
    </font>
    <font>
      <u/>
      <sz val="10"/>
      <color theme="10"/>
      <name val="MS Sans Serif"/>
    </font>
    <font>
      <u/>
      <sz val="10"/>
      <color theme="11"/>
      <name val="MS Sans Serif"/>
    </font>
    <font>
      <b/>
      <sz val="11"/>
      <color theme="1" tint="4.9989318521683403E-2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Times New Roman"/>
      <family val="2"/>
    </font>
    <font>
      <b/>
      <sz val="18"/>
      <color indexed="62"/>
      <name val="Cambria"/>
      <family val="2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sz val="10"/>
      <color indexed="63"/>
      <name val="Avenir Book"/>
      <family val="2"/>
    </font>
    <font>
      <b/>
      <sz val="10"/>
      <color indexed="63"/>
      <name val="Avenir Book"/>
      <family val="2"/>
    </font>
    <font>
      <sz val="10"/>
      <color indexed="10"/>
      <name val="Avenir Book"/>
      <family val="2"/>
    </font>
    <font>
      <sz val="12"/>
      <color indexed="63"/>
      <name val="Avenir Book"/>
      <family val="2"/>
    </font>
    <font>
      <b/>
      <sz val="12"/>
      <name val="Avenir Book"/>
      <family val="2"/>
    </font>
    <font>
      <b/>
      <sz val="12"/>
      <color indexed="63"/>
      <name val="Avenir Book"/>
      <family val="2"/>
    </font>
    <font>
      <sz val="12"/>
      <color indexed="10"/>
      <name val="Avenir Book"/>
      <family val="2"/>
    </font>
    <font>
      <sz val="12"/>
      <name val="Avenir Book"/>
      <family val="2"/>
    </font>
    <font>
      <b/>
      <sz val="22"/>
      <color rgb="FFFF0000"/>
      <name val="Avenir Book"/>
      <family val="2"/>
    </font>
    <font>
      <sz val="12"/>
      <color theme="1"/>
      <name val="Avenir Book"/>
      <family val="2"/>
    </font>
    <font>
      <sz val="10"/>
      <name val="Avenir Book"/>
      <family val="2"/>
    </font>
    <font>
      <b/>
      <sz val="12"/>
      <color theme="1" tint="4.9989318521683403E-2"/>
      <name val="Avenir Book"/>
      <family val="2"/>
    </font>
    <font>
      <sz val="12"/>
      <color theme="1" tint="4.9989318521683403E-2"/>
      <name val="Avenir Book"/>
      <family val="2"/>
    </font>
    <font>
      <b/>
      <sz val="10"/>
      <color indexed="10"/>
      <name val="Avenir Book"/>
      <family val="2"/>
    </font>
    <font>
      <b/>
      <sz val="10"/>
      <color theme="1" tint="4.9989318521683403E-2"/>
      <name val="Avenir Book"/>
      <family val="2"/>
    </font>
    <font>
      <sz val="10"/>
      <color theme="0"/>
      <name val="Avenir Book"/>
      <family val="2"/>
    </font>
    <font>
      <b/>
      <i/>
      <sz val="10"/>
      <color rgb="FFFF0000"/>
      <name val="Avenir Book"/>
      <family val="2"/>
    </font>
    <font>
      <sz val="10"/>
      <color theme="1" tint="4.9989318521683403E-2"/>
      <name val="Avenir Book"/>
      <family val="2"/>
    </font>
    <font>
      <i/>
      <sz val="10"/>
      <color rgb="FF424242"/>
      <name val="Avenir Book"/>
      <family val="2"/>
    </font>
    <font>
      <b/>
      <sz val="12"/>
      <name val="Avenir Heavy"/>
      <family val="2"/>
    </font>
    <font>
      <b/>
      <sz val="12"/>
      <color theme="1"/>
      <name val="Avenir Heavy"/>
      <family val="2"/>
    </font>
    <font>
      <b/>
      <sz val="10"/>
      <color indexed="63"/>
      <name val="Avenir Heavy"/>
      <family val="2"/>
    </font>
    <font>
      <b/>
      <sz val="12"/>
      <color theme="1" tint="4.9989318521683403E-2"/>
      <name val="Avenir Heavy"/>
      <family val="2"/>
    </font>
    <font>
      <b/>
      <sz val="10"/>
      <color theme="1" tint="4.9989318521683403E-2"/>
      <name val="Avenir Heavy"/>
      <family val="2"/>
    </font>
    <font>
      <b/>
      <sz val="10"/>
      <color theme="0"/>
      <name val="Avenir Heavy"/>
      <family val="2"/>
    </font>
    <font>
      <b/>
      <sz val="10"/>
      <name val="Avenir Book"/>
      <family val="2"/>
    </font>
    <font>
      <b/>
      <sz val="10"/>
      <color theme="0"/>
      <name val="Avenir Book"/>
      <family val="2"/>
    </font>
    <font>
      <sz val="10"/>
      <color indexed="63"/>
      <name val="Avenir Heavy"/>
      <family val="2"/>
    </font>
    <font>
      <b/>
      <sz val="10"/>
      <name val="Avenir Heavy"/>
      <family val="2"/>
    </font>
    <font>
      <i/>
      <sz val="10"/>
      <color indexed="63"/>
      <name val="Avenir Book"/>
      <family val="2"/>
    </font>
    <font>
      <b/>
      <sz val="12"/>
      <color indexed="10"/>
      <name val="Avenir Book"/>
      <family val="2"/>
    </font>
    <font>
      <b/>
      <sz val="10"/>
      <color theme="2" tint="0.79998168889431442"/>
      <name val="Avenir Book"/>
      <family val="2"/>
    </font>
    <font>
      <sz val="10"/>
      <color rgb="FFFF0000"/>
      <name val="Avenir Book"/>
      <family val="2"/>
    </font>
    <font>
      <sz val="10"/>
      <color theme="1"/>
      <name val="Avenir Book"/>
      <family val="2"/>
    </font>
    <font>
      <b/>
      <sz val="10"/>
      <color theme="1"/>
      <name val="Avenir Book"/>
      <family val="2"/>
    </font>
    <font>
      <sz val="10"/>
      <color theme="2"/>
      <name val="Avenir Book"/>
      <family val="2"/>
    </font>
    <font>
      <sz val="10"/>
      <color theme="0" tint="-0.499984740745262"/>
      <name val="Avenir Book"/>
      <family val="2"/>
    </font>
    <font>
      <b/>
      <sz val="9"/>
      <name val="Avenir Book"/>
      <family val="2"/>
    </font>
    <font>
      <sz val="11"/>
      <name val="Avenir Book"/>
      <family val="2"/>
    </font>
    <font>
      <b/>
      <i/>
      <sz val="10"/>
      <color theme="1" tint="4.9989318521683403E-2"/>
      <name val="Avenir Book"/>
      <family val="2"/>
    </font>
    <font>
      <b/>
      <sz val="12"/>
      <color indexed="63"/>
      <name val="Avenir Heavy"/>
      <family val="2"/>
    </font>
    <font>
      <sz val="12"/>
      <name val="Avenir Heavy"/>
      <family val="2"/>
    </font>
    <font>
      <sz val="10"/>
      <name val="Avenir Heavy"/>
      <family val="2"/>
    </font>
    <font>
      <sz val="10"/>
      <color theme="0"/>
      <name val="Avenir Heavy"/>
      <family val="2"/>
    </font>
    <font>
      <sz val="10"/>
      <color indexed="9"/>
      <name val="Avenir Book"/>
      <family val="2"/>
    </font>
    <font>
      <sz val="12"/>
      <color theme="1"/>
      <name val="Avenir Heavy"/>
      <family val="2"/>
    </font>
    <font>
      <sz val="12"/>
      <color indexed="63"/>
      <name val="Avenir Heavy"/>
      <family val="2"/>
    </font>
    <font>
      <b/>
      <sz val="10"/>
      <color rgb="FFFF0000"/>
      <name val="Avenir Book"/>
      <family val="2"/>
    </font>
    <font>
      <i/>
      <sz val="12"/>
      <color indexed="63"/>
      <name val="Avenir Book"/>
      <family val="2"/>
    </font>
    <font>
      <i/>
      <sz val="10"/>
      <color theme="1"/>
      <name val="Avenir Book"/>
      <family val="2"/>
    </font>
    <font>
      <sz val="9"/>
      <name val="Avenir Book"/>
      <family val="2"/>
    </font>
    <font>
      <sz val="11"/>
      <color theme="1"/>
      <name val="Avenir Book"/>
      <family val="2"/>
    </font>
    <font>
      <b/>
      <sz val="14"/>
      <name val="Avenir Book"/>
      <family val="2"/>
    </font>
    <font>
      <sz val="10"/>
      <color theme="2" tint="-0.499984740745262"/>
      <name val="Avenir Book"/>
      <family val="2"/>
    </font>
    <font>
      <sz val="9"/>
      <color theme="2" tint="-0.499984740745262"/>
      <name val="Avenir Book"/>
      <family val="2"/>
    </font>
    <font>
      <sz val="6"/>
      <color theme="0"/>
      <name val="Avenir Book"/>
      <family val="2"/>
    </font>
    <font>
      <b/>
      <i/>
      <sz val="10"/>
      <name val="Avenir Book"/>
      <family val="2"/>
    </font>
    <font>
      <b/>
      <i/>
      <sz val="10"/>
      <color indexed="63"/>
      <name val="Avenir Book"/>
      <family val="2"/>
    </font>
    <font>
      <b/>
      <i/>
      <sz val="9"/>
      <name val="Avenir Book"/>
      <family val="2"/>
    </font>
    <font>
      <i/>
      <sz val="9"/>
      <name val="Avenir Book"/>
      <family val="2"/>
    </font>
    <font>
      <sz val="9"/>
      <color theme="0"/>
      <name val="Avenir Book"/>
      <family val="2"/>
    </font>
    <font>
      <b/>
      <sz val="14"/>
      <color rgb="FF455266"/>
      <name val="Avenir Book"/>
      <family val="2"/>
    </font>
    <font>
      <sz val="10"/>
      <color indexed="63"/>
      <name val="Avenir Heavy Oblique"/>
    </font>
    <font>
      <b/>
      <sz val="9"/>
      <color theme="0"/>
      <name val="Avenir Book"/>
      <family val="2"/>
    </font>
    <font>
      <b/>
      <sz val="10"/>
      <color theme="1"/>
      <name val="Avenir Heavy"/>
      <family val="2"/>
    </font>
    <font>
      <sz val="10"/>
      <color theme="1"/>
      <name val="Avenir Heavy"/>
      <family val="2"/>
    </font>
    <font>
      <b/>
      <i/>
      <sz val="10"/>
      <color theme="0"/>
      <name val="Avenir Book"/>
      <family val="2"/>
    </font>
    <font>
      <b/>
      <sz val="12"/>
      <color theme="0"/>
      <name val="Avenir Book"/>
      <family val="2"/>
    </font>
    <font>
      <sz val="9"/>
      <color indexed="63"/>
      <name val="Avenir Book"/>
      <family val="2"/>
    </font>
    <font>
      <b/>
      <sz val="12"/>
      <color theme="1"/>
      <name val="Avenir Book"/>
      <family val="2"/>
    </font>
    <font>
      <sz val="12"/>
      <name val="Avenir Black"/>
      <family val="2"/>
    </font>
    <font>
      <sz val="11"/>
      <color indexed="63"/>
      <name val="Avenir Book"/>
      <family val="2"/>
    </font>
    <font>
      <sz val="11"/>
      <color theme="1" tint="4.9989318521683403E-2"/>
      <name val="Avenir Book"/>
      <family val="2"/>
    </font>
    <font>
      <b/>
      <sz val="11"/>
      <color theme="1" tint="4.9989318521683403E-2"/>
      <name val="Avenir Book"/>
      <family val="2"/>
    </font>
    <font>
      <b/>
      <sz val="11"/>
      <color indexed="63"/>
      <name val="Avenir Book"/>
      <family val="2"/>
    </font>
    <font>
      <i/>
      <sz val="11"/>
      <color rgb="FF424242"/>
      <name val="Avenir Book"/>
      <family val="2"/>
    </font>
    <font>
      <i/>
      <sz val="10"/>
      <color theme="0"/>
      <name val="Avenir Book"/>
      <family val="2"/>
    </font>
    <font>
      <sz val="12"/>
      <color rgb="FF000000"/>
      <name val="Avenir Black"/>
      <family val="2"/>
    </font>
    <font>
      <sz val="10"/>
      <color theme="1" tint="4.9989318521683403E-2"/>
      <name val="Verdana"/>
      <family val="2"/>
    </font>
    <font>
      <sz val="9"/>
      <color theme="0" tint="-0.499984740745262"/>
      <name val="Verdana"/>
      <family val="2"/>
    </font>
    <font>
      <sz val="10"/>
      <color rgb="FF424242"/>
      <name val="Avenir Book"/>
      <family val="2"/>
    </font>
    <font>
      <b/>
      <sz val="10"/>
      <color indexed="9"/>
      <name val="Avenir Book"/>
      <family val="2"/>
    </font>
    <font>
      <b/>
      <sz val="14"/>
      <color indexed="63"/>
      <name val="Avenir Heavy"/>
      <family val="2"/>
    </font>
    <font>
      <sz val="10"/>
      <color indexed="63"/>
      <name val="Avenir Black"/>
      <family val="2"/>
    </font>
    <font>
      <sz val="11"/>
      <color rgb="FF424242"/>
      <name val="Avenir Black Oblique"/>
    </font>
    <font>
      <b/>
      <sz val="12"/>
      <color theme="0"/>
      <name val="Avenir Heavy"/>
      <family val="2"/>
    </font>
    <font>
      <sz val="10"/>
      <color rgb="FFFCFDF9"/>
      <name val="Avenir Book"/>
      <family val="2"/>
    </font>
    <font>
      <sz val="10"/>
      <color rgb="FFFCFDF9"/>
      <name val="Avenir Heavy"/>
      <family val="2"/>
    </font>
    <font>
      <b/>
      <sz val="10"/>
      <color rgb="FFFCFDF9"/>
      <name val="Avenir Book"/>
      <family val="2"/>
    </font>
    <font>
      <b/>
      <sz val="10"/>
      <color rgb="FFFCFDF9"/>
      <name val="Avenir Heavy"/>
      <family val="2"/>
    </font>
    <font>
      <sz val="10"/>
      <color theme="0"/>
      <name val="Avenir Black"/>
      <family val="2"/>
    </font>
    <font>
      <sz val="10"/>
      <color theme="1"/>
      <name val="MS Sans Serif"/>
      <family val="2"/>
    </font>
    <font>
      <sz val="10"/>
      <color indexed="63"/>
      <name val="MS Sans Serif"/>
      <family val="2"/>
    </font>
    <font>
      <sz val="10"/>
      <color rgb="FFFF0000"/>
      <name val="Verdana"/>
      <family val="2"/>
    </font>
    <font>
      <sz val="12"/>
      <color rgb="FFFF0000"/>
      <name val="Avenir Book"/>
      <family val="2"/>
    </font>
    <font>
      <sz val="8"/>
      <color rgb="FF000000"/>
      <name val="Avenir Light"/>
      <family val="2"/>
    </font>
    <font>
      <sz val="8"/>
      <color rgb="FF000000"/>
      <name val="Helvetica Neue"/>
      <family val="2"/>
    </font>
  </fonts>
  <fills count="5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55266"/>
        <bgColor indexed="64"/>
      </patternFill>
    </fill>
    <fill>
      <patternFill patternType="solid">
        <fgColor rgb="FFC4BA4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424242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7A800"/>
        <bgColor indexed="64"/>
      </patternFill>
    </fill>
    <fill>
      <patternFill patternType="solid">
        <fgColor rgb="FF4451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54637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9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9933"/>
      </left>
      <right/>
      <top/>
      <bottom/>
      <diagonal/>
    </border>
    <border>
      <left style="thin">
        <color rgb="FFFF9933"/>
      </left>
      <right style="thin">
        <color rgb="FFFF9933"/>
      </right>
      <top style="thin">
        <color rgb="FFFF9933"/>
      </top>
      <bottom style="thin">
        <color rgb="FFFF9933"/>
      </bottom>
      <diagonal/>
    </border>
    <border>
      <left style="thin">
        <color rgb="FFFF9933"/>
      </left>
      <right/>
      <top style="thin">
        <color rgb="FFFF9933"/>
      </top>
      <bottom style="thin">
        <color rgb="FFFF993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FF993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FF9933"/>
      </left>
      <right style="thin">
        <color rgb="FFFF9933"/>
      </right>
      <top/>
      <bottom style="thin">
        <color rgb="FFFF99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medium">
        <color rgb="FF455266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455266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/>
      <right/>
      <top style="thin">
        <color theme="0"/>
      </top>
      <bottom/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rgb="FF455266"/>
      </diagonal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/>
      <diagonal/>
    </border>
    <border>
      <left/>
      <right/>
      <top style="double">
        <color theme="0" tint="-0.34998626667073579"/>
      </top>
      <bottom/>
      <diagonal/>
    </border>
    <border>
      <left/>
      <right style="double">
        <color theme="0" tint="-0.34998626667073579"/>
      </right>
      <top style="double">
        <color theme="0" tint="-0.34998626667073579"/>
      </top>
      <bottom/>
      <diagonal/>
    </border>
    <border>
      <left style="double">
        <color theme="0" tint="-0.34998626667073579"/>
      </left>
      <right/>
      <top/>
      <bottom/>
      <diagonal/>
    </border>
    <border>
      <left/>
      <right style="double">
        <color theme="0" tint="-0.34998626667073579"/>
      </right>
      <top/>
      <bottom/>
      <diagonal/>
    </border>
    <border>
      <left style="double">
        <color theme="0" tint="-0.34998626667073579"/>
      </left>
      <right/>
      <top/>
      <bottom style="double">
        <color theme="0" tint="-0.34998626667073579"/>
      </bottom>
      <diagonal/>
    </border>
    <border>
      <left/>
      <right/>
      <top/>
      <bottom style="double">
        <color theme="0" tint="-0.34998626667073579"/>
      </bottom>
      <diagonal/>
    </border>
    <border>
      <left/>
      <right style="double">
        <color theme="0" tint="-0.34998626667073579"/>
      </right>
      <top/>
      <bottom style="double">
        <color theme="0" tint="-0.34998626667073579"/>
      </bottom>
      <diagonal/>
    </border>
    <border>
      <left style="double">
        <color theme="0" tint="-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55"/>
      </top>
      <bottom style="thin">
        <color indexed="55"/>
      </bottom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theme="0" tint="-0.34998626667073579"/>
      </diagonal>
    </border>
    <border>
      <left style="double">
        <color rgb="FFC4BA47"/>
      </left>
      <right/>
      <top style="double">
        <color rgb="FFC4BA47"/>
      </top>
      <bottom/>
      <diagonal/>
    </border>
    <border>
      <left/>
      <right style="double">
        <color rgb="FFC4BA47"/>
      </right>
      <top style="double">
        <color rgb="FFC4BA47"/>
      </top>
      <bottom/>
      <diagonal/>
    </border>
    <border>
      <left style="double">
        <color rgb="FFC4BA47"/>
      </left>
      <right/>
      <top/>
      <bottom/>
      <diagonal/>
    </border>
    <border>
      <left/>
      <right style="double">
        <color rgb="FFC4BA47"/>
      </right>
      <top/>
      <bottom/>
      <diagonal/>
    </border>
    <border>
      <left style="double">
        <color rgb="FFC4BA47"/>
      </left>
      <right/>
      <top/>
      <bottom style="double">
        <color rgb="FFC4BA47"/>
      </bottom>
      <diagonal/>
    </border>
    <border>
      <left/>
      <right style="double">
        <color rgb="FFC4BA47"/>
      </right>
      <top/>
      <bottom style="double">
        <color rgb="FFC4BA47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24994659260841701"/>
      </bottom>
      <diagonal/>
    </border>
    <border>
      <left style="double">
        <color auto="1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3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3"/>
      </right>
      <top style="thin">
        <color theme="0" tint="-0.24994659260841701"/>
      </top>
      <bottom style="thin">
        <color theme="0" tint="-0.24994659260841701"/>
      </bottom>
      <diagonal/>
    </border>
    <border diagonalUp="1" diagonalDown="1">
      <left style="thin">
        <color indexed="23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 style="thin">
        <color rgb="FFFF0000"/>
      </diagonal>
    </border>
  </borders>
  <cellStyleXfs count="3333">
    <xf numFmtId="0" fontId="0" fillId="0" borderId="0"/>
    <xf numFmtId="0" fontId="21" fillId="3" borderId="1" applyNumberFormat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4" fillId="0" borderId="0"/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166" fontId="4" fillId="0" borderId="0" applyFont="0" applyFill="0" applyBorder="0" applyAlignment="0" applyProtection="0"/>
    <xf numFmtId="0" fontId="24" fillId="6" borderId="0"/>
    <xf numFmtId="166" fontId="25" fillId="0" borderId="0">
      <alignment horizontal="center" vertical="center" textRotation="90" wrapText="1"/>
    </xf>
    <xf numFmtId="0" fontId="26" fillId="5" borderId="3"/>
    <xf numFmtId="170" fontId="14" fillId="0" borderId="0"/>
    <xf numFmtId="0" fontId="27" fillId="4" borderId="0" applyNumberFormat="0" applyBorder="0" applyAlignment="0" applyProtection="0"/>
    <xf numFmtId="0" fontId="5" fillId="0" borderId="0"/>
    <xf numFmtId="0" fontId="11" fillId="0" borderId="0"/>
    <xf numFmtId="0" fontId="6" fillId="0" borderId="0"/>
    <xf numFmtId="0" fontId="5" fillId="0" borderId="0"/>
    <xf numFmtId="0" fontId="4" fillId="0" borderId="0"/>
    <xf numFmtId="0" fontId="12" fillId="0" borderId="0"/>
    <xf numFmtId="0" fontId="7" fillId="0" borderId="0"/>
    <xf numFmtId="0" fontId="5" fillId="0" borderId="0"/>
    <xf numFmtId="0" fontId="5" fillId="0" borderId="0"/>
    <xf numFmtId="0" fontId="8" fillId="0" borderId="0"/>
    <xf numFmtId="9" fontId="4" fillId="0" borderId="0" applyFont="0" applyFill="0" applyBorder="0" applyAlignment="0" applyProtection="0"/>
    <xf numFmtId="0" fontId="26" fillId="7" borderId="4" applyNumberFormat="0" applyFont="0" applyBorder="0">
      <alignment horizontal="center"/>
    </xf>
    <xf numFmtId="0" fontId="5" fillId="0" borderId="0"/>
    <xf numFmtId="0" fontId="28" fillId="0" borderId="0" applyNumberFormat="0" applyFill="0" applyBorder="0" applyAlignment="0" applyProtection="0"/>
    <xf numFmtId="0" fontId="29" fillId="0" borderId="5" applyNumberFormat="0" applyFill="0" applyAlignment="0" applyProtection="0"/>
    <xf numFmtId="172" fontId="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8" fillId="0" borderId="0">
      <alignment vertical="center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8" borderId="0" applyNumberFormat="0" applyBorder="0" applyAlignment="0" applyProtection="0"/>
    <xf numFmtId="0" fontId="41" fillId="13" borderId="0" applyNumberFormat="0" applyBorder="0" applyAlignment="0" applyProtection="0"/>
    <xf numFmtId="0" fontId="21" fillId="3" borderId="1" applyNumberFormat="0" applyAlignment="0" applyProtection="0"/>
    <xf numFmtId="0" fontId="21" fillId="29" borderId="1" applyNumberFormat="0" applyAlignment="0" applyProtection="0"/>
    <xf numFmtId="0" fontId="42" fillId="30" borderId="22" applyNumberFormat="0" applyAlignment="0" applyProtection="0"/>
    <xf numFmtId="38" fontId="4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2" fillId="30" borderId="22" applyNumberFormat="0" applyAlignment="0" applyProtection="0"/>
    <xf numFmtId="194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4" borderId="1" applyNumberFormat="0" applyAlignment="0" applyProtection="0"/>
    <xf numFmtId="0" fontId="50" fillId="16" borderId="1" applyNumberFormat="0" applyAlignment="0" applyProtection="0"/>
    <xf numFmtId="166" fontId="3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1" fillId="0" borderId="26" applyNumberFormat="0" applyFill="0" applyAlignment="0" applyProtection="0"/>
    <xf numFmtId="0" fontId="52" fillId="0" borderId="24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3" fillId="0" borderId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4" fillId="31" borderId="28" applyNumberFormat="0" applyFont="0" applyAlignment="0" applyProtection="0"/>
    <xf numFmtId="0" fontId="7" fillId="31" borderId="28" applyNumberFormat="0" applyFont="0" applyAlignment="0" applyProtection="0"/>
    <xf numFmtId="0" fontId="41" fillId="13" borderId="0" applyNumberFormat="0" applyBorder="0" applyAlignment="0" applyProtection="0"/>
    <xf numFmtId="0" fontId="54" fillId="29" borderId="2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9" fillId="0" borderId="5" applyNumberFormat="0" applyFill="0" applyAlignment="0" applyProtection="0"/>
    <xf numFmtId="0" fontId="29" fillId="0" borderId="30" applyNumberFormat="0" applyFill="0" applyAlignment="0" applyProtection="0"/>
    <xf numFmtId="0" fontId="54" fillId="3" borderId="29" applyNumberFormat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/>
    <xf numFmtId="0" fontId="4" fillId="0" borderId="0"/>
    <xf numFmtId="0" fontId="58" fillId="0" borderId="0"/>
    <xf numFmtId="0" fontId="59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0" fontId="1" fillId="0" borderId="0"/>
  </cellStyleXfs>
  <cellXfs count="842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8" fillId="0" borderId="0" xfId="19" applyFont="1" applyAlignment="1">
      <alignment vertical="center"/>
    </xf>
    <xf numFmtId="184" fontId="18" fillId="0" borderId="0" xfId="19" applyNumberFormat="1" applyFont="1" applyAlignment="1">
      <alignment vertical="center"/>
    </xf>
    <xf numFmtId="43" fontId="18" fillId="0" borderId="0" xfId="19" applyNumberFormat="1" applyFont="1" applyAlignment="1">
      <alignment vertical="center"/>
    </xf>
    <xf numFmtId="0" fontId="33" fillId="0" borderId="0" xfId="19" applyFont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0" xfId="0" quotePrefix="1" applyFont="1" applyAlignment="1">
      <alignment vertical="center"/>
    </xf>
    <xf numFmtId="2" fontId="36" fillId="10" borderId="0" xfId="0" applyNumberFormat="1" applyFont="1" applyFill="1" applyAlignment="1">
      <alignment horizontal="center" vertical="center" wrapText="1"/>
    </xf>
    <xf numFmtId="188" fontId="18" fillId="0" borderId="9" xfId="0" applyNumberFormat="1" applyFont="1" applyBorder="1" applyAlignment="1">
      <alignment vertical="center"/>
    </xf>
    <xf numFmtId="191" fontId="18" fillId="0" borderId="9" xfId="0" applyNumberFormat="1" applyFont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193" fontId="18" fillId="0" borderId="10" xfId="0" applyNumberFormat="1" applyFont="1" applyBorder="1" applyAlignment="1">
      <alignment horizontal="center" vertical="center"/>
    </xf>
    <xf numFmtId="190" fontId="14" fillId="0" borderId="7" xfId="31" applyNumberFormat="1" applyFont="1" applyBorder="1" applyAlignment="1">
      <alignment vertical="center"/>
    </xf>
    <xf numFmtId="190" fontId="14" fillId="0" borderId="7" xfId="0" applyNumberFormat="1" applyFont="1" applyBorder="1" applyAlignment="1">
      <alignment vertical="center"/>
    </xf>
    <xf numFmtId="0" fontId="37" fillId="10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190" fontId="14" fillId="0" borderId="0" xfId="0" applyNumberFormat="1" applyFont="1"/>
    <xf numFmtId="0" fontId="17" fillId="0" borderId="0" xfId="19" applyFont="1" applyAlignment="1">
      <alignment vertical="center" wrapText="1"/>
    </xf>
    <xf numFmtId="0" fontId="3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9" fillId="0" borderId="0" xfId="19" applyFont="1" applyAlignment="1">
      <alignment vertical="center"/>
    </xf>
    <xf numFmtId="49" fontId="18" fillId="0" borderId="0" xfId="16" applyNumberFormat="1" applyFont="1" applyAlignment="1" applyProtection="1">
      <alignment horizontal="left" vertical="center"/>
      <protection hidden="1"/>
    </xf>
    <xf numFmtId="0" fontId="33" fillId="0" borderId="8" xfId="19" applyFont="1" applyBorder="1" applyAlignment="1">
      <alignment vertical="center"/>
    </xf>
    <xf numFmtId="187" fontId="17" fillId="9" borderId="0" xfId="19" applyNumberFormat="1" applyFont="1" applyFill="1" applyAlignment="1">
      <alignment vertical="center"/>
    </xf>
    <xf numFmtId="43" fontId="18" fillId="0" borderId="0" xfId="2" applyFont="1" applyFill="1" applyAlignment="1">
      <alignment vertical="center"/>
    </xf>
    <xf numFmtId="187" fontId="18" fillId="0" borderId="0" xfId="19" applyNumberFormat="1" applyFont="1" applyAlignment="1">
      <alignment vertical="center"/>
    </xf>
    <xf numFmtId="0" fontId="60" fillId="0" borderId="0" xfId="19" applyFont="1" applyAlignment="1">
      <alignment vertical="center"/>
    </xf>
    <xf numFmtId="49" fontId="60" fillId="0" borderId="0" xfId="16" applyNumberFormat="1" applyFont="1" applyAlignment="1" applyProtection="1">
      <alignment horizontal="left" vertical="center"/>
      <protection hidden="1"/>
    </xf>
    <xf numFmtId="0" fontId="61" fillId="0" borderId="0" xfId="19" applyFont="1" applyAlignment="1">
      <alignment vertical="center"/>
    </xf>
    <xf numFmtId="0" fontId="62" fillId="0" borderId="0" xfId="19" applyFont="1" applyAlignment="1">
      <alignment vertical="center"/>
    </xf>
    <xf numFmtId="0" fontId="63" fillId="0" borderId="0" xfId="19" applyFont="1" applyAlignment="1">
      <alignment vertical="center"/>
    </xf>
    <xf numFmtId="2" fontId="63" fillId="0" borderId="0" xfId="19" applyNumberFormat="1" applyFont="1" applyAlignment="1">
      <alignment vertical="center"/>
    </xf>
    <xf numFmtId="2" fontId="65" fillId="0" borderId="0" xfId="19" applyNumberFormat="1" applyFont="1" applyAlignment="1">
      <alignment vertical="center"/>
    </xf>
    <xf numFmtId="0" fontId="66" fillId="0" borderId="0" xfId="19" applyFont="1" applyAlignment="1">
      <alignment vertical="center"/>
    </xf>
    <xf numFmtId="2" fontId="67" fillId="0" borderId="0" xfId="19" applyNumberFormat="1" applyFont="1" applyAlignment="1">
      <alignment vertical="center"/>
    </xf>
    <xf numFmtId="0" fontId="68" fillId="0" borderId="0" xfId="0" applyFont="1" applyAlignment="1">
      <alignment vertical="center"/>
    </xf>
    <xf numFmtId="1" fontId="69" fillId="0" borderId="0" xfId="19" applyNumberFormat="1" applyFont="1" applyAlignment="1">
      <alignment horizontal="left" vertical="center"/>
    </xf>
    <xf numFmtId="191" fontId="67" fillId="0" borderId="0" xfId="19" applyNumberFormat="1" applyFont="1" applyAlignment="1">
      <alignment horizontal="left" vertical="center"/>
    </xf>
    <xf numFmtId="2" fontId="60" fillId="10" borderId="7" xfId="26" applyNumberFormat="1" applyFont="1" applyFill="1" applyBorder="1" applyAlignment="1" applyProtection="1">
      <alignment horizontal="center" vertical="center"/>
      <protection hidden="1"/>
    </xf>
    <xf numFmtId="0" fontId="70" fillId="0" borderId="0" xfId="0" applyFont="1" applyAlignment="1">
      <alignment vertical="center"/>
    </xf>
    <xf numFmtId="2" fontId="60" fillId="10" borderId="7" xfId="2517" applyNumberFormat="1" applyFont="1" applyFill="1" applyBorder="1" applyAlignment="1" applyProtection="1">
      <alignment horizontal="center" vertical="center"/>
      <protection hidden="1"/>
    </xf>
    <xf numFmtId="15" fontId="67" fillId="0" borderId="0" xfId="19" applyNumberFormat="1" applyFont="1" applyAlignment="1">
      <alignment horizontal="left" vertical="center"/>
    </xf>
    <xf numFmtId="49" fontId="65" fillId="0" borderId="0" xfId="19" applyNumberFormat="1" applyFont="1" applyAlignment="1">
      <alignment vertical="center"/>
    </xf>
    <xf numFmtId="0" fontId="71" fillId="0" borderId="0" xfId="19" applyFont="1" applyAlignment="1">
      <alignment vertical="center"/>
    </xf>
    <xf numFmtId="0" fontId="72" fillId="0" borderId="0" xfId="19" applyFont="1" applyAlignment="1">
      <alignment vertical="center"/>
    </xf>
    <xf numFmtId="49" fontId="60" fillId="0" borderId="0" xfId="19" applyNumberFormat="1" applyFont="1" applyAlignment="1">
      <alignment vertical="center"/>
    </xf>
    <xf numFmtId="0" fontId="61" fillId="0" borderId="0" xfId="19" applyFont="1" applyAlignment="1">
      <alignment vertical="center" wrapText="1"/>
    </xf>
    <xf numFmtId="0" fontId="73" fillId="0" borderId="0" xfId="19" applyFont="1" applyAlignment="1">
      <alignment vertical="center" wrapText="1"/>
    </xf>
    <xf numFmtId="0" fontId="61" fillId="0" borderId="0" xfId="16" applyFont="1" applyAlignment="1" applyProtection="1">
      <alignment horizontal="left" vertical="center"/>
      <protection hidden="1"/>
    </xf>
    <xf numFmtId="177" fontId="60" fillId="0" borderId="0" xfId="16" applyNumberFormat="1" applyFont="1" applyAlignment="1" applyProtection="1">
      <alignment horizontal="left" vertical="center"/>
      <protection hidden="1"/>
    </xf>
    <xf numFmtId="184" fontId="60" fillId="0" borderId="0" xfId="19" applyNumberFormat="1" applyFont="1" applyAlignment="1">
      <alignment horizontal="right" vertical="center"/>
    </xf>
    <xf numFmtId="2" fontId="60" fillId="0" borderId="0" xfId="2" applyNumberFormat="1" applyFont="1" applyFill="1" applyAlignment="1">
      <alignment horizontal="center" vertical="center"/>
    </xf>
    <xf numFmtId="1" fontId="60" fillId="0" borderId="0" xfId="2" applyNumberFormat="1" applyFont="1" applyFill="1" applyAlignment="1">
      <alignment horizontal="center" vertical="center"/>
    </xf>
    <xf numFmtId="4" fontId="60" fillId="0" borderId="0" xfId="2" applyNumberFormat="1" applyFont="1" applyFill="1" applyAlignment="1">
      <alignment horizontal="center" vertical="center"/>
    </xf>
    <xf numFmtId="184" fontId="60" fillId="0" borderId="0" xfId="5" applyNumberFormat="1" applyFont="1" applyFill="1" applyAlignment="1">
      <alignment vertical="center"/>
    </xf>
    <xf numFmtId="190" fontId="60" fillId="0" borderId="0" xfId="3" applyNumberFormat="1" applyFont="1" applyFill="1" applyBorder="1" applyAlignment="1" applyProtection="1">
      <alignment horizontal="center" vertical="center"/>
      <protection hidden="1"/>
    </xf>
    <xf numFmtId="10" fontId="60" fillId="0" borderId="0" xfId="19" applyNumberFormat="1" applyFont="1" applyAlignment="1">
      <alignment vertical="center"/>
    </xf>
    <xf numFmtId="2" fontId="60" fillId="0" borderId="0" xfId="19" applyNumberFormat="1" applyFont="1" applyAlignment="1">
      <alignment horizontal="center" vertical="center"/>
    </xf>
    <xf numFmtId="4" fontId="60" fillId="0" borderId="0" xfId="19" applyNumberFormat="1" applyFont="1" applyAlignment="1">
      <alignment horizontal="center" vertical="center"/>
    </xf>
    <xf numFmtId="10" fontId="60" fillId="0" borderId="0" xfId="16" applyNumberFormat="1" applyFont="1" applyAlignment="1" applyProtection="1">
      <alignment horizontal="left" vertical="center"/>
      <protection hidden="1"/>
    </xf>
    <xf numFmtId="2" fontId="60" fillId="0" borderId="0" xfId="16" applyNumberFormat="1" applyFont="1" applyAlignment="1" applyProtection="1">
      <alignment horizontal="center" vertical="center"/>
      <protection hidden="1"/>
    </xf>
    <xf numFmtId="4" fontId="60" fillId="0" borderId="0" xfId="16" applyNumberFormat="1" applyFont="1" applyAlignment="1" applyProtection="1">
      <alignment horizontal="center" vertical="center"/>
      <protection hidden="1"/>
    </xf>
    <xf numFmtId="49" fontId="62" fillId="0" borderId="0" xfId="16" applyNumberFormat="1" applyFont="1" applyAlignment="1" applyProtection="1">
      <alignment horizontal="left" vertical="center"/>
      <protection hidden="1"/>
    </xf>
    <xf numFmtId="2" fontId="60" fillId="0" borderId="6" xfId="2" applyNumberFormat="1" applyFont="1" applyFill="1" applyBorder="1" applyAlignment="1">
      <alignment horizontal="center" vertical="center"/>
    </xf>
    <xf numFmtId="10" fontId="61" fillId="0" borderId="0" xfId="16" applyNumberFormat="1" applyFont="1" applyAlignment="1" applyProtection="1">
      <alignment horizontal="center" vertical="center"/>
      <protection hidden="1"/>
    </xf>
    <xf numFmtId="2" fontId="61" fillId="0" borderId="0" xfId="2" applyNumberFormat="1" applyFont="1" applyFill="1" applyBorder="1" applyAlignment="1" applyProtection="1">
      <alignment horizontal="center" vertical="center"/>
      <protection hidden="1"/>
    </xf>
    <xf numFmtId="0" fontId="61" fillId="0" borderId="0" xfId="16" applyFont="1" applyAlignment="1" applyProtection="1">
      <alignment horizontal="right" vertical="center"/>
      <protection hidden="1"/>
    </xf>
    <xf numFmtId="4" fontId="61" fillId="0" borderId="0" xfId="2" applyNumberFormat="1" applyFont="1" applyFill="1" applyBorder="1" applyAlignment="1" applyProtection="1">
      <alignment horizontal="center" vertical="center"/>
      <protection hidden="1"/>
    </xf>
    <xf numFmtId="190" fontId="61" fillId="0" borderId="0" xfId="3" applyNumberFormat="1" applyFont="1" applyFill="1" applyBorder="1" applyAlignment="1" applyProtection="1">
      <alignment horizontal="center" vertical="center"/>
      <protection hidden="1"/>
    </xf>
    <xf numFmtId="179" fontId="61" fillId="0" borderId="0" xfId="16" applyNumberFormat="1" applyFont="1" applyAlignment="1" applyProtection="1">
      <alignment horizontal="center" vertical="center"/>
      <protection hidden="1"/>
    </xf>
    <xf numFmtId="198" fontId="61" fillId="0" borderId="0" xfId="16" applyNumberFormat="1" applyFont="1" applyAlignment="1" applyProtection="1">
      <alignment horizontal="left" vertical="center"/>
      <protection hidden="1"/>
    </xf>
    <xf numFmtId="0" fontId="61" fillId="0" borderId="0" xfId="3" applyNumberFormat="1" applyFont="1" applyFill="1" applyBorder="1" applyAlignment="1" applyProtection="1">
      <alignment horizontal="center" vertical="center"/>
      <protection hidden="1"/>
    </xf>
    <xf numFmtId="184" fontId="60" fillId="0" borderId="0" xfId="5" applyNumberFormat="1" applyFont="1" applyFill="1" applyAlignment="1">
      <alignment horizontal="right" vertical="center"/>
    </xf>
    <xf numFmtId="4" fontId="60" fillId="0" borderId="6" xfId="2" applyNumberFormat="1" applyFont="1" applyFill="1" applyBorder="1" applyAlignment="1">
      <alignment horizontal="center" vertical="center"/>
    </xf>
    <xf numFmtId="43" fontId="61" fillId="0" borderId="0" xfId="2" applyFont="1" applyFill="1" applyBorder="1" applyAlignment="1" applyProtection="1">
      <alignment horizontal="left" vertical="center"/>
      <protection hidden="1"/>
    </xf>
    <xf numFmtId="184" fontId="61" fillId="0" borderId="0" xfId="16" applyNumberFormat="1" applyFont="1" applyAlignment="1" applyProtection="1">
      <alignment horizontal="left" vertical="center"/>
      <protection hidden="1"/>
    </xf>
    <xf numFmtId="179" fontId="61" fillId="0" borderId="0" xfId="26" applyNumberFormat="1" applyFont="1" applyFill="1" applyBorder="1" applyAlignment="1" applyProtection="1">
      <alignment horizontal="center" vertical="center"/>
      <protection hidden="1"/>
    </xf>
    <xf numFmtId="0" fontId="61" fillId="0" borderId="0" xfId="16" applyFont="1" applyAlignment="1" applyProtection="1">
      <alignment horizontal="center" vertical="center"/>
      <protection hidden="1"/>
    </xf>
    <xf numFmtId="43" fontId="61" fillId="0" borderId="0" xfId="16" applyNumberFormat="1" applyFont="1" applyAlignment="1" applyProtection="1">
      <alignment horizontal="left" vertical="center"/>
      <protection hidden="1"/>
    </xf>
    <xf numFmtId="0" fontId="70" fillId="0" borderId="0" xfId="0" applyFont="1" applyAlignment="1">
      <alignment horizontal="right" vertical="center"/>
    </xf>
    <xf numFmtId="10" fontId="60" fillId="0" borderId="0" xfId="19" applyNumberFormat="1" applyFont="1" applyAlignment="1">
      <alignment horizontal="right" vertical="center"/>
    </xf>
    <xf numFmtId="184" fontId="60" fillId="0" borderId="6" xfId="5" applyNumberFormat="1" applyFont="1" applyFill="1" applyBorder="1" applyAlignment="1">
      <alignment horizontal="right" vertical="center"/>
    </xf>
    <xf numFmtId="181" fontId="60" fillId="0" borderId="0" xfId="19" applyNumberFormat="1" applyFont="1" applyAlignment="1">
      <alignment horizontal="center" vertical="center"/>
    </xf>
    <xf numFmtId="198" fontId="60" fillId="0" borderId="0" xfId="19" applyNumberFormat="1" applyFont="1" applyAlignment="1">
      <alignment horizontal="center" vertical="center"/>
    </xf>
    <xf numFmtId="198" fontId="60" fillId="35" borderId="34" xfId="19" applyNumberFormat="1" applyFont="1" applyFill="1" applyBorder="1" applyAlignment="1">
      <alignment vertical="center"/>
    </xf>
    <xf numFmtId="49" fontId="79" fillId="0" borderId="0" xfId="19" applyNumberFormat="1" applyFont="1" applyAlignment="1">
      <alignment horizontal="right" vertical="center"/>
    </xf>
    <xf numFmtId="2" fontId="79" fillId="0" borderId="0" xfId="19" applyNumberFormat="1" applyFont="1" applyAlignment="1">
      <alignment vertical="center"/>
    </xf>
    <xf numFmtId="2" fontId="80" fillId="0" borderId="0" xfId="19" applyNumberFormat="1" applyFont="1" applyAlignment="1">
      <alignment vertical="center"/>
    </xf>
    <xf numFmtId="49" fontId="84" fillId="36" borderId="0" xfId="16" applyNumberFormat="1" applyFont="1" applyFill="1" applyAlignment="1" applyProtection="1">
      <alignment horizontal="center" vertical="center" wrapText="1"/>
      <protection hidden="1"/>
    </xf>
    <xf numFmtId="0" fontId="84" fillId="36" borderId="0" xfId="19" applyFont="1" applyFill="1" applyAlignment="1">
      <alignment horizontal="center" vertical="center" wrapText="1"/>
    </xf>
    <xf numFmtId="0" fontId="84" fillId="36" borderId="0" xfId="16" applyFont="1" applyFill="1" applyAlignment="1" applyProtection="1">
      <alignment horizontal="center" vertical="center" wrapText="1"/>
      <protection hidden="1"/>
    </xf>
    <xf numFmtId="49" fontId="84" fillId="0" borderId="0" xfId="16" applyNumberFormat="1" applyFont="1" applyAlignment="1" applyProtection="1">
      <alignment horizontal="center" vertical="center" wrapText="1"/>
      <protection hidden="1"/>
    </xf>
    <xf numFmtId="0" fontId="84" fillId="0" borderId="0" xfId="19" applyFont="1" applyAlignment="1">
      <alignment horizontal="center" vertical="center" wrapText="1"/>
    </xf>
    <xf numFmtId="0" fontId="84" fillId="0" borderId="0" xfId="16" applyFont="1" applyAlignment="1" applyProtection="1">
      <alignment horizontal="center" vertical="center" wrapText="1"/>
      <protection hidden="1"/>
    </xf>
    <xf numFmtId="49" fontId="84" fillId="37" borderId="0" xfId="16" applyNumberFormat="1" applyFont="1" applyFill="1" applyAlignment="1" applyProtection="1">
      <alignment horizontal="center" vertical="center" wrapText="1"/>
      <protection hidden="1"/>
    </xf>
    <xf numFmtId="0" fontId="60" fillId="37" borderId="0" xfId="19" applyFont="1" applyFill="1" applyAlignment="1">
      <alignment vertical="center"/>
    </xf>
    <xf numFmtId="0" fontId="62" fillId="37" borderId="0" xfId="19" applyFont="1" applyFill="1" applyAlignment="1">
      <alignment vertical="center"/>
    </xf>
    <xf numFmtId="49" fontId="60" fillId="0" borderId="39" xfId="19" applyNumberFormat="1" applyFont="1" applyBorder="1" applyAlignment="1">
      <alignment vertical="center"/>
    </xf>
    <xf numFmtId="0" fontId="60" fillId="0" borderId="39" xfId="19" applyFont="1" applyBorder="1" applyAlignment="1">
      <alignment vertical="center"/>
    </xf>
    <xf numFmtId="2" fontId="61" fillId="0" borderId="33" xfId="2" applyNumberFormat="1" applyFont="1" applyFill="1" applyBorder="1" applyAlignment="1" applyProtection="1">
      <alignment horizontal="center" vertical="center"/>
      <protection hidden="1"/>
    </xf>
    <xf numFmtId="4" fontId="61" fillId="0" borderId="33" xfId="2" applyNumberFormat="1" applyFont="1" applyFill="1" applyBorder="1" applyAlignment="1" applyProtection="1">
      <alignment horizontal="center" vertical="center"/>
      <protection hidden="1"/>
    </xf>
    <xf numFmtId="190" fontId="61" fillId="0" borderId="33" xfId="3" applyNumberFormat="1" applyFont="1" applyFill="1" applyBorder="1" applyAlignment="1" applyProtection="1">
      <alignment horizontal="center" vertical="center"/>
      <protection hidden="1"/>
    </xf>
    <xf numFmtId="49" fontId="83" fillId="0" borderId="0" xfId="16" applyNumberFormat="1" applyFont="1" applyAlignment="1" applyProtection="1">
      <alignment horizontal="left" vertical="center" indent="1"/>
      <protection hidden="1"/>
    </xf>
    <xf numFmtId="0" fontId="60" fillId="0" borderId="0" xfId="19" applyFont="1" applyAlignment="1">
      <alignment horizontal="left" vertical="center" indent="1"/>
    </xf>
    <xf numFmtId="49" fontId="60" fillId="0" borderId="0" xfId="16" applyNumberFormat="1" applyFont="1" applyAlignment="1" applyProtection="1">
      <alignment horizontal="left" vertical="center" indent="1"/>
      <protection hidden="1"/>
    </xf>
    <xf numFmtId="43" fontId="76" fillId="0" borderId="0" xfId="2" applyFont="1" applyFill="1" applyAlignment="1">
      <alignment horizontal="left" vertical="center" indent="1"/>
    </xf>
    <xf numFmtId="49" fontId="74" fillId="0" borderId="0" xfId="16" applyNumberFormat="1" applyFont="1" applyAlignment="1" applyProtection="1">
      <alignment horizontal="left" vertical="center" indent="1"/>
      <protection hidden="1"/>
    </xf>
    <xf numFmtId="49" fontId="77" fillId="0" borderId="0" xfId="16" applyNumberFormat="1" applyFont="1" applyAlignment="1" applyProtection="1">
      <alignment horizontal="left" vertical="center" indent="1"/>
      <protection hidden="1"/>
    </xf>
    <xf numFmtId="49" fontId="61" fillId="0" borderId="0" xfId="16" applyNumberFormat="1" applyFont="1" applyAlignment="1" applyProtection="1">
      <alignment horizontal="left" vertical="center" indent="1"/>
      <protection hidden="1"/>
    </xf>
    <xf numFmtId="190" fontId="61" fillId="0" borderId="0" xfId="3" applyNumberFormat="1" applyFont="1" applyFill="1" applyBorder="1" applyAlignment="1" applyProtection="1">
      <alignment horizontal="left" vertical="center" indent="1"/>
      <protection hidden="1"/>
    </xf>
    <xf numFmtId="49" fontId="60" fillId="0" borderId="0" xfId="19" applyNumberFormat="1" applyFont="1" applyAlignment="1">
      <alignment horizontal="left" vertical="center" indent="1"/>
    </xf>
    <xf numFmtId="49" fontId="60" fillId="35" borderId="32" xfId="19" applyNumberFormat="1" applyFont="1" applyFill="1" applyBorder="1" applyAlignment="1">
      <alignment horizontal="left" vertical="center" indent="1"/>
    </xf>
    <xf numFmtId="0" fontId="82" fillId="0" borderId="0" xfId="19" applyFont="1" applyAlignment="1">
      <alignment horizontal="left" vertical="center" indent="1"/>
    </xf>
    <xf numFmtId="49" fontId="82" fillId="0" borderId="0" xfId="16" applyNumberFormat="1" applyFont="1" applyAlignment="1" applyProtection="1">
      <alignment horizontal="left" vertical="center" indent="1"/>
      <protection hidden="1"/>
    </xf>
    <xf numFmtId="49" fontId="81" fillId="0" borderId="0" xfId="19" applyNumberFormat="1" applyFont="1" applyAlignment="1">
      <alignment vertical="center"/>
    </xf>
    <xf numFmtId="0" fontId="87" fillId="0" borderId="0" xfId="19" applyFont="1" applyAlignment="1">
      <alignment vertical="center"/>
    </xf>
    <xf numFmtId="0" fontId="87" fillId="0" borderId="0" xfId="19" applyFont="1" applyAlignment="1">
      <alignment horizontal="right" vertical="center"/>
    </xf>
    <xf numFmtId="43" fontId="61" fillId="0" borderId="0" xfId="2" applyFont="1" applyFill="1" applyBorder="1" applyAlignment="1" applyProtection="1">
      <alignment horizontal="right" vertical="center"/>
      <protection hidden="1"/>
    </xf>
    <xf numFmtId="0" fontId="70" fillId="0" borderId="0" xfId="0" applyFont="1" applyAlignment="1">
      <alignment horizontal="center" vertical="center"/>
    </xf>
    <xf numFmtId="49" fontId="64" fillId="0" borderId="0" xfId="19" applyNumberFormat="1" applyFont="1" applyAlignment="1">
      <alignment horizontal="left" vertical="center" indent="1"/>
    </xf>
    <xf numFmtId="2" fontId="70" fillId="0" borderId="0" xfId="0" applyNumberFormat="1" applyFont="1" applyAlignment="1">
      <alignment vertical="center"/>
    </xf>
    <xf numFmtId="192" fontId="89" fillId="0" borderId="0" xfId="19" applyNumberFormat="1" applyFont="1" applyAlignment="1">
      <alignment vertical="center"/>
    </xf>
    <xf numFmtId="0" fontId="90" fillId="0" borderId="0" xfId="0" applyFont="1" applyAlignment="1">
      <alignment vertical="center"/>
    </xf>
    <xf numFmtId="0" fontId="70" fillId="0" borderId="0" xfId="0" quotePrefix="1" applyFont="1" applyAlignment="1">
      <alignment vertical="center"/>
    </xf>
    <xf numFmtId="181" fontId="70" fillId="0" borderId="0" xfId="0" applyNumberFormat="1" applyFont="1" applyAlignment="1">
      <alignment horizontal="center" vertical="center"/>
    </xf>
    <xf numFmtId="0" fontId="70" fillId="33" borderId="0" xfId="0" applyFont="1" applyFill="1" applyAlignment="1">
      <alignment horizontal="center" vertical="center"/>
    </xf>
    <xf numFmtId="4" fontId="60" fillId="0" borderId="0" xfId="2" applyNumberFormat="1" applyFont="1" applyFill="1" applyBorder="1" applyAlignment="1">
      <alignment horizontal="center" vertical="center"/>
    </xf>
    <xf numFmtId="185" fontId="60" fillId="0" borderId="0" xfId="0" applyNumberFormat="1" applyFont="1" applyAlignment="1">
      <alignment horizontal="center" vertical="center"/>
    </xf>
    <xf numFmtId="4" fontId="92" fillId="0" borderId="0" xfId="0" applyNumberFormat="1" applyFont="1" applyAlignment="1">
      <alignment horizontal="center" vertical="center"/>
    </xf>
    <xf numFmtId="181" fontId="60" fillId="0" borderId="0" xfId="0" applyNumberFormat="1" applyFont="1" applyAlignment="1">
      <alignment horizontal="center" vertical="center"/>
    </xf>
    <xf numFmtId="3" fontId="93" fillId="0" borderId="0" xfId="2" applyNumberFormat="1" applyFont="1" applyAlignment="1">
      <alignment horizontal="center" vertical="center"/>
    </xf>
    <xf numFmtId="4" fontId="70" fillId="0" borderId="0" xfId="0" applyNumberFormat="1" applyFont="1" applyAlignment="1">
      <alignment horizontal="center" vertical="center" wrapText="1"/>
    </xf>
    <xf numFmtId="4" fontId="70" fillId="0" borderId="0" xfId="0" applyNumberFormat="1" applyFont="1" applyAlignment="1">
      <alignment horizontal="center" vertical="center"/>
    </xf>
    <xf numFmtId="4" fontId="70" fillId="0" borderId="0" xfId="0" applyNumberFormat="1" applyFont="1" applyAlignment="1">
      <alignment vertical="center"/>
    </xf>
    <xf numFmtId="0" fontId="91" fillId="0" borderId="0" xfId="0" applyFont="1" applyAlignment="1">
      <alignment horizontal="center" vertical="center"/>
    </xf>
    <xf numFmtId="180" fontId="92" fillId="0" borderId="0" xfId="0" applyNumberFormat="1" applyFont="1" applyAlignment="1">
      <alignment horizontal="center" vertical="center"/>
    </xf>
    <xf numFmtId="4" fontId="93" fillId="0" borderId="0" xfId="2" applyNumberFormat="1" applyFont="1" applyAlignment="1">
      <alignment horizontal="center" vertical="center"/>
    </xf>
    <xf numFmtId="0" fontId="94" fillId="0" borderId="0" xfId="0" applyFont="1" applyAlignment="1">
      <alignment horizontal="left" vertical="center"/>
    </xf>
    <xf numFmtId="0" fontId="70" fillId="0" borderId="0" xfId="0" applyFont="1" applyAlignment="1">
      <alignment horizontal="left" vertical="center" indent="1"/>
    </xf>
    <xf numFmtId="198" fontId="70" fillId="0" borderId="0" xfId="0" applyNumberFormat="1" applyFont="1" applyAlignment="1">
      <alignment vertical="center"/>
    </xf>
    <xf numFmtId="43" fontId="70" fillId="0" borderId="0" xfId="0" applyNumberFormat="1" applyFont="1" applyAlignment="1">
      <alignment vertical="center"/>
    </xf>
    <xf numFmtId="0" fontId="85" fillId="0" borderId="0" xfId="0" applyFont="1" applyAlignment="1">
      <alignment vertical="center"/>
    </xf>
    <xf numFmtId="4" fontId="85" fillId="0" borderId="0" xfId="0" applyNumberFormat="1" applyFont="1" applyAlignment="1">
      <alignment vertical="center"/>
    </xf>
    <xf numFmtId="187" fontId="70" fillId="0" borderId="0" xfId="0" applyNumberFormat="1" applyFont="1" applyAlignment="1">
      <alignment vertical="center"/>
    </xf>
    <xf numFmtId="185" fontId="60" fillId="0" borderId="0" xfId="0" applyNumberFormat="1" applyFont="1" applyAlignment="1">
      <alignment vertical="center"/>
    </xf>
    <xf numFmtId="4" fontId="60" fillId="0" borderId="0" xfId="0" applyNumberFormat="1" applyFont="1" applyAlignment="1">
      <alignment horizontal="center" vertical="center"/>
    </xf>
    <xf numFmtId="198" fontId="85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right" vertical="center"/>
    </xf>
    <xf numFmtId="185" fontId="71" fillId="0" borderId="0" xfId="0" applyNumberFormat="1" applyFont="1" applyAlignment="1">
      <alignment vertical="center"/>
    </xf>
    <xf numFmtId="183" fontId="85" fillId="0" borderId="0" xfId="26" applyNumberFormat="1" applyFont="1" applyFill="1" applyAlignment="1">
      <alignment horizontal="right" vertical="center"/>
    </xf>
    <xf numFmtId="185" fontId="85" fillId="0" borderId="0" xfId="0" applyNumberFormat="1" applyFont="1" applyAlignment="1">
      <alignment vertical="center"/>
    </xf>
    <xf numFmtId="198" fontId="70" fillId="0" borderId="0" xfId="0" applyNumberFormat="1" applyFont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187" fontId="67" fillId="0" borderId="0" xfId="0" applyNumberFormat="1" applyFont="1" applyAlignment="1">
      <alignment vertical="center"/>
    </xf>
    <xf numFmtId="187" fontId="64" fillId="0" borderId="0" xfId="0" applyNumberFormat="1" applyFont="1" applyAlignment="1">
      <alignment vertical="center"/>
    </xf>
    <xf numFmtId="185" fontId="77" fillId="0" borderId="0" xfId="0" applyNumberFormat="1" applyFont="1" applyAlignment="1">
      <alignment vertical="center"/>
    </xf>
    <xf numFmtId="185" fontId="70" fillId="0" borderId="0" xfId="0" applyNumberFormat="1" applyFont="1" applyAlignment="1">
      <alignment vertical="center"/>
    </xf>
    <xf numFmtId="0" fontId="77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77" fillId="0" borderId="0" xfId="22" applyFont="1" applyAlignment="1">
      <alignment vertical="center"/>
    </xf>
    <xf numFmtId="3" fontId="98" fillId="0" borderId="0" xfId="0" applyNumberFormat="1" applyFont="1"/>
    <xf numFmtId="9" fontId="75" fillId="0" borderId="0" xfId="22" applyNumberFormat="1" applyFont="1" applyAlignment="1">
      <alignment vertical="center"/>
    </xf>
    <xf numFmtId="10" fontId="77" fillId="0" borderId="31" xfId="22" applyNumberFormat="1" applyFont="1" applyBorder="1" applyAlignment="1" applyProtection="1">
      <alignment horizontal="center" vertical="center"/>
      <protection locked="0" hidden="1"/>
    </xf>
    <xf numFmtId="49" fontId="79" fillId="0" borderId="0" xfId="19" applyNumberFormat="1" applyFont="1" applyAlignment="1">
      <alignment horizontal="left" vertical="center" indent="1"/>
    </xf>
    <xf numFmtId="2" fontId="100" fillId="0" borderId="0" xfId="19" applyNumberFormat="1" applyFont="1" applyAlignment="1">
      <alignment vertical="center"/>
    </xf>
    <xf numFmtId="2" fontId="101" fillId="0" borderId="0" xfId="19" applyNumberFormat="1" applyFont="1" applyAlignment="1">
      <alignment vertical="center"/>
    </xf>
    <xf numFmtId="0" fontId="102" fillId="0" borderId="0" xfId="0" applyFont="1" applyAlignment="1">
      <alignment vertical="center"/>
    </xf>
    <xf numFmtId="2" fontId="84" fillId="36" borderId="0" xfId="0" applyNumberFormat="1" applyFont="1" applyFill="1" applyAlignment="1">
      <alignment horizontal="left" vertical="center" wrapText="1" indent="1"/>
    </xf>
    <xf numFmtId="2" fontId="84" fillId="36" borderId="0" xfId="0" applyNumberFormat="1" applyFont="1" applyFill="1" applyAlignment="1">
      <alignment vertical="center" wrapText="1"/>
    </xf>
    <xf numFmtId="2" fontId="84" fillId="36" borderId="0" xfId="0" applyNumberFormat="1" applyFont="1" applyFill="1" applyAlignment="1">
      <alignment horizontal="center" vertical="center" wrapText="1"/>
    </xf>
    <xf numFmtId="0" fontId="84" fillId="36" borderId="0" xfId="0" applyFont="1" applyFill="1" applyAlignment="1">
      <alignment horizontal="center" vertical="center" wrapText="1"/>
    </xf>
    <xf numFmtId="0" fontId="103" fillId="36" borderId="0" xfId="0" applyFont="1" applyFill="1" applyAlignment="1">
      <alignment horizontal="center" vertical="center" wrapText="1"/>
    </xf>
    <xf numFmtId="0" fontId="88" fillId="0" borderId="0" xfId="0" applyFont="1" applyAlignment="1">
      <alignment vertical="center"/>
    </xf>
    <xf numFmtId="0" fontId="102" fillId="0" borderId="0" xfId="0" applyFont="1" applyAlignment="1">
      <alignment horizontal="center" vertical="center" wrapText="1"/>
    </xf>
    <xf numFmtId="2" fontId="84" fillId="0" borderId="0" xfId="0" applyNumberFormat="1" applyFont="1" applyAlignment="1">
      <alignment vertical="center" wrapText="1"/>
    </xf>
    <xf numFmtId="2" fontId="84" fillId="0" borderId="0" xfId="0" applyNumberFormat="1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2" fontId="84" fillId="37" borderId="0" xfId="0" applyNumberFormat="1" applyFont="1" applyFill="1" applyAlignment="1">
      <alignment horizontal="left" vertical="center" wrapText="1" indent="1"/>
    </xf>
    <xf numFmtId="49" fontId="60" fillId="0" borderId="39" xfId="19" applyNumberFormat="1" applyFont="1" applyBorder="1" applyAlignment="1">
      <alignment horizontal="left" vertical="center" indent="1"/>
    </xf>
    <xf numFmtId="0" fontId="62" fillId="0" borderId="39" xfId="19" applyFont="1" applyBorder="1" applyAlignment="1">
      <alignment vertical="center"/>
    </xf>
    <xf numFmtId="0" fontId="70" fillId="0" borderId="39" xfId="0" applyFont="1" applyBorder="1" applyAlignment="1">
      <alignment vertical="center"/>
    </xf>
    <xf numFmtId="0" fontId="60" fillId="0" borderId="0" xfId="28" applyFont="1"/>
    <xf numFmtId="1" fontId="60" fillId="0" borderId="0" xfId="28" applyNumberFormat="1" applyFont="1" applyAlignment="1">
      <alignment horizontal="center"/>
    </xf>
    <xf numFmtId="166" fontId="60" fillId="0" borderId="0" xfId="10" applyFont="1" applyAlignment="1">
      <alignment horizontal="left"/>
    </xf>
    <xf numFmtId="166" fontId="60" fillId="0" borderId="0" xfId="10" applyFont="1" applyAlignment="1">
      <alignment horizontal="center"/>
    </xf>
    <xf numFmtId="176" fontId="60" fillId="0" borderId="0" xfId="28" applyNumberFormat="1" applyFont="1" applyAlignment="1">
      <alignment horizontal="center"/>
    </xf>
    <xf numFmtId="3" fontId="60" fillId="0" borderId="0" xfId="28" applyNumberFormat="1" applyFont="1" applyAlignment="1">
      <alignment horizontal="center"/>
    </xf>
    <xf numFmtId="3" fontId="60" fillId="0" borderId="0" xfId="10" applyNumberFormat="1" applyFont="1" applyAlignment="1">
      <alignment horizontal="center"/>
    </xf>
    <xf numFmtId="3" fontId="60" fillId="0" borderId="0" xfId="10" applyNumberFormat="1" applyFont="1" applyAlignment="1">
      <alignment horizontal="right"/>
    </xf>
    <xf numFmtId="166" fontId="60" fillId="0" borderId="0" xfId="10" applyFont="1" applyAlignment="1">
      <alignment horizontal="right" wrapText="1"/>
    </xf>
    <xf numFmtId="166" fontId="60" fillId="0" borderId="0" xfId="10" applyFont="1" applyAlignment="1">
      <alignment horizontal="right"/>
    </xf>
    <xf numFmtId="49" fontId="64" fillId="0" borderId="0" xfId="19" applyNumberFormat="1" applyFont="1"/>
    <xf numFmtId="2" fontId="65" fillId="0" borderId="0" xfId="19" applyNumberFormat="1" applyFont="1"/>
    <xf numFmtId="0" fontId="63" fillId="0" borderId="0" xfId="19" applyFont="1" applyAlignment="1">
      <alignment horizontal="center"/>
    </xf>
    <xf numFmtId="0" fontId="63" fillId="0" borderId="0" xfId="19" applyFont="1"/>
    <xf numFmtId="2" fontId="67" fillId="0" borderId="0" xfId="19" applyNumberFormat="1" applyFont="1"/>
    <xf numFmtId="4" fontId="60" fillId="0" borderId="0" xfId="19" applyNumberFormat="1" applyFont="1" applyAlignment="1">
      <alignment horizontal="center"/>
    </xf>
    <xf numFmtId="4" fontId="60" fillId="0" borderId="0" xfId="19" applyNumberFormat="1" applyFont="1" applyAlignment="1">
      <alignment horizontal="right"/>
    </xf>
    <xf numFmtId="198" fontId="63" fillId="0" borderId="0" xfId="19" applyNumberFormat="1" applyFont="1" applyAlignment="1">
      <alignment horizontal="right" wrapText="1"/>
    </xf>
    <xf numFmtId="0" fontId="63" fillId="0" borderId="0" xfId="19" applyFont="1" applyAlignment="1">
      <alignment horizontal="right"/>
    </xf>
    <xf numFmtId="198" fontId="63" fillId="0" borderId="0" xfId="19" applyNumberFormat="1" applyFont="1"/>
    <xf numFmtId="1" fontId="67" fillId="0" borderId="0" xfId="19" applyNumberFormat="1" applyFont="1" applyAlignment="1">
      <alignment horizontal="left"/>
    </xf>
    <xf numFmtId="198" fontId="63" fillId="0" borderId="0" xfId="19" applyNumberFormat="1" applyFont="1" applyAlignment="1">
      <alignment horizontal="center"/>
    </xf>
    <xf numFmtId="0" fontId="60" fillId="0" borderId="0" xfId="0" applyFont="1" applyAlignment="1">
      <alignment vertical="top"/>
    </xf>
    <xf numFmtId="2" fontId="60" fillId="0" borderId="0" xfId="0" applyNumberFormat="1" applyFont="1" applyAlignment="1">
      <alignment vertical="top"/>
    </xf>
    <xf numFmtId="3" fontId="63" fillId="0" borderId="0" xfId="19" applyNumberFormat="1" applyFont="1" applyAlignment="1">
      <alignment horizontal="center"/>
    </xf>
    <xf numFmtId="191" fontId="67" fillId="0" borderId="0" xfId="19" applyNumberFormat="1" applyFont="1" applyAlignment="1">
      <alignment horizontal="left"/>
    </xf>
    <xf numFmtId="4" fontId="60" fillId="0" borderId="0" xfId="28" applyNumberFormat="1" applyFont="1" applyAlignment="1">
      <alignment horizontal="center"/>
    </xf>
    <xf numFmtId="3" fontId="63" fillId="0" borderId="0" xfId="19" applyNumberFormat="1" applyFont="1" applyAlignment="1">
      <alignment horizontal="right"/>
    </xf>
    <xf numFmtId="0" fontId="63" fillId="0" borderId="0" xfId="19" applyFont="1" applyAlignment="1">
      <alignment horizontal="right" wrapText="1"/>
    </xf>
    <xf numFmtId="2" fontId="69" fillId="0" borderId="0" xfId="19" applyNumberFormat="1" applyFont="1"/>
    <xf numFmtId="198" fontId="61" fillId="0" borderId="0" xfId="28" applyNumberFormat="1" applyFont="1" applyAlignment="1">
      <alignment horizontal="center"/>
    </xf>
    <xf numFmtId="176" fontId="63" fillId="0" borderId="0" xfId="19" applyNumberFormat="1" applyFont="1"/>
    <xf numFmtId="15" fontId="67" fillId="0" borderId="0" xfId="19" applyNumberFormat="1" applyFont="1" applyAlignment="1">
      <alignment horizontal="left"/>
    </xf>
    <xf numFmtId="0" fontId="60" fillId="0" borderId="0" xfId="28" applyFont="1" applyAlignment="1">
      <alignment horizontal="center"/>
    </xf>
    <xf numFmtId="2" fontId="60" fillId="0" borderId="0" xfId="28" applyNumberFormat="1" applyFont="1" applyAlignment="1">
      <alignment horizontal="center"/>
    </xf>
    <xf numFmtId="2" fontId="60" fillId="0" borderId="0" xfId="10" applyNumberFormat="1" applyFont="1" applyAlignment="1">
      <alignment horizontal="left"/>
    </xf>
    <xf numFmtId="2" fontId="60" fillId="0" borderId="0" xfId="10" applyNumberFormat="1" applyFont="1" applyAlignment="1">
      <alignment horizontal="center"/>
    </xf>
    <xf numFmtId="2" fontId="60" fillId="0" borderId="0" xfId="10" applyNumberFormat="1" applyFont="1" applyAlignment="1">
      <alignment horizontal="left" wrapText="1"/>
    </xf>
    <xf numFmtId="0" fontId="92" fillId="0" borderId="0" xfId="28" applyFont="1"/>
    <xf numFmtId="166" fontId="60" fillId="0" borderId="0" xfId="10" applyFont="1" applyFill="1" applyAlignment="1">
      <alignment horizontal="left"/>
    </xf>
    <xf numFmtId="166" fontId="60" fillId="0" borderId="0" xfId="10" applyFont="1" applyFill="1" applyAlignment="1">
      <alignment horizontal="center"/>
    </xf>
    <xf numFmtId="3" fontId="60" fillId="0" borderId="0" xfId="10" applyNumberFormat="1" applyFont="1" applyFill="1" applyAlignment="1">
      <alignment horizontal="right"/>
    </xf>
    <xf numFmtId="181" fontId="94" fillId="0" borderId="0" xfId="28" applyNumberFormat="1" applyFont="1" applyAlignment="1">
      <alignment horizontal="center" vertical="center"/>
    </xf>
    <xf numFmtId="166" fontId="60" fillId="0" borderId="0" xfId="10" applyFont="1" applyFill="1" applyAlignment="1">
      <alignment horizontal="right" wrapText="1"/>
    </xf>
    <xf numFmtId="166" fontId="93" fillId="0" borderId="0" xfId="10" applyFont="1" applyAlignment="1">
      <alignment horizontal="center"/>
    </xf>
    <xf numFmtId="0" fontId="93" fillId="0" borderId="0" xfId="28" applyFont="1" applyAlignment="1">
      <alignment horizontal="center"/>
    </xf>
    <xf numFmtId="3" fontId="60" fillId="0" borderId="0" xfId="10" applyNumberFormat="1" applyFont="1" applyFill="1" applyAlignment="1">
      <alignment horizontal="center"/>
    </xf>
    <xf numFmtId="3" fontId="93" fillId="0" borderId="0" xfId="10" applyNumberFormat="1" applyFont="1" applyFill="1" applyAlignment="1">
      <alignment horizontal="right"/>
    </xf>
    <xf numFmtId="3" fontId="93" fillId="0" borderId="0" xfId="10" applyNumberFormat="1" applyFont="1" applyFill="1" applyAlignment="1">
      <alignment horizontal="center" wrapText="1"/>
    </xf>
    <xf numFmtId="0" fontId="61" fillId="0" borderId="0" xfId="0" applyFont="1"/>
    <xf numFmtId="0" fontId="60" fillId="0" borderId="0" xfId="0" applyFont="1"/>
    <xf numFmtId="3" fontId="93" fillId="0" borderId="0" xfId="28" applyNumberFormat="1" applyFont="1" applyAlignment="1">
      <alignment horizontal="center"/>
    </xf>
    <xf numFmtId="3" fontId="93" fillId="0" borderId="0" xfId="10" applyNumberFormat="1" applyFont="1" applyFill="1" applyAlignment="1">
      <alignment horizontal="center"/>
    </xf>
    <xf numFmtId="166" fontId="60" fillId="0" borderId="0" xfId="10" applyFont="1" applyFill="1" applyAlignment="1">
      <alignment horizontal="right"/>
    </xf>
    <xf numFmtId="166" fontId="93" fillId="0" borderId="0" xfId="10" applyFont="1" applyFill="1" applyAlignment="1">
      <alignment horizontal="right"/>
    </xf>
    <xf numFmtId="0" fontId="93" fillId="0" borderId="0" xfId="28" applyFont="1"/>
    <xf numFmtId="166" fontId="93" fillId="0" borderId="0" xfId="10" applyFont="1" applyFill="1" applyAlignment="1">
      <alignment horizontal="center"/>
    </xf>
    <xf numFmtId="166" fontId="93" fillId="0" borderId="0" xfId="10" applyFont="1" applyFill="1" applyAlignment="1">
      <alignment horizontal="right" wrapText="1"/>
    </xf>
    <xf numFmtId="2" fontId="100" fillId="0" borderId="0" xfId="19" applyNumberFormat="1" applyFont="1"/>
    <xf numFmtId="2" fontId="105" fillId="0" borderId="0" xfId="19" applyNumberFormat="1" applyFont="1"/>
    <xf numFmtId="0" fontId="87" fillId="0" borderId="0" xfId="0" applyFont="1" applyAlignment="1">
      <alignment vertical="center"/>
    </xf>
    <xf numFmtId="181" fontId="84" fillId="36" borderId="0" xfId="0" applyNumberFormat="1" applyFont="1" applyFill="1" applyAlignment="1">
      <alignment horizontal="center" vertical="center" wrapText="1"/>
    </xf>
    <xf numFmtId="0" fontId="87" fillId="0" borderId="0" xfId="28" applyFont="1" applyAlignment="1">
      <alignment vertical="center"/>
    </xf>
    <xf numFmtId="0" fontId="106" fillId="0" borderId="0" xfId="19" applyFont="1"/>
    <xf numFmtId="181" fontId="93" fillId="0" borderId="0" xfId="10" applyNumberFormat="1" applyFont="1" applyFill="1" applyBorder="1" applyAlignment="1">
      <alignment horizontal="center" vertical="center"/>
    </xf>
    <xf numFmtId="181" fontId="93" fillId="0" borderId="0" xfId="10" applyNumberFormat="1" applyFont="1" applyFill="1" applyBorder="1" applyAlignment="1">
      <alignment horizontal="right" vertical="center"/>
    </xf>
    <xf numFmtId="0" fontId="93" fillId="0" borderId="0" xfId="10" applyNumberFormat="1" applyFont="1" applyFill="1" applyBorder="1" applyAlignment="1">
      <alignment horizontal="left" vertical="center"/>
    </xf>
    <xf numFmtId="0" fontId="93" fillId="0" borderId="0" xfId="10" applyNumberFormat="1" applyFont="1" applyFill="1" applyBorder="1" applyAlignment="1">
      <alignment horizontal="center" vertical="center" wrapText="1"/>
    </xf>
    <xf numFmtId="0" fontId="60" fillId="0" borderId="39" xfId="28" applyFont="1" applyBorder="1" applyAlignment="1">
      <alignment horizontal="center"/>
    </xf>
    <xf numFmtId="1" fontId="60" fillId="0" borderId="39" xfId="28" applyNumberFormat="1" applyFont="1" applyBorder="1" applyAlignment="1">
      <alignment horizontal="center"/>
    </xf>
    <xf numFmtId="166" fontId="60" fillId="0" borderId="39" xfId="10" applyFont="1" applyFill="1" applyBorder="1" applyAlignment="1">
      <alignment horizontal="left"/>
    </xf>
    <xf numFmtId="166" fontId="60" fillId="0" borderId="39" xfId="10" applyFont="1" applyFill="1" applyBorder="1" applyAlignment="1">
      <alignment horizontal="center"/>
    </xf>
    <xf numFmtId="176" fontId="60" fillId="0" borderId="39" xfId="28" applyNumberFormat="1" applyFont="1" applyBorder="1" applyAlignment="1">
      <alignment horizontal="center"/>
    </xf>
    <xf numFmtId="3" fontId="60" fillId="0" borderId="39" xfId="28" applyNumberFormat="1" applyFont="1" applyBorder="1" applyAlignment="1">
      <alignment horizontal="center"/>
    </xf>
    <xf numFmtId="3" fontId="60" fillId="0" borderId="39" xfId="10" applyNumberFormat="1" applyFont="1" applyFill="1" applyBorder="1" applyAlignment="1">
      <alignment horizontal="center"/>
    </xf>
    <xf numFmtId="3" fontId="60" fillId="0" borderId="39" xfId="10" applyNumberFormat="1" applyFont="1" applyFill="1" applyBorder="1" applyAlignment="1">
      <alignment horizontal="right"/>
    </xf>
    <xf numFmtId="166" fontId="60" fillId="0" borderId="39" xfId="10" applyFont="1" applyFill="1" applyBorder="1" applyAlignment="1">
      <alignment horizontal="right" wrapText="1"/>
    </xf>
    <xf numFmtId="166" fontId="60" fillId="0" borderId="39" xfId="10" applyFont="1" applyFill="1" applyBorder="1" applyAlignment="1">
      <alignment horizontal="right"/>
    </xf>
    <xf numFmtId="9" fontId="94" fillId="11" borderId="33" xfId="26" applyFont="1" applyFill="1" applyBorder="1" applyAlignment="1" applyProtection="1">
      <alignment horizontal="center" vertical="center"/>
    </xf>
    <xf numFmtId="49" fontId="64" fillId="0" borderId="0" xfId="19" applyNumberFormat="1" applyFont="1" applyAlignment="1">
      <alignment horizontal="left" indent="1"/>
    </xf>
    <xf numFmtId="0" fontId="60" fillId="0" borderId="0" xfId="0" applyFont="1" applyAlignment="1">
      <alignment horizontal="center"/>
    </xf>
    <xf numFmtId="193" fontId="60" fillId="0" borderId="0" xfId="0" applyNumberFormat="1" applyFont="1" applyAlignment="1">
      <alignment horizontal="center"/>
    </xf>
    <xf numFmtId="2" fontId="85" fillId="0" borderId="0" xfId="0" applyNumberFormat="1" applyFont="1"/>
    <xf numFmtId="2" fontId="61" fillId="0" borderId="0" xfId="0" applyNumberFormat="1" applyFont="1" applyAlignment="1">
      <alignment horizontal="center"/>
    </xf>
    <xf numFmtId="0" fontId="61" fillId="0" borderId="0" xfId="0" applyFont="1" applyAlignment="1">
      <alignment horizontal="center"/>
    </xf>
    <xf numFmtId="2" fontId="61" fillId="0" borderId="0" xfId="0" applyNumberFormat="1" applyFont="1"/>
    <xf numFmtId="0" fontId="94" fillId="0" borderId="0" xfId="0" applyFont="1"/>
    <xf numFmtId="181" fontId="61" fillId="0" borderId="0" xfId="0" applyNumberFormat="1" applyFont="1" applyAlignment="1">
      <alignment horizontal="center"/>
    </xf>
    <xf numFmtId="178" fontId="61" fillId="0" borderId="0" xfId="0" applyNumberFormat="1" applyFont="1" applyAlignment="1">
      <alignment horizontal="center"/>
    </xf>
    <xf numFmtId="2" fontId="61" fillId="0" borderId="0" xfId="10" applyNumberFormat="1" applyFont="1" applyFill="1" applyAlignment="1">
      <alignment horizontal="center"/>
    </xf>
    <xf numFmtId="2" fontId="70" fillId="0" borderId="0" xfId="26" applyNumberFormat="1" applyFont="1" applyFill="1" applyAlignment="1">
      <alignment horizontal="center"/>
    </xf>
    <xf numFmtId="166" fontId="61" fillId="0" borderId="0" xfId="10" applyFont="1" applyFill="1" applyAlignment="1"/>
    <xf numFmtId="166" fontId="61" fillId="0" borderId="0" xfId="10" applyFont="1" applyFill="1" applyAlignment="1">
      <alignment horizontal="center"/>
    </xf>
    <xf numFmtId="2" fontId="64" fillId="0" borderId="0" xfId="19" applyNumberFormat="1" applyFont="1"/>
    <xf numFmtId="2" fontId="65" fillId="0" borderId="0" xfId="0" applyNumberFormat="1" applyFont="1" applyAlignment="1">
      <alignment horizontal="center"/>
    </xf>
    <xf numFmtId="0" fontId="63" fillId="0" borderId="0" xfId="0" applyFont="1"/>
    <xf numFmtId="2" fontId="60" fillId="0" borderId="0" xfId="0" applyNumberFormat="1" applyFont="1"/>
    <xf numFmtId="1" fontId="61" fillId="0" borderId="0" xfId="0" applyNumberFormat="1" applyFont="1" applyAlignment="1">
      <alignment horizontal="left"/>
    </xf>
    <xf numFmtId="2" fontId="61" fillId="0" borderId="0" xfId="0" applyNumberFormat="1" applyFont="1" applyAlignment="1">
      <alignment horizontal="right"/>
    </xf>
    <xf numFmtId="0" fontId="93" fillId="0" borderId="0" xfId="0" applyFont="1"/>
    <xf numFmtId="181" fontId="70" fillId="0" borderId="0" xfId="0" applyNumberFormat="1" applyFont="1" applyAlignment="1">
      <alignment horizontal="center"/>
    </xf>
    <xf numFmtId="181" fontId="60" fillId="0" borderId="0" xfId="0" applyNumberFormat="1" applyFont="1" applyAlignment="1">
      <alignment horizontal="center"/>
    </xf>
    <xf numFmtId="178" fontId="60" fillId="0" borderId="0" xfId="0" applyNumberFormat="1" applyFont="1" applyAlignment="1">
      <alignment horizontal="center"/>
    </xf>
    <xf numFmtId="2" fontId="60" fillId="0" borderId="0" xfId="0" applyNumberFormat="1" applyFont="1" applyAlignment="1">
      <alignment horizontal="center"/>
    </xf>
    <xf numFmtId="192" fontId="108" fillId="0" borderId="0" xfId="19" applyNumberFormat="1" applyFont="1" applyAlignment="1">
      <alignment horizontal="left"/>
    </xf>
    <xf numFmtId="2" fontId="60" fillId="0" borderId="0" xfId="10" applyNumberFormat="1" applyFont="1" applyFill="1" applyBorder="1" applyAlignment="1">
      <alignment horizontal="center" vertical="center"/>
    </xf>
    <xf numFmtId="192" fontId="109" fillId="0" borderId="0" xfId="19" applyNumberFormat="1" applyFont="1"/>
    <xf numFmtId="0" fontId="93" fillId="0" borderId="35" xfId="0" applyFont="1" applyBorder="1" applyAlignment="1">
      <alignment vertical="center"/>
    </xf>
    <xf numFmtId="0" fontId="93" fillId="0" borderId="35" xfId="0" applyFont="1" applyBorder="1" applyAlignment="1">
      <alignment horizontal="center" vertical="center"/>
    </xf>
    <xf numFmtId="199" fontId="93" fillId="0" borderId="35" xfId="0" applyNumberFormat="1" applyFont="1" applyBorder="1" applyAlignment="1">
      <alignment horizontal="center" vertical="center"/>
    </xf>
    <xf numFmtId="0" fontId="93" fillId="0" borderId="35" xfId="10" applyNumberFormat="1" applyFont="1" applyFill="1" applyBorder="1" applyAlignment="1">
      <alignment vertical="center"/>
    </xf>
    <xf numFmtId="181" fontId="93" fillId="0" borderId="35" xfId="0" applyNumberFormat="1" applyFont="1" applyBorder="1" applyAlignment="1">
      <alignment horizontal="center" vertical="center"/>
    </xf>
    <xf numFmtId="178" fontId="93" fillId="0" borderId="35" xfId="0" applyNumberFormat="1" applyFont="1" applyBorder="1" applyAlignment="1">
      <alignment horizontal="center" vertical="center"/>
    </xf>
    <xf numFmtId="1" fontId="93" fillId="0" borderId="35" xfId="0" applyNumberFormat="1" applyFont="1" applyBorder="1" applyAlignment="1">
      <alignment horizontal="center" vertical="center"/>
    </xf>
    <xf numFmtId="176" fontId="60" fillId="0" borderId="36" xfId="10" applyNumberFormat="1" applyFont="1" applyFill="1" applyBorder="1" applyAlignment="1">
      <alignment horizontal="center" vertical="center"/>
    </xf>
    <xf numFmtId="2" fontId="60" fillId="0" borderId="35" xfId="10" applyNumberFormat="1" applyFont="1" applyFill="1" applyBorder="1" applyAlignment="1">
      <alignment horizontal="center" vertical="center"/>
    </xf>
    <xf numFmtId="0" fontId="60" fillId="0" borderId="18" xfId="10" applyNumberFormat="1" applyFont="1" applyFill="1" applyBorder="1" applyAlignment="1">
      <alignment horizontal="left" vertical="center"/>
    </xf>
    <xf numFmtId="185" fontId="60" fillId="0" borderId="37" xfId="0" applyNumberFormat="1" applyFont="1" applyBorder="1" applyAlignment="1">
      <alignment horizontal="center" vertical="center"/>
    </xf>
    <xf numFmtId="193" fontId="60" fillId="0" borderId="0" xfId="0" applyNumberFormat="1" applyFont="1"/>
    <xf numFmtId="0" fontId="70" fillId="0" borderId="0" xfId="0" applyFont="1"/>
    <xf numFmtId="199" fontId="60" fillId="0" borderId="0" xfId="0" applyNumberFormat="1" applyFont="1" applyAlignment="1">
      <alignment horizontal="center"/>
    </xf>
    <xf numFmtId="1" fontId="60" fillId="0" borderId="0" xfId="0" applyNumberFormat="1" applyFont="1" applyAlignment="1">
      <alignment horizontal="left"/>
    </xf>
    <xf numFmtId="0" fontId="83" fillId="0" borderId="0" xfId="0" applyFont="1" applyAlignment="1">
      <alignment horizontal="center" vertical="center"/>
    </xf>
    <xf numFmtId="193" fontId="84" fillId="36" borderId="0" xfId="0" applyNumberFormat="1" applyFont="1" applyFill="1" applyAlignment="1">
      <alignment horizontal="center" vertical="center" wrapText="1"/>
    </xf>
    <xf numFmtId="199" fontId="84" fillId="36" borderId="0" xfId="0" applyNumberFormat="1" applyFont="1" applyFill="1" applyAlignment="1">
      <alignment horizontal="center" vertical="center" wrapText="1"/>
    </xf>
    <xf numFmtId="0" fontId="84" fillId="36" borderId="0" xfId="0" applyFont="1" applyFill="1" applyAlignment="1">
      <alignment vertical="center" wrapText="1"/>
    </xf>
    <xf numFmtId="178" fontId="84" fillId="36" borderId="0" xfId="0" applyNumberFormat="1" applyFont="1" applyFill="1" applyAlignment="1">
      <alignment horizontal="center" vertical="center" wrapText="1"/>
    </xf>
    <xf numFmtId="166" fontId="84" fillId="36" borderId="0" xfId="10" applyFont="1" applyFill="1" applyBorder="1" applyAlignment="1">
      <alignment horizontal="center" vertical="center" wrapText="1"/>
    </xf>
    <xf numFmtId="2" fontId="84" fillId="36" borderId="0" xfId="10" applyNumberFormat="1" applyFont="1" applyFill="1" applyBorder="1" applyAlignment="1">
      <alignment horizontal="center" vertical="center" wrapText="1"/>
    </xf>
    <xf numFmtId="182" fontId="84" fillId="36" borderId="0" xfId="10" applyNumberFormat="1" applyFont="1" applyFill="1" applyBorder="1" applyAlignment="1">
      <alignment horizontal="center" vertical="center" wrapText="1"/>
    </xf>
    <xf numFmtId="1" fontId="84" fillId="36" borderId="0" xfId="0" applyNumberFormat="1" applyFont="1" applyFill="1" applyAlignment="1">
      <alignment horizontal="left" vertical="center" wrapText="1"/>
    </xf>
    <xf numFmtId="0" fontId="83" fillId="0" borderId="0" xfId="0" applyFont="1" applyAlignment="1">
      <alignment vertical="center"/>
    </xf>
    <xf numFmtId="199" fontId="84" fillId="0" borderId="0" xfId="0" applyNumberFormat="1" applyFont="1" applyAlignment="1">
      <alignment horizontal="center" vertical="center" wrapText="1"/>
    </xf>
    <xf numFmtId="0" fontId="84" fillId="0" borderId="0" xfId="0" applyFont="1" applyAlignment="1">
      <alignment vertical="center" wrapText="1"/>
    </xf>
    <xf numFmtId="181" fontId="84" fillId="0" borderId="0" xfId="0" applyNumberFormat="1" applyFont="1" applyAlignment="1">
      <alignment horizontal="center" vertical="center" wrapText="1"/>
    </xf>
    <xf numFmtId="178" fontId="84" fillId="0" borderId="0" xfId="0" applyNumberFormat="1" applyFont="1" applyAlignment="1">
      <alignment horizontal="center" vertical="center" wrapText="1"/>
    </xf>
    <xf numFmtId="166" fontId="84" fillId="0" borderId="0" xfId="10" applyFont="1" applyFill="1" applyBorder="1" applyAlignment="1">
      <alignment horizontal="center" vertical="center" wrapText="1"/>
    </xf>
    <xf numFmtId="2" fontId="84" fillId="0" borderId="0" xfId="10" applyNumberFormat="1" applyFont="1" applyFill="1" applyBorder="1" applyAlignment="1">
      <alignment horizontal="center" vertical="center" wrapText="1"/>
    </xf>
    <xf numFmtId="182" fontId="84" fillId="0" borderId="0" xfId="10" applyNumberFormat="1" applyFont="1" applyFill="1" applyBorder="1" applyAlignment="1">
      <alignment horizontal="center" vertical="center" wrapText="1"/>
    </xf>
    <xf numFmtId="1" fontId="84" fillId="0" borderId="0" xfId="0" applyNumberFormat="1" applyFont="1" applyAlignment="1">
      <alignment horizontal="left" vertical="center" wrapText="1"/>
    </xf>
    <xf numFmtId="0" fontId="84" fillId="37" borderId="0" xfId="0" applyFont="1" applyFill="1" applyAlignment="1">
      <alignment horizontal="center" vertical="center" wrapText="1"/>
    </xf>
    <xf numFmtId="193" fontId="84" fillId="37" borderId="0" xfId="0" applyNumberFormat="1" applyFont="1" applyFill="1" applyAlignment="1">
      <alignment horizontal="center" vertical="center" wrapText="1"/>
    </xf>
    <xf numFmtId="2" fontId="84" fillId="37" borderId="0" xfId="0" applyNumberFormat="1" applyFont="1" applyFill="1" applyAlignment="1">
      <alignment vertical="center" wrapText="1"/>
    </xf>
    <xf numFmtId="0" fontId="60" fillId="0" borderId="41" xfId="0" applyFont="1" applyBorder="1" applyAlignment="1">
      <alignment horizontal="center" vertical="center"/>
    </xf>
    <xf numFmtId="193" fontId="60" fillId="0" borderId="41" xfId="0" applyNumberFormat="1" applyFont="1" applyBorder="1" applyAlignment="1">
      <alignment horizontal="center" vertical="center"/>
    </xf>
    <xf numFmtId="2" fontId="67" fillId="0" borderId="0" xfId="19" applyNumberFormat="1" applyFont="1" applyAlignment="1">
      <alignment horizontal="left"/>
    </xf>
    <xf numFmtId="0" fontId="100" fillId="0" borderId="0" xfId="19" applyFont="1" applyAlignment="1">
      <alignment horizontal="left"/>
    </xf>
    <xf numFmtId="2" fontId="105" fillId="0" borderId="0" xfId="19" applyNumberFormat="1" applyFont="1" applyAlignment="1">
      <alignment horizontal="left"/>
    </xf>
    <xf numFmtId="0" fontId="60" fillId="0" borderId="0" xfId="3327" applyFont="1" applyAlignment="1">
      <alignment vertical="center"/>
    </xf>
    <xf numFmtId="0" fontId="61" fillId="0" borderId="0" xfId="3327" applyFont="1" applyAlignment="1">
      <alignment horizontal="right" vertical="center"/>
    </xf>
    <xf numFmtId="0" fontId="61" fillId="0" borderId="0" xfId="3327" applyFont="1" applyAlignment="1">
      <alignment vertical="center"/>
    </xf>
    <xf numFmtId="49" fontId="64" fillId="0" borderId="0" xfId="19" applyNumberFormat="1" applyFont="1" applyAlignment="1">
      <alignment vertical="center"/>
    </xf>
    <xf numFmtId="0" fontId="60" fillId="0" borderId="0" xfId="20" applyFont="1" applyAlignment="1">
      <alignment vertical="center"/>
    </xf>
    <xf numFmtId="0" fontId="60" fillId="0" borderId="0" xfId="23" applyFont="1" applyAlignment="1" applyProtection="1">
      <alignment vertical="center"/>
      <protection hidden="1"/>
    </xf>
    <xf numFmtId="200" fontId="110" fillId="0" borderId="0" xfId="19" applyNumberFormat="1" applyFont="1" applyAlignment="1">
      <alignment vertical="center" wrapText="1"/>
    </xf>
    <xf numFmtId="0" fontId="60" fillId="0" borderId="0" xfId="3327" applyFont="1" applyAlignment="1">
      <alignment vertical="center" wrapText="1"/>
    </xf>
    <xf numFmtId="0" fontId="60" fillId="0" borderId="0" xfId="3327" applyFont="1" applyAlignment="1">
      <alignment horizontal="center" vertical="center" wrapText="1"/>
    </xf>
    <xf numFmtId="0" fontId="61" fillId="0" borderId="0" xfId="20" applyFont="1" applyAlignment="1">
      <alignment horizontal="center" vertical="center"/>
    </xf>
    <xf numFmtId="2" fontId="60" fillId="0" borderId="0" xfId="3327" applyNumberFormat="1" applyFont="1" applyAlignment="1">
      <alignment vertical="center"/>
    </xf>
    <xf numFmtId="2" fontId="60" fillId="0" borderId="0" xfId="23" applyNumberFormat="1" applyFont="1" applyAlignment="1" applyProtection="1">
      <alignment vertical="center"/>
      <protection hidden="1"/>
    </xf>
    <xf numFmtId="0" fontId="61" fillId="0" borderId="0" xfId="23" applyFont="1" applyAlignment="1" applyProtection="1">
      <alignment horizontal="center" vertical="center"/>
      <protection hidden="1"/>
    </xf>
    <xf numFmtId="2" fontId="61" fillId="0" borderId="0" xfId="20" applyNumberFormat="1" applyFont="1" applyAlignment="1">
      <alignment horizontal="center" vertical="center"/>
    </xf>
    <xf numFmtId="2" fontId="61" fillId="0" borderId="0" xfId="3327" applyNumberFormat="1" applyFont="1" applyAlignment="1">
      <alignment horizontal="center" vertical="center"/>
    </xf>
    <xf numFmtId="2" fontId="111" fillId="0" borderId="0" xfId="19" applyNumberFormat="1" applyFont="1" applyAlignment="1">
      <alignment horizontal="center" vertical="center"/>
    </xf>
    <xf numFmtId="15" fontId="64" fillId="0" borderId="0" xfId="19" applyNumberFormat="1" applyFont="1" applyAlignment="1">
      <alignment horizontal="left" vertical="center"/>
    </xf>
    <xf numFmtId="0" fontId="112" fillId="34" borderId="34" xfId="0" applyFont="1" applyFill="1" applyBorder="1" applyAlignment="1">
      <alignment vertical="center"/>
    </xf>
    <xf numFmtId="2" fontId="77" fillId="0" borderId="0" xfId="18" applyNumberFormat="1" applyFont="1" applyAlignment="1" applyProtection="1">
      <alignment vertical="center"/>
      <protection hidden="1"/>
    </xf>
    <xf numFmtId="0" fontId="110" fillId="0" borderId="0" xfId="0" applyFont="1" applyAlignment="1">
      <alignment horizontal="center" vertical="center"/>
    </xf>
    <xf numFmtId="0" fontId="110" fillId="33" borderId="7" xfId="0" applyFont="1" applyFill="1" applyBorder="1" applyAlignment="1">
      <alignment horizontal="center" vertical="center" wrapText="1"/>
    </xf>
    <xf numFmtId="2" fontId="77" fillId="0" borderId="0" xfId="18" applyNumberFormat="1" applyFont="1" applyAlignment="1" applyProtection="1">
      <alignment vertical="center" wrapText="1"/>
      <protection hidden="1"/>
    </xf>
    <xf numFmtId="0" fontId="61" fillId="0" borderId="0" xfId="23" applyFont="1" applyAlignment="1" applyProtection="1">
      <alignment horizontal="center" vertical="center" wrapText="1"/>
      <protection hidden="1"/>
    </xf>
    <xf numFmtId="0" fontId="110" fillId="0" borderId="0" xfId="0" applyFont="1" applyAlignment="1">
      <alignment horizontal="center" vertical="center" wrapText="1"/>
    </xf>
    <xf numFmtId="0" fontId="70" fillId="0" borderId="0" xfId="0" applyFont="1" applyAlignment="1">
      <alignment horizontal="center" vertical="center" wrapText="1"/>
    </xf>
    <xf numFmtId="0" fontId="60" fillId="33" borderId="7" xfId="2517" applyNumberFormat="1" applyFont="1" applyFill="1" applyBorder="1" applyAlignment="1" applyProtection="1">
      <alignment horizontal="center" vertical="center" wrapText="1"/>
      <protection hidden="1"/>
    </xf>
    <xf numFmtId="0" fontId="95" fillId="0" borderId="0" xfId="3327" applyFont="1" applyAlignment="1">
      <alignment vertical="center" wrapText="1"/>
    </xf>
    <xf numFmtId="0" fontId="113" fillId="0" borderId="0" xfId="23" applyFont="1" applyAlignment="1" applyProtection="1">
      <alignment vertical="center"/>
      <protection hidden="1"/>
    </xf>
    <xf numFmtId="0" fontId="114" fillId="0" borderId="0" xfId="0" applyFont="1" applyAlignment="1">
      <alignment horizontal="center" vertical="center"/>
    </xf>
    <xf numFmtId="0" fontId="113" fillId="0" borderId="0" xfId="3327" applyFont="1" applyAlignment="1">
      <alignment vertical="center"/>
    </xf>
    <xf numFmtId="0" fontId="75" fillId="0" borderId="0" xfId="0" applyFont="1" applyAlignment="1">
      <alignment horizontal="center" vertical="center"/>
    </xf>
    <xf numFmtId="0" fontId="115" fillId="32" borderId="0" xfId="0" applyFont="1" applyFill="1" applyAlignment="1">
      <alignment horizontal="center" vertical="center"/>
    </xf>
    <xf numFmtId="0" fontId="95" fillId="0" borderId="0" xfId="3327" applyFont="1" applyAlignment="1">
      <alignment vertical="center"/>
    </xf>
    <xf numFmtId="2" fontId="71" fillId="0" borderId="0" xfId="23" applyNumberFormat="1" applyFont="1" applyAlignment="1" applyProtection="1">
      <alignment horizontal="left" vertical="center"/>
      <protection hidden="1"/>
    </xf>
    <xf numFmtId="2" fontId="61" fillId="0" borderId="0" xfId="18" applyNumberFormat="1" applyFont="1" applyAlignment="1" applyProtection="1">
      <alignment horizontal="center" vertical="center"/>
      <protection hidden="1"/>
    </xf>
    <xf numFmtId="2" fontId="60" fillId="0" borderId="0" xfId="18" applyNumberFormat="1" applyFont="1" applyAlignment="1" applyProtection="1">
      <alignment vertical="center"/>
      <protection hidden="1"/>
    </xf>
    <xf numFmtId="0" fontId="61" fillId="0" borderId="0" xfId="23" applyFont="1" applyAlignment="1" applyProtection="1">
      <alignment horizontal="right" vertical="center"/>
      <protection hidden="1"/>
    </xf>
    <xf numFmtId="2" fontId="70" fillId="0" borderId="0" xfId="23" applyNumberFormat="1" applyFont="1" applyAlignment="1" applyProtection="1">
      <alignment horizontal="right" vertical="center"/>
      <protection hidden="1"/>
    </xf>
    <xf numFmtId="2" fontId="111" fillId="11" borderId="0" xfId="19" applyNumberFormat="1" applyFont="1" applyFill="1" applyAlignment="1">
      <alignment horizontal="center" vertical="center"/>
    </xf>
    <xf numFmtId="183" fontId="60" fillId="0" borderId="0" xfId="18" applyNumberFormat="1" applyFont="1" applyAlignment="1" applyProtection="1">
      <alignment vertical="center"/>
      <protection hidden="1"/>
    </xf>
    <xf numFmtId="2" fontId="85" fillId="0" borderId="0" xfId="23" applyNumberFormat="1" applyFont="1" applyAlignment="1" applyProtection="1">
      <alignment horizontal="right" vertical="center"/>
      <protection hidden="1"/>
    </xf>
    <xf numFmtId="2" fontId="92" fillId="0" borderId="0" xfId="18" applyNumberFormat="1" applyFont="1" applyAlignment="1" applyProtection="1">
      <alignment vertical="center"/>
      <protection hidden="1"/>
    </xf>
    <xf numFmtId="0" fontId="60" fillId="0" borderId="0" xfId="18" applyFont="1" applyAlignment="1" applyProtection="1">
      <alignment vertical="center"/>
      <protection hidden="1"/>
    </xf>
    <xf numFmtId="0" fontId="116" fillId="0" borderId="0" xfId="0" applyFont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60" fillId="0" borderId="0" xfId="23" applyNumberFormat="1" applyFont="1" applyAlignment="1" applyProtection="1">
      <alignment horizontal="right" vertical="center"/>
      <protection hidden="1"/>
    </xf>
    <xf numFmtId="0" fontId="60" fillId="0" borderId="0" xfId="23" applyFont="1" applyAlignment="1" applyProtection="1">
      <alignment horizontal="right" vertical="center"/>
      <protection hidden="1"/>
    </xf>
    <xf numFmtId="183" fontId="70" fillId="0" borderId="0" xfId="0" applyNumberFormat="1" applyFont="1" applyAlignment="1">
      <alignment horizontal="center" vertical="center"/>
    </xf>
    <xf numFmtId="4" fontId="60" fillId="0" borderId="0" xfId="3" applyNumberFormat="1" applyFont="1" applyAlignment="1" applyProtection="1">
      <alignment horizontal="center" vertical="center"/>
      <protection locked="0"/>
    </xf>
    <xf numFmtId="0" fontId="117" fillId="0" borderId="0" xfId="23" applyFont="1" applyAlignment="1" applyProtection="1">
      <alignment horizontal="right" vertical="center"/>
      <protection hidden="1"/>
    </xf>
    <xf numFmtId="4" fontId="92" fillId="0" borderId="0" xfId="3" applyNumberFormat="1" applyFont="1" applyAlignment="1" applyProtection="1">
      <alignment horizontal="center" vertical="center"/>
      <protection locked="0"/>
    </xf>
    <xf numFmtId="4" fontId="61" fillId="0" borderId="0" xfId="3" applyNumberFormat="1" applyFont="1" applyAlignment="1" applyProtection="1">
      <alignment horizontal="center" vertical="center"/>
      <protection hidden="1"/>
    </xf>
    <xf numFmtId="0" fontId="118" fillId="0" borderId="0" xfId="0" applyFont="1" applyAlignment="1">
      <alignment horizontal="center" vertical="center"/>
    </xf>
    <xf numFmtId="183" fontId="60" fillId="0" borderId="0" xfId="18" applyNumberFormat="1" applyFont="1" applyAlignment="1" applyProtection="1">
      <alignment horizontal="center" vertical="center"/>
      <protection hidden="1"/>
    </xf>
    <xf numFmtId="0" fontId="89" fillId="0" borderId="0" xfId="23" applyFont="1" applyAlignment="1" applyProtection="1">
      <alignment horizontal="right" vertical="center"/>
      <protection hidden="1"/>
    </xf>
    <xf numFmtId="4" fontId="89" fillId="0" borderId="0" xfId="3" applyNumberFormat="1" applyFont="1" applyAlignment="1" applyProtection="1">
      <alignment horizontal="center" vertical="center"/>
      <protection locked="0"/>
    </xf>
    <xf numFmtId="2" fontId="77" fillId="0" borderId="0" xfId="18" applyNumberFormat="1" applyFont="1" applyAlignment="1" applyProtection="1">
      <alignment horizontal="center" vertical="center"/>
      <protection hidden="1"/>
    </xf>
    <xf numFmtId="183" fontId="118" fillId="0" borderId="0" xfId="0" applyNumberFormat="1" applyFont="1" applyAlignment="1">
      <alignment horizontal="center" vertical="center"/>
    </xf>
    <xf numFmtId="2" fontId="60" fillId="0" borderId="0" xfId="18" applyNumberFormat="1" applyFont="1" applyAlignment="1" applyProtection="1">
      <alignment horizontal="center" vertical="center"/>
      <protection hidden="1"/>
    </xf>
    <xf numFmtId="183" fontId="116" fillId="0" borderId="0" xfId="0" applyNumberFormat="1" applyFont="1" applyAlignment="1">
      <alignment horizontal="center" vertical="center"/>
    </xf>
    <xf numFmtId="0" fontId="107" fillId="0" borderId="0" xfId="3327" applyFont="1" applyAlignment="1">
      <alignment horizontal="right" vertical="center"/>
    </xf>
    <xf numFmtId="0" fontId="92" fillId="0" borderId="0" xfId="23" applyFont="1" applyAlignment="1" applyProtection="1">
      <alignment horizontal="left" vertical="center"/>
      <protection hidden="1"/>
    </xf>
    <xf numFmtId="10" fontId="61" fillId="0" borderId="0" xfId="2517" applyNumberFormat="1" applyFont="1" applyAlignment="1" applyProtection="1">
      <alignment horizontal="right" vertical="center"/>
      <protection hidden="1"/>
    </xf>
    <xf numFmtId="183" fontId="61" fillId="0" borderId="0" xfId="2517" applyNumberFormat="1" applyFont="1" applyAlignment="1">
      <alignment vertical="center"/>
    </xf>
    <xf numFmtId="0" fontId="61" fillId="0" borderId="0" xfId="23" applyFont="1" applyAlignment="1" applyProtection="1">
      <alignment vertical="center"/>
      <protection hidden="1"/>
    </xf>
    <xf numFmtId="10" fontId="61" fillId="0" borderId="0" xfId="2517" applyNumberFormat="1" applyFont="1" applyAlignment="1">
      <alignment vertical="center"/>
    </xf>
    <xf numFmtId="0" fontId="71" fillId="0" borderId="0" xfId="23" applyFont="1" applyAlignment="1" applyProtection="1">
      <alignment horizontal="center" vertical="center"/>
      <protection hidden="1"/>
    </xf>
    <xf numFmtId="9" fontId="77" fillId="0" borderId="0" xfId="23" applyNumberFormat="1" applyFont="1" applyAlignment="1" applyProtection="1">
      <alignment vertical="center"/>
      <protection hidden="1"/>
    </xf>
    <xf numFmtId="10" fontId="116" fillId="0" borderId="0" xfId="2517" applyNumberFormat="1" applyFont="1" applyAlignment="1">
      <alignment horizontal="center" vertical="center"/>
    </xf>
    <xf numFmtId="0" fontId="61" fillId="0" borderId="0" xfId="23" applyFont="1" applyAlignment="1" applyProtection="1">
      <alignment horizontal="left" vertical="center"/>
      <protection hidden="1"/>
    </xf>
    <xf numFmtId="0" fontId="60" fillId="0" borderId="0" xfId="23" applyFont="1" applyAlignment="1" applyProtection="1">
      <alignment horizontal="left" vertical="center"/>
      <protection hidden="1"/>
    </xf>
    <xf numFmtId="1" fontId="61" fillId="0" borderId="0" xfId="23" applyNumberFormat="1" applyFont="1" applyAlignment="1" applyProtection="1">
      <alignment horizontal="left" vertical="center"/>
      <protection hidden="1"/>
    </xf>
    <xf numFmtId="1" fontId="60" fillId="0" borderId="0" xfId="23" applyNumberFormat="1" applyFont="1" applyAlignment="1" applyProtection="1">
      <alignment vertical="center"/>
      <protection hidden="1"/>
    </xf>
    <xf numFmtId="180" fontId="60" fillId="0" borderId="0" xfId="3327" applyNumberFormat="1" applyFont="1" applyAlignment="1">
      <alignment vertical="center"/>
    </xf>
    <xf numFmtId="180" fontId="60" fillId="0" borderId="0" xfId="23" applyNumberFormat="1" applyFont="1" applyAlignment="1" applyProtection="1">
      <alignment vertical="center"/>
      <protection hidden="1"/>
    </xf>
    <xf numFmtId="180" fontId="60" fillId="0" borderId="0" xfId="3327" applyNumberFormat="1" applyFont="1" applyAlignment="1">
      <alignment horizontal="center" vertical="center"/>
    </xf>
    <xf numFmtId="180" fontId="61" fillId="0" borderId="0" xfId="23" applyNumberFormat="1" applyFont="1" applyAlignment="1" applyProtection="1">
      <alignment horizontal="left" vertical="center"/>
      <protection hidden="1"/>
    </xf>
    <xf numFmtId="180" fontId="60" fillId="0" borderId="0" xfId="3327" applyNumberFormat="1" applyFont="1" applyAlignment="1">
      <alignment horizontal="left" vertical="center"/>
    </xf>
    <xf numFmtId="0" fontId="92" fillId="0" borderId="0" xfId="0" applyFont="1" applyAlignment="1">
      <alignment horizontal="center" vertical="center"/>
    </xf>
    <xf numFmtId="180" fontId="92" fillId="0" borderId="0" xfId="3327" applyNumberFormat="1" applyFont="1" applyAlignment="1">
      <alignment horizontal="left" vertical="center"/>
    </xf>
    <xf numFmtId="180" fontId="60" fillId="0" borderId="0" xfId="23" applyNumberFormat="1" applyFont="1" applyAlignment="1" applyProtection="1">
      <alignment horizontal="center" vertical="center"/>
      <protection hidden="1"/>
    </xf>
    <xf numFmtId="4" fontId="60" fillId="0" borderId="0" xfId="2517" applyNumberFormat="1" applyFont="1" applyAlignment="1" applyProtection="1">
      <alignment horizontal="center" vertical="center"/>
      <protection hidden="1"/>
    </xf>
    <xf numFmtId="0" fontId="60" fillId="0" borderId="0" xfId="3327" applyFont="1" applyAlignment="1">
      <alignment horizontal="center" vertical="center"/>
    </xf>
    <xf numFmtId="0" fontId="119" fillId="0" borderId="0" xfId="0" applyFont="1" applyAlignment="1">
      <alignment horizontal="center" vertical="center"/>
    </xf>
    <xf numFmtId="0" fontId="60" fillId="0" borderId="0" xfId="3327" applyFont="1" applyAlignment="1">
      <alignment horizontal="left" vertical="center"/>
    </xf>
    <xf numFmtId="4" fontId="61" fillId="0" borderId="0" xfId="4" applyNumberFormat="1" applyFont="1" applyAlignment="1" applyProtection="1">
      <alignment horizontal="center" vertical="center"/>
      <protection hidden="1"/>
    </xf>
    <xf numFmtId="10" fontId="60" fillId="0" borderId="0" xfId="2517" applyNumberFormat="1" applyFont="1" applyAlignment="1" applyProtection="1">
      <alignment vertical="center"/>
      <protection hidden="1"/>
    </xf>
    <xf numFmtId="0" fontId="60" fillId="0" borderId="0" xfId="3327" applyFont="1" applyAlignment="1">
      <alignment horizontal="right" vertical="center"/>
    </xf>
    <xf numFmtId="0" fontId="70" fillId="0" borderId="0" xfId="0" applyFont="1" applyAlignment="1">
      <alignment horizontal="left" vertical="center"/>
    </xf>
    <xf numFmtId="10" fontId="60" fillId="0" borderId="0" xfId="3327" applyNumberFormat="1" applyFont="1" applyAlignment="1">
      <alignment vertical="center"/>
    </xf>
    <xf numFmtId="0" fontId="61" fillId="0" borderId="0" xfId="3327" applyFont="1" applyAlignment="1">
      <alignment horizontal="left" vertical="center"/>
    </xf>
    <xf numFmtId="0" fontId="120" fillId="36" borderId="7" xfId="0" applyFont="1" applyFill="1" applyBorder="1" applyAlignment="1">
      <alignment horizontal="center" vertical="center" wrapText="1"/>
    </xf>
    <xf numFmtId="0" fontId="75" fillId="36" borderId="7" xfId="2517" applyNumberFormat="1" applyFont="1" applyFill="1" applyBorder="1" applyAlignment="1" applyProtection="1">
      <alignment horizontal="center" vertical="center" wrapText="1"/>
      <protection hidden="1"/>
    </xf>
    <xf numFmtId="0" fontId="61" fillId="0" borderId="0" xfId="23" applyFont="1" applyAlignment="1" applyProtection="1">
      <alignment horizontal="right" vertical="center" indent="1"/>
      <protection hidden="1"/>
    </xf>
    <xf numFmtId="0" fontId="60" fillId="0" borderId="39" xfId="3327" applyFont="1" applyBorder="1" applyAlignment="1">
      <alignment vertical="center"/>
    </xf>
    <xf numFmtId="0" fontId="118" fillId="0" borderId="39" xfId="0" applyFont="1" applyBorder="1" applyAlignment="1">
      <alignment horizontal="left" vertical="center"/>
    </xf>
    <xf numFmtId="0" fontId="110" fillId="0" borderId="39" xfId="0" applyFont="1" applyBorder="1" applyAlignment="1">
      <alignment horizontal="center" vertical="center"/>
    </xf>
    <xf numFmtId="0" fontId="70" fillId="0" borderId="39" xfId="0" applyFont="1" applyBorder="1" applyAlignment="1">
      <alignment horizontal="center" vertical="center"/>
    </xf>
    <xf numFmtId="2" fontId="71" fillId="0" borderId="0" xfId="16" applyNumberFormat="1" applyFont="1" applyAlignment="1" applyProtection="1">
      <alignment horizontal="left"/>
      <protection hidden="1"/>
    </xf>
    <xf numFmtId="2" fontId="60" fillId="0" borderId="0" xfId="16" applyNumberFormat="1" applyFont="1" applyAlignment="1" applyProtection="1">
      <alignment horizontal="center"/>
      <protection hidden="1"/>
    </xf>
    <xf numFmtId="2" fontId="63" fillId="0" borderId="0" xfId="19" applyNumberFormat="1" applyFont="1" applyAlignment="1">
      <alignment horizontal="left" vertical="top"/>
    </xf>
    <xf numFmtId="192" fontId="78" fillId="0" borderId="0" xfId="0" applyNumberFormat="1" applyFont="1" applyAlignment="1">
      <alignment horizontal="left"/>
    </xf>
    <xf numFmtId="2" fontId="71" fillId="0" borderId="0" xfId="16" applyNumberFormat="1" applyFont="1" applyProtection="1">
      <protection hidden="1"/>
    </xf>
    <xf numFmtId="0" fontId="60" fillId="0" borderId="0" xfId="16" applyFont="1" applyProtection="1">
      <protection hidden="1"/>
    </xf>
    <xf numFmtId="0" fontId="61" fillId="0" borderId="0" xfId="16" applyFont="1" applyAlignment="1" applyProtection="1">
      <alignment horizontal="left"/>
      <protection hidden="1"/>
    </xf>
    <xf numFmtId="0" fontId="60" fillId="0" borderId="0" xfId="16" applyFont="1" applyAlignment="1" applyProtection="1">
      <alignment horizontal="left"/>
      <protection hidden="1"/>
    </xf>
    <xf numFmtId="0" fontId="60" fillId="0" borderId="0" xfId="16" applyFont="1" applyAlignment="1" applyProtection="1">
      <alignment horizontal="center"/>
      <protection hidden="1"/>
    </xf>
    <xf numFmtId="0" fontId="63" fillId="0" borderId="0" xfId="21" applyFont="1" applyProtection="1">
      <protection hidden="1"/>
    </xf>
    <xf numFmtId="167" fontId="61" fillId="0" borderId="0" xfId="6" applyFont="1" applyFill="1" applyBorder="1" applyAlignment="1" applyProtection="1">
      <alignment horizontal="right"/>
      <protection hidden="1"/>
    </xf>
    <xf numFmtId="0" fontId="60" fillId="0" borderId="0" xfId="16" applyFont="1" applyAlignment="1" applyProtection="1">
      <alignment horizontal="right"/>
      <protection hidden="1"/>
    </xf>
    <xf numFmtId="4" fontId="60" fillId="0" borderId="0" xfId="16" applyNumberFormat="1" applyFont="1" applyAlignment="1" applyProtection="1">
      <alignment horizontal="right"/>
      <protection hidden="1"/>
    </xf>
    <xf numFmtId="2" fontId="60" fillId="0" borderId="0" xfId="16" applyNumberFormat="1" applyFont="1" applyProtection="1">
      <protection hidden="1"/>
    </xf>
    <xf numFmtId="185" fontId="60" fillId="0" borderId="0" xfId="16" applyNumberFormat="1" applyFont="1" applyAlignment="1" applyProtection="1">
      <alignment horizontal="center"/>
      <protection hidden="1"/>
    </xf>
    <xf numFmtId="4" fontId="60" fillId="0" borderId="0" xfId="16" applyNumberFormat="1" applyFont="1" applyProtection="1">
      <protection hidden="1"/>
    </xf>
    <xf numFmtId="185" fontId="61" fillId="0" borderId="0" xfId="0" applyNumberFormat="1" applyFont="1"/>
    <xf numFmtId="0" fontId="89" fillId="0" borderId="0" xfId="0" applyFont="1" applyAlignment="1">
      <alignment horizontal="left" indent="4"/>
    </xf>
    <xf numFmtId="185" fontId="60" fillId="0" borderId="0" xfId="0" applyNumberFormat="1" applyFont="1"/>
    <xf numFmtId="0" fontId="61" fillId="0" borderId="0" xfId="0" applyFont="1" applyAlignment="1">
      <alignment horizontal="right" vertical="center"/>
    </xf>
    <xf numFmtId="0" fontId="61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179" fontId="61" fillId="0" borderId="0" xfId="0" applyNumberFormat="1" applyFont="1" applyAlignment="1">
      <alignment horizontal="center"/>
    </xf>
    <xf numFmtId="0" fontId="60" fillId="0" borderId="0" xfId="0" applyFont="1" applyAlignment="1">
      <alignment horizontal="right"/>
    </xf>
    <xf numFmtId="179" fontId="61" fillId="0" borderId="33" xfId="16" applyNumberFormat="1" applyFont="1" applyBorder="1" applyAlignment="1" applyProtection="1">
      <alignment horizontal="center"/>
      <protection hidden="1"/>
    </xf>
    <xf numFmtId="9" fontId="61" fillId="0" borderId="0" xfId="0" applyNumberFormat="1" applyFont="1" applyAlignment="1">
      <alignment horizontal="center"/>
    </xf>
    <xf numFmtId="4" fontId="60" fillId="0" borderId="0" xfId="0" applyNumberFormat="1" applyFont="1"/>
    <xf numFmtId="49" fontId="79" fillId="0" borderId="0" xfId="19" applyNumberFormat="1" applyFont="1"/>
    <xf numFmtId="2" fontId="82" fillId="0" borderId="0" xfId="16" applyNumberFormat="1" applyFont="1" applyAlignment="1" applyProtection="1">
      <alignment horizontal="left"/>
      <protection hidden="1"/>
    </xf>
    <xf numFmtId="189" fontId="97" fillId="0" borderId="43" xfId="22" applyNumberFormat="1" applyFont="1" applyBorder="1" applyAlignment="1">
      <alignment horizontal="center" vertical="center"/>
    </xf>
    <xf numFmtId="183" fontId="74" fillId="0" borderId="43" xfId="22" applyNumberFormat="1" applyFont="1" applyBorder="1" applyAlignment="1" applyProtection="1">
      <alignment horizontal="center" vertical="center"/>
      <protection locked="0" hidden="1"/>
    </xf>
    <xf numFmtId="0" fontId="84" fillId="37" borderId="7" xfId="22" applyFont="1" applyFill="1" applyBorder="1" applyAlignment="1">
      <alignment horizontal="center" vertical="center"/>
    </xf>
    <xf numFmtId="0" fontId="123" fillId="36" borderId="7" xfId="22" applyFont="1" applyFill="1" applyBorder="1" applyAlignment="1">
      <alignment horizontal="center" vertical="center"/>
    </xf>
    <xf numFmtId="3" fontId="93" fillId="0" borderId="44" xfId="0" applyNumberFormat="1" applyFont="1" applyBorder="1" applyAlignment="1">
      <alignment horizontal="center" vertical="center"/>
    </xf>
    <xf numFmtId="181" fontId="93" fillId="0" borderId="44" xfId="10" applyNumberFormat="1" applyFont="1" applyFill="1" applyBorder="1" applyAlignment="1">
      <alignment horizontal="center" vertical="center"/>
    </xf>
    <xf numFmtId="181" fontId="61" fillId="0" borderId="0" xfId="10" applyNumberFormat="1" applyFont="1" applyFill="1" applyAlignment="1">
      <alignment horizontal="center"/>
    </xf>
    <xf numFmtId="0" fontId="93" fillId="35" borderId="0" xfId="3327" applyFont="1" applyFill="1" applyAlignment="1">
      <alignment vertical="center"/>
    </xf>
    <xf numFmtId="0" fontId="125" fillId="35" borderId="0" xfId="0" applyFont="1" applyFill="1" applyAlignment="1">
      <alignment horizontal="center" vertical="center"/>
    </xf>
    <xf numFmtId="0" fontId="124" fillId="35" borderId="0" xfId="0" applyFont="1" applyFill="1" applyAlignment="1">
      <alignment horizontal="right" vertical="center"/>
    </xf>
    <xf numFmtId="0" fontId="124" fillId="35" borderId="0" xfId="0" applyFont="1" applyFill="1" applyAlignment="1">
      <alignment horizontal="center" vertical="center" wrapText="1"/>
    </xf>
    <xf numFmtId="0" fontId="93" fillId="35" borderId="0" xfId="0" applyFont="1" applyFill="1" applyAlignment="1">
      <alignment horizontal="center" vertical="center"/>
    </xf>
    <xf numFmtId="2" fontId="93" fillId="35" borderId="0" xfId="0" applyNumberFormat="1" applyFont="1" applyFill="1" applyAlignment="1">
      <alignment horizontal="right" vertical="center"/>
    </xf>
    <xf numFmtId="2" fontId="93" fillId="35" borderId="0" xfId="0" applyNumberFormat="1" applyFont="1" applyFill="1" applyAlignment="1">
      <alignment horizontal="center" vertical="center"/>
    </xf>
    <xf numFmtId="198" fontId="93" fillId="35" borderId="0" xfId="0" applyNumberFormat="1" applyFont="1" applyFill="1" applyAlignment="1">
      <alignment horizontal="center" vertical="center"/>
    </xf>
    <xf numFmtId="0" fontId="93" fillId="35" borderId="0" xfId="23" applyFont="1" applyFill="1" applyAlignment="1" applyProtection="1">
      <alignment vertical="center"/>
      <protection hidden="1"/>
    </xf>
    <xf numFmtId="2" fontId="93" fillId="35" borderId="42" xfId="0" applyNumberFormat="1" applyFont="1" applyFill="1" applyBorder="1" applyAlignment="1">
      <alignment horizontal="center" vertical="center"/>
    </xf>
    <xf numFmtId="198" fontId="93" fillId="35" borderId="42" xfId="0" applyNumberFormat="1" applyFont="1" applyFill="1" applyBorder="1" applyAlignment="1">
      <alignment horizontal="center" vertical="center"/>
    </xf>
    <xf numFmtId="0" fontId="94" fillId="35" borderId="0" xfId="0" applyFont="1" applyFill="1" applyAlignment="1">
      <alignment horizontal="center" vertical="center"/>
    </xf>
    <xf numFmtId="0" fontId="94" fillId="35" borderId="0" xfId="0" applyFont="1" applyFill="1" applyAlignment="1">
      <alignment horizontal="right" vertical="center"/>
    </xf>
    <xf numFmtId="198" fontId="94" fillId="35" borderId="0" xfId="0" applyNumberFormat="1" applyFont="1" applyFill="1" applyAlignment="1">
      <alignment horizontal="center" vertical="center"/>
    </xf>
    <xf numFmtId="10" fontId="60" fillId="38" borderId="7" xfId="26" applyNumberFormat="1" applyFont="1" applyFill="1" applyBorder="1" applyAlignment="1" applyProtection="1">
      <alignment horizontal="center" vertical="center"/>
      <protection hidden="1"/>
    </xf>
    <xf numFmtId="2" fontId="93" fillId="38" borderId="35" xfId="0" applyNumberFormat="1" applyFont="1" applyFill="1" applyBorder="1" applyAlignment="1">
      <alignment horizontal="center" vertical="center"/>
    </xf>
    <xf numFmtId="2" fontId="60" fillId="38" borderId="40" xfId="2517" applyNumberFormat="1" applyFont="1" applyFill="1" applyBorder="1" applyAlignment="1" applyProtection="1">
      <alignment horizontal="center" vertical="center"/>
      <protection hidden="1"/>
    </xf>
    <xf numFmtId="179" fontId="122" fillId="38" borderId="7" xfId="26" applyNumberFormat="1" applyFont="1" applyFill="1" applyBorder="1" applyAlignment="1" applyProtection="1">
      <alignment horizontal="center" vertical="center"/>
      <protection hidden="1"/>
    </xf>
    <xf numFmtId="190" fontId="60" fillId="38" borderId="40" xfId="26" applyNumberFormat="1" applyFont="1" applyFill="1" applyBorder="1" applyAlignment="1" applyProtection="1">
      <alignment horizontal="center" vertical="center"/>
      <protection hidden="1"/>
    </xf>
    <xf numFmtId="1" fontId="60" fillId="38" borderId="40" xfId="26" applyNumberFormat="1" applyFont="1" applyFill="1" applyBorder="1" applyAlignment="1" applyProtection="1">
      <alignment horizontal="center" vertical="center"/>
      <protection hidden="1"/>
    </xf>
    <xf numFmtId="10" fontId="60" fillId="38" borderId="40" xfId="26" applyNumberFormat="1" applyFont="1" applyFill="1" applyBorder="1" applyAlignment="1" applyProtection="1">
      <alignment horizontal="center" vertical="center"/>
      <protection hidden="1"/>
    </xf>
    <xf numFmtId="0" fontId="60" fillId="0" borderId="0" xfId="0" applyFont="1" applyAlignment="1">
      <alignment vertical="center"/>
    </xf>
    <xf numFmtId="0" fontId="128" fillId="0" borderId="0" xfId="17" applyFont="1" applyAlignment="1">
      <alignment vertical="center"/>
    </xf>
    <xf numFmtId="0" fontId="60" fillId="0" borderId="0" xfId="0" applyFont="1" applyAlignment="1">
      <alignment horizontal="center" vertical="center"/>
    </xf>
    <xf numFmtId="0" fontId="61" fillId="0" borderId="0" xfId="17" applyFont="1" applyAlignment="1">
      <alignment horizontal="center" vertical="center"/>
    </xf>
    <xf numFmtId="2" fontId="128" fillId="0" borderId="0" xfId="17" applyNumberFormat="1" applyFont="1" applyAlignment="1">
      <alignment vertical="center"/>
    </xf>
    <xf numFmtId="2" fontId="65" fillId="0" borderId="0" xfId="17" applyNumberFormat="1" applyFont="1" applyAlignment="1">
      <alignment vertical="center"/>
    </xf>
    <xf numFmtId="1" fontId="67" fillId="0" borderId="0" xfId="19" applyNumberFormat="1" applyFont="1" applyAlignment="1">
      <alignment horizontal="left" vertical="center"/>
    </xf>
    <xf numFmtId="2" fontId="63" fillId="0" borderId="0" xfId="19" applyNumberFormat="1" applyFont="1" applyAlignment="1">
      <alignment horizontal="left" vertical="center"/>
    </xf>
    <xf numFmtId="0" fontId="60" fillId="0" borderId="0" xfId="24" applyFont="1" applyAlignment="1">
      <alignment vertical="center"/>
    </xf>
    <xf numFmtId="2" fontId="60" fillId="0" borderId="0" xfId="24" applyNumberFormat="1" applyFont="1" applyAlignment="1">
      <alignment vertical="center"/>
    </xf>
    <xf numFmtId="0" fontId="60" fillId="0" borderId="0" xfId="17" applyFont="1" applyAlignment="1">
      <alignment vertical="center"/>
    </xf>
    <xf numFmtId="0" fontId="60" fillId="0" borderId="0" xfId="17" applyFont="1" applyAlignment="1">
      <alignment horizontal="left" vertical="center"/>
    </xf>
    <xf numFmtId="0" fontId="60" fillId="0" borderId="0" xfId="17" applyFont="1" applyAlignment="1">
      <alignment vertical="center" wrapText="1"/>
    </xf>
    <xf numFmtId="0" fontId="63" fillId="0" borderId="0" xfId="0" applyFont="1" applyAlignment="1">
      <alignment vertical="center"/>
    </xf>
    <xf numFmtId="0" fontId="128" fillId="37" borderId="0" xfId="17" applyFont="1" applyFill="1" applyAlignment="1">
      <alignment vertical="center"/>
    </xf>
    <xf numFmtId="2" fontId="124" fillId="11" borderId="0" xfId="26" applyNumberFormat="1" applyFont="1" applyFill="1" applyBorder="1" applyAlignment="1" applyProtection="1">
      <alignment horizontal="center" vertical="center"/>
      <protection hidden="1"/>
    </xf>
    <xf numFmtId="0" fontId="88" fillId="0" borderId="0" xfId="0" quotePrefix="1" applyFont="1" applyAlignment="1">
      <alignment vertical="center"/>
    </xf>
    <xf numFmtId="2" fontId="124" fillId="11" borderId="0" xfId="26" applyNumberFormat="1" applyFont="1" applyFill="1" applyBorder="1" applyAlignment="1" applyProtection="1">
      <alignment horizontal="center"/>
      <protection hidden="1"/>
    </xf>
    <xf numFmtId="198" fontId="61" fillId="0" borderId="0" xfId="26" applyNumberFormat="1" applyFont="1" applyFill="1" applyBorder="1"/>
    <xf numFmtId="0" fontId="84" fillId="39" borderId="0" xfId="16" applyFont="1" applyFill="1" applyAlignment="1" applyProtection="1">
      <alignment horizontal="left"/>
      <protection hidden="1"/>
    </xf>
    <xf numFmtId="0" fontId="84" fillId="39" borderId="0" xfId="16" applyFont="1" applyFill="1" applyAlignment="1" applyProtection="1">
      <alignment horizontal="left" vertical="top"/>
      <protection hidden="1"/>
    </xf>
    <xf numFmtId="0" fontId="70" fillId="0" borderId="0" xfId="0" applyFont="1" applyAlignment="1">
      <alignment horizontal="center"/>
    </xf>
    <xf numFmtId="0" fontId="92" fillId="0" borderId="0" xfId="0" applyFont="1" applyAlignment="1">
      <alignment vertical="center" wrapText="1"/>
    </xf>
    <xf numFmtId="0" fontId="70" fillId="37" borderId="0" xfId="0" applyFont="1" applyFill="1"/>
    <xf numFmtId="181" fontId="70" fillId="0" borderId="38" xfId="0" applyNumberFormat="1" applyFont="1" applyBorder="1" applyAlignment="1">
      <alignment horizontal="center" vertical="center"/>
    </xf>
    <xf numFmtId="181" fontId="70" fillId="0" borderId="0" xfId="0" applyNumberFormat="1" applyFont="1" applyAlignment="1">
      <alignment vertical="center"/>
    </xf>
    <xf numFmtId="201" fontId="70" fillId="0" borderId="38" xfId="0" applyNumberFormat="1" applyFont="1" applyBorder="1" applyAlignment="1">
      <alignment horizontal="center" vertical="center"/>
    </xf>
    <xf numFmtId="181" fontId="70" fillId="0" borderId="0" xfId="0" applyNumberFormat="1" applyFont="1"/>
    <xf numFmtId="0" fontId="85" fillId="0" borderId="0" xfId="0" applyFont="1" applyAlignment="1">
      <alignment horizontal="left"/>
    </xf>
    <xf numFmtId="0" fontId="70" fillId="0" borderId="0" xfId="0" applyFont="1" applyAlignment="1">
      <alignment horizontal="left" indent="4"/>
    </xf>
    <xf numFmtId="0" fontId="70" fillId="0" borderId="0" xfId="0" applyFont="1" applyAlignment="1">
      <alignment horizontal="left" indent="1"/>
    </xf>
    <xf numFmtId="0" fontId="64" fillId="0" borderId="0" xfId="0" applyFont="1" applyAlignment="1">
      <alignment horizontal="left" indent="1"/>
    </xf>
    <xf numFmtId="0" fontId="67" fillId="0" borderId="0" xfId="0" applyFont="1" applyAlignment="1">
      <alignment horizontal="left" indent="1"/>
    </xf>
    <xf numFmtId="1" fontId="60" fillId="38" borderId="40" xfId="2517" applyNumberFormat="1" applyFont="1" applyFill="1" applyBorder="1" applyAlignment="1" applyProtection="1">
      <alignment horizontal="center" vertical="center"/>
      <protection hidden="1"/>
    </xf>
    <xf numFmtId="0" fontId="0" fillId="38" borderId="46" xfId="0" applyFill="1" applyBorder="1"/>
    <xf numFmtId="0" fontId="60" fillId="0" borderId="0" xfId="19" applyFont="1" applyAlignment="1">
      <alignment horizontal="center" vertical="center"/>
    </xf>
    <xf numFmtId="0" fontId="60" fillId="0" borderId="39" xfId="19" applyFont="1" applyBorder="1" applyAlignment="1">
      <alignment horizontal="center" vertical="center"/>
    </xf>
    <xf numFmtId="0" fontId="0" fillId="38" borderId="46" xfId="0" applyFill="1" applyBorder="1" applyAlignment="1">
      <alignment horizontal="center"/>
    </xf>
    <xf numFmtId="198" fontId="60" fillId="0" borderId="0" xfId="28" applyNumberFormat="1" applyFont="1" applyAlignment="1">
      <alignment horizontal="center"/>
    </xf>
    <xf numFmtId="198" fontId="93" fillId="0" borderId="0" xfId="0" applyNumberFormat="1" applyFont="1" applyAlignment="1">
      <alignment horizontal="center"/>
    </xf>
    <xf numFmtId="198" fontId="69" fillId="0" borderId="0" xfId="19" applyNumberFormat="1" applyFont="1" applyAlignment="1">
      <alignment horizontal="center"/>
    </xf>
    <xf numFmtId="49" fontId="60" fillId="0" borderId="0" xfId="19" applyNumberFormat="1" applyFont="1" applyAlignment="1">
      <alignment horizontal="center" vertical="center"/>
    </xf>
    <xf numFmtId="49" fontId="60" fillId="0" borderId="39" xfId="19" applyNumberFormat="1" applyFont="1" applyBorder="1" applyAlignment="1">
      <alignment horizontal="center" vertical="center"/>
    </xf>
    <xf numFmtId="2" fontId="84" fillId="37" borderId="0" xfId="0" applyNumberFormat="1" applyFont="1" applyFill="1" applyAlignment="1">
      <alignment horizontal="center" vertical="center" wrapText="1"/>
    </xf>
    <xf numFmtId="183" fontId="89" fillId="41" borderId="45" xfId="2517" applyNumberFormat="1" applyFont="1" applyFill="1" applyBorder="1" applyAlignment="1" applyProtection="1">
      <alignment horizontal="center" vertical="center"/>
      <protection hidden="1"/>
    </xf>
    <xf numFmtId="185" fontId="93" fillId="41" borderId="0" xfId="23" applyNumberFormat="1" applyFont="1" applyFill="1" applyAlignment="1" applyProtection="1">
      <alignment horizontal="center" vertical="center"/>
      <protection hidden="1"/>
    </xf>
    <xf numFmtId="185" fontId="93" fillId="41" borderId="33" xfId="23" applyNumberFormat="1" applyFont="1" applyFill="1" applyBorder="1" applyAlignment="1" applyProtection="1">
      <alignment horizontal="center" vertical="center"/>
      <protection hidden="1"/>
    </xf>
    <xf numFmtId="0" fontId="92" fillId="0" borderId="0" xfId="23" quotePrefix="1" applyFont="1" applyAlignment="1" applyProtection="1">
      <alignment horizontal="left" vertical="center"/>
      <protection hidden="1"/>
    </xf>
    <xf numFmtId="1" fontId="60" fillId="38" borderId="49" xfId="2517" applyNumberFormat="1" applyFont="1" applyFill="1" applyBorder="1" applyAlignment="1" applyProtection="1">
      <alignment horizontal="center" vertical="center"/>
      <protection hidden="1"/>
    </xf>
    <xf numFmtId="180" fontId="60" fillId="0" borderId="50" xfId="3327" applyNumberFormat="1" applyFont="1" applyBorder="1" applyAlignment="1">
      <alignment horizontal="center" vertical="center"/>
    </xf>
    <xf numFmtId="9" fontId="70" fillId="0" borderId="0" xfId="0" applyNumberFormat="1" applyFont="1"/>
    <xf numFmtId="185" fontId="94" fillId="41" borderId="0" xfId="16" applyNumberFormat="1" applyFont="1" applyFill="1" applyAlignment="1" applyProtection="1">
      <alignment horizontal="right"/>
      <protection hidden="1"/>
    </xf>
    <xf numFmtId="185" fontId="93" fillId="41" borderId="0" xfId="16" applyNumberFormat="1" applyFont="1" applyFill="1" applyAlignment="1" applyProtection="1">
      <alignment horizontal="right"/>
      <protection locked="0"/>
    </xf>
    <xf numFmtId="185" fontId="93" fillId="41" borderId="0" xfId="16" applyNumberFormat="1" applyFont="1" applyFill="1" applyAlignment="1" applyProtection="1">
      <alignment horizontal="right"/>
      <protection hidden="1"/>
    </xf>
    <xf numFmtId="185" fontId="129" fillId="41" borderId="0" xfId="0" applyNumberFormat="1" applyFont="1" applyFill="1"/>
    <xf numFmtId="181" fontId="88" fillId="0" borderId="0" xfId="0" quotePrefix="1" applyNumberFormat="1" applyFont="1" applyAlignment="1">
      <alignment horizontal="left"/>
    </xf>
    <xf numFmtId="3" fontId="130" fillId="0" borderId="0" xfId="0" applyNumberFormat="1" applyFont="1" applyAlignment="1">
      <alignment horizontal="center" vertical="center"/>
    </xf>
    <xf numFmtId="0" fontId="131" fillId="0" borderId="0" xfId="17" applyFont="1" applyAlignment="1">
      <alignment vertical="center"/>
    </xf>
    <xf numFmtId="0" fontId="131" fillId="0" borderId="0" xfId="17" applyFont="1" applyAlignment="1">
      <alignment horizontal="left" vertical="center"/>
    </xf>
    <xf numFmtId="0" fontId="131" fillId="0" borderId="0" xfId="0" applyFont="1" applyAlignment="1">
      <alignment vertical="center"/>
    </xf>
    <xf numFmtId="0" fontId="133" fillId="0" borderId="0" xfId="0" applyFont="1" applyAlignment="1">
      <alignment vertical="center"/>
    </xf>
    <xf numFmtId="0" fontId="134" fillId="0" borderId="0" xfId="0" applyFont="1" applyAlignment="1">
      <alignment vertical="center"/>
    </xf>
    <xf numFmtId="0" fontId="131" fillId="0" borderId="0" xfId="0" applyFont="1" applyAlignment="1">
      <alignment horizontal="left" vertical="center"/>
    </xf>
    <xf numFmtId="0" fontId="131" fillId="0" borderId="0" xfId="0" applyFont="1" applyAlignment="1">
      <alignment vertical="center" wrapText="1"/>
    </xf>
    <xf numFmtId="0" fontId="134" fillId="0" borderId="0" xfId="16" applyFont="1" applyAlignment="1" applyProtection="1">
      <alignment horizontal="left" vertical="center"/>
      <protection hidden="1"/>
    </xf>
    <xf numFmtId="0" fontId="131" fillId="0" borderId="0" xfId="17" applyFont="1" applyAlignment="1">
      <alignment horizontal="center" vertical="center"/>
    </xf>
    <xf numFmtId="0" fontId="131" fillId="0" borderId="0" xfId="0" applyFont="1" applyAlignment="1">
      <alignment horizontal="center" vertical="center"/>
    </xf>
    <xf numFmtId="0" fontId="131" fillId="0" borderId="0" xfId="19" applyFont="1" applyAlignment="1">
      <alignment vertical="center"/>
    </xf>
    <xf numFmtId="0" fontId="131" fillId="37" borderId="0" xfId="19" applyFont="1" applyFill="1" applyAlignment="1">
      <alignment vertical="center"/>
    </xf>
    <xf numFmtId="0" fontId="131" fillId="0" borderId="39" xfId="19" applyFont="1" applyBorder="1" applyAlignment="1">
      <alignment vertical="center"/>
    </xf>
    <xf numFmtId="0" fontId="98" fillId="0" borderId="0" xfId="0" applyFont="1" applyAlignment="1">
      <alignment vertical="center"/>
    </xf>
    <xf numFmtId="192" fontId="135" fillId="0" borderId="0" xfId="0" applyNumberFormat="1" applyFont="1" applyAlignment="1">
      <alignment horizontal="left" vertical="center"/>
    </xf>
    <xf numFmtId="2" fontId="134" fillId="0" borderId="0" xfId="17" applyNumberFormat="1" applyFont="1" applyAlignment="1">
      <alignment horizontal="center" vertical="center"/>
    </xf>
    <xf numFmtId="2" fontId="131" fillId="0" borderId="0" xfId="24" applyNumberFormat="1" applyFont="1" applyAlignment="1">
      <alignment horizontal="center" vertical="center"/>
    </xf>
    <xf numFmtId="0" fontId="134" fillId="0" borderId="0" xfId="17" applyFont="1" applyAlignment="1">
      <alignment horizontal="center" vertical="center"/>
    </xf>
    <xf numFmtId="0" fontId="134" fillId="0" borderId="0" xfId="0" applyFont="1" applyAlignment="1">
      <alignment horizontal="center" vertical="center"/>
    </xf>
    <xf numFmtId="0" fontId="70" fillId="0" borderId="0" xfId="0" applyFont="1" applyAlignment="1">
      <alignment vertical="center" wrapText="1"/>
    </xf>
    <xf numFmtId="2" fontId="69" fillId="0" borderId="0" xfId="19" applyNumberFormat="1" applyFont="1" applyAlignment="1">
      <alignment vertical="center"/>
    </xf>
    <xf numFmtId="2" fontId="86" fillId="36" borderId="0" xfId="0" applyNumberFormat="1" applyFont="1" applyFill="1" applyAlignment="1">
      <alignment vertical="center" wrapText="1"/>
    </xf>
    <xf numFmtId="2" fontId="86" fillId="36" borderId="0" xfId="0" applyNumberFormat="1" applyFont="1" applyFill="1" applyAlignment="1">
      <alignment horizontal="center" vertical="center" wrapText="1"/>
    </xf>
    <xf numFmtId="2" fontId="94" fillId="11" borderId="0" xfId="26" applyNumberFormat="1" applyFont="1" applyFill="1" applyBorder="1" applyAlignment="1" applyProtection="1">
      <alignment horizontal="center" vertical="center"/>
      <protection hidden="1"/>
    </xf>
    <xf numFmtId="198" fontId="93" fillId="37" borderId="1" xfId="0" applyNumberFormat="1" applyFont="1" applyFill="1" applyBorder="1" applyAlignment="1">
      <alignment horizontal="center" vertical="center"/>
    </xf>
    <xf numFmtId="185" fontId="92" fillId="0" borderId="0" xfId="0" applyNumberFormat="1" applyFont="1" applyAlignment="1">
      <alignment vertical="center" wrapText="1"/>
    </xf>
    <xf numFmtId="0" fontId="60" fillId="42" borderId="0" xfId="0" applyFont="1" applyFill="1" applyAlignment="1">
      <alignment horizontal="center"/>
    </xf>
    <xf numFmtId="193" fontId="60" fillId="42" borderId="0" xfId="0" applyNumberFormat="1" applyFont="1" applyFill="1"/>
    <xf numFmtId="0" fontId="70" fillId="42" borderId="0" xfId="0" applyFont="1" applyFill="1"/>
    <xf numFmtId="199" fontId="60" fillId="42" borderId="0" xfId="0" applyNumberFormat="1" applyFont="1" applyFill="1" applyAlignment="1">
      <alignment horizontal="center"/>
    </xf>
    <xf numFmtId="0" fontId="60" fillId="42" borderId="0" xfId="0" applyFont="1" applyFill="1"/>
    <xf numFmtId="0" fontId="93" fillId="42" borderId="0" xfId="0" applyFont="1" applyFill="1"/>
    <xf numFmtId="181" fontId="60" fillId="42" borderId="0" xfId="0" applyNumberFormat="1" applyFont="1" applyFill="1" applyAlignment="1">
      <alignment horizontal="center"/>
    </xf>
    <xf numFmtId="178" fontId="60" fillId="42" borderId="0" xfId="0" applyNumberFormat="1" applyFont="1" applyFill="1" applyAlignment="1">
      <alignment horizontal="center"/>
    </xf>
    <xf numFmtId="2" fontId="60" fillId="42" borderId="0" xfId="0" applyNumberFormat="1" applyFont="1" applyFill="1" applyAlignment="1">
      <alignment horizontal="center"/>
    </xf>
    <xf numFmtId="1" fontId="60" fillId="42" borderId="0" xfId="0" applyNumberFormat="1" applyFont="1" applyFill="1" applyAlignment="1">
      <alignment horizontal="left"/>
    </xf>
    <xf numFmtId="0" fontId="131" fillId="0" borderId="0" xfId="0" applyFont="1" applyAlignment="1">
      <alignment horizontal="left" vertical="center" wrapText="1"/>
    </xf>
    <xf numFmtId="0" fontId="133" fillId="0" borderId="0" xfId="0" applyFont="1" applyAlignment="1">
      <alignment horizontal="center" vertical="center"/>
    </xf>
    <xf numFmtId="0" fontId="14" fillId="0" borderId="33" xfId="0" applyFont="1" applyBorder="1"/>
    <xf numFmtId="0" fontId="31" fillId="0" borderId="0" xfId="0" quotePrefix="1" applyFont="1" applyAlignment="1">
      <alignment horizontal="center"/>
    </xf>
    <xf numFmtId="15" fontId="1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137" fillId="0" borderId="0" xfId="0" applyFont="1"/>
    <xf numFmtId="0" fontId="14" fillId="0" borderId="60" xfId="0" applyFont="1" applyBorder="1"/>
    <xf numFmtId="0" fontId="14" fillId="0" borderId="61" xfId="0" applyFont="1" applyBorder="1"/>
    <xf numFmtId="0" fontId="31" fillId="0" borderId="61" xfId="0" applyFont="1" applyBorder="1" applyAlignment="1">
      <alignment horizontal="center"/>
    </xf>
    <xf numFmtId="0" fontId="14" fillId="0" borderId="62" xfId="0" applyFont="1" applyBorder="1"/>
    <xf numFmtId="0" fontId="14" fillId="0" borderId="63" xfId="0" applyFont="1" applyBorder="1"/>
    <xf numFmtId="0" fontId="14" fillId="0" borderId="64" xfId="0" applyFont="1" applyBorder="1"/>
    <xf numFmtId="0" fontId="14" fillId="0" borderId="65" xfId="0" applyFont="1" applyBorder="1"/>
    <xf numFmtId="0" fontId="14" fillId="0" borderId="66" xfId="0" applyFont="1" applyBorder="1"/>
    <xf numFmtId="0" fontId="14" fillId="0" borderId="67" xfId="0" applyFont="1" applyBorder="1"/>
    <xf numFmtId="0" fontId="14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68" xfId="0" applyFont="1" applyBorder="1"/>
    <xf numFmtId="0" fontId="14" fillId="0" borderId="63" xfId="0" applyFont="1" applyBorder="1" applyAlignment="1">
      <alignment horizontal="right"/>
    </xf>
    <xf numFmtId="15" fontId="14" fillId="0" borderId="0" xfId="0" applyNumberFormat="1" applyFont="1" applyAlignment="1">
      <alignment horizontal="left"/>
    </xf>
    <xf numFmtId="49" fontId="138" fillId="0" borderId="0" xfId="16" applyNumberFormat="1" applyFont="1" applyAlignment="1" applyProtection="1">
      <alignment horizontal="left"/>
      <protection hidden="1"/>
    </xf>
    <xf numFmtId="49" fontId="18" fillId="0" borderId="0" xfId="16" applyNumberFormat="1" applyFont="1" applyAlignment="1" applyProtection="1">
      <alignment horizontal="left"/>
      <protection hidden="1"/>
    </xf>
    <xf numFmtId="49" fontId="18" fillId="0" borderId="0" xfId="19" applyNumberFormat="1" applyFont="1"/>
    <xf numFmtId="190" fontId="18" fillId="10" borderId="72" xfId="26" applyNumberFormat="1" applyFont="1" applyFill="1" applyBorder="1" applyAlignment="1" applyProtection="1">
      <alignment horizontal="center" vertical="center"/>
      <protection hidden="1"/>
    </xf>
    <xf numFmtId="202" fontId="139" fillId="0" borderId="0" xfId="22" applyNumberFormat="1" applyFont="1" applyAlignment="1">
      <alignment vertical="center"/>
    </xf>
    <xf numFmtId="10" fontId="77" fillId="0" borderId="0" xfId="22" applyNumberFormat="1" applyFont="1" applyAlignment="1" applyProtection="1">
      <alignment horizontal="center" vertical="center"/>
      <protection locked="0" hidden="1"/>
    </xf>
    <xf numFmtId="0" fontId="18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60" fillId="0" borderId="0" xfId="0" applyFont="1" applyAlignment="1">
      <alignment vertical="center" wrapText="1"/>
    </xf>
    <xf numFmtId="0" fontId="140" fillId="0" borderId="0" xfId="0" applyFont="1" applyAlignment="1">
      <alignment horizontal="center" vertical="center"/>
    </xf>
    <xf numFmtId="0" fontId="60" fillId="0" borderId="0" xfId="0" applyFont="1" applyAlignment="1">
      <alignment horizontal="right" vertical="center"/>
    </xf>
    <xf numFmtId="0" fontId="89" fillId="0" borderId="0" xfId="0" applyFont="1" applyAlignment="1">
      <alignment horizontal="right" vertical="center"/>
    </xf>
    <xf numFmtId="0" fontId="74" fillId="0" borderId="0" xfId="0" applyFont="1" applyAlignment="1">
      <alignment horizontal="center" vertical="center"/>
    </xf>
    <xf numFmtId="0" fontId="141" fillId="0" borderId="0" xfId="0" applyFont="1" applyAlignment="1">
      <alignment horizontal="center" vertical="center"/>
    </xf>
    <xf numFmtId="185" fontId="60" fillId="0" borderId="73" xfId="0" applyNumberFormat="1" applyFont="1" applyBorder="1" applyAlignment="1">
      <alignment horizontal="center" vertical="center"/>
    </xf>
    <xf numFmtId="0" fontId="85" fillId="0" borderId="0" xfId="0" applyFont="1"/>
    <xf numFmtId="190" fontId="93" fillId="0" borderId="0" xfId="0" applyNumberFormat="1" applyFont="1" applyAlignment="1">
      <alignment vertical="center"/>
    </xf>
    <xf numFmtId="185" fontId="129" fillId="0" borderId="0" xfId="0" applyNumberFormat="1" applyFont="1" applyAlignment="1">
      <alignment vertical="center"/>
    </xf>
    <xf numFmtId="0" fontId="93" fillId="0" borderId="0" xfId="0" applyFont="1" applyAlignment="1">
      <alignment vertical="center"/>
    </xf>
    <xf numFmtId="187" fontId="129" fillId="0" borderId="0" xfId="0" applyNumberFormat="1" applyFont="1" applyAlignment="1">
      <alignment vertical="center"/>
    </xf>
    <xf numFmtId="0" fontId="123" fillId="36" borderId="74" xfId="22" applyFont="1" applyFill="1" applyBorder="1" applyAlignment="1">
      <alignment horizontal="center" vertical="center"/>
    </xf>
    <xf numFmtId="16" fontId="97" fillId="0" borderId="74" xfId="22" applyNumberFormat="1" applyFont="1" applyBorder="1" applyAlignment="1">
      <alignment horizontal="center" vertical="center"/>
    </xf>
    <xf numFmtId="183" fontId="74" fillId="0" borderId="74" xfId="22" applyNumberFormat="1" applyFont="1" applyBorder="1" applyAlignment="1" applyProtection="1">
      <alignment horizontal="center" vertical="center"/>
      <protection locked="0" hidden="1"/>
    </xf>
    <xf numFmtId="184" fontId="60" fillId="0" borderId="0" xfId="19" applyNumberFormat="1" applyFont="1" applyAlignment="1">
      <alignment vertical="center"/>
    </xf>
    <xf numFmtId="0" fontId="107" fillId="0" borderId="0" xfId="16" applyFont="1" applyAlignment="1" applyProtection="1">
      <alignment horizontal="left" vertical="center"/>
      <protection hidden="1"/>
    </xf>
    <xf numFmtId="190" fontId="142" fillId="0" borderId="0" xfId="3" applyNumberFormat="1" applyFont="1" applyFill="1" applyBorder="1" applyAlignment="1" applyProtection="1">
      <alignment horizontal="center" vertical="center"/>
      <protection hidden="1"/>
    </xf>
    <xf numFmtId="183" fontId="89" fillId="43" borderId="45" xfId="2517" applyNumberFormat="1" applyFont="1" applyFill="1" applyBorder="1" applyAlignment="1" applyProtection="1">
      <alignment horizontal="center" vertical="center"/>
      <protection hidden="1"/>
    </xf>
    <xf numFmtId="4" fontId="93" fillId="35" borderId="0" xfId="0" applyNumberFormat="1" applyFont="1" applyFill="1" applyAlignment="1">
      <alignment horizontal="center" vertical="center"/>
    </xf>
    <xf numFmtId="190" fontId="60" fillId="38" borderId="72" xfId="26" applyNumberFormat="1" applyFont="1" applyFill="1" applyBorder="1" applyAlignment="1" applyProtection="1">
      <alignment horizontal="center" vertical="center"/>
      <protection hidden="1"/>
    </xf>
    <xf numFmtId="0" fontId="60" fillId="0" borderId="0" xfId="26" applyNumberFormat="1" applyFont="1" applyFill="1" applyBorder="1" applyAlignment="1" applyProtection="1">
      <alignment horizontal="center" vertical="center"/>
      <protection hidden="1"/>
    </xf>
    <xf numFmtId="190" fontId="75" fillId="41" borderId="40" xfId="26" applyNumberFormat="1" applyFont="1" applyFill="1" applyBorder="1" applyAlignment="1" applyProtection="1">
      <alignment horizontal="center" vertical="center"/>
      <protection hidden="1"/>
    </xf>
    <xf numFmtId="190" fontId="131" fillId="38" borderId="40" xfId="26" applyNumberFormat="1" applyFont="1" applyFill="1" applyBorder="1" applyAlignment="1" applyProtection="1">
      <alignment vertical="center"/>
      <protection hidden="1"/>
    </xf>
    <xf numFmtId="198" fontId="93" fillId="38" borderId="40" xfId="0" applyNumberFormat="1" applyFont="1" applyFill="1" applyBorder="1" applyAlignment="1">
      <alignment horizontal="center" vertical="center"/>
    </xf>
    <xf numFmtId="201" fontId="93" fillId="38" borderId="40" xfId="0" applyNumberFormat="1" applyFont="1" applyFill="1" applyBorder="1" applyAlignment="1">
      <alignment horizontal="center" vertical="center"/>
    </xf>
    <xf numFmtId="4" fontId="94" fillId="41" borderId="0" xfId="3" applyNumberFormat="1" applyFont="1" applyFill="1" applyAlignment="1" applyProtection="1">
      <alignment horizontal="center" vertical="center"/>
      <protection hidden="1"/>
    </xf>
    <xf numFmtId="183" fontId="93" fillId="41" borderId="40" xfId="2517" applyNumberFormat="1" applyFont="1" applyFill="1" applyBorder="1" applyAlignment="1" applyProtection="1">
      <alignment horizontal="center" vertical="center"/>
      <protection hidden="1"/>
    </xf>
    <xf numFmtId="183" fontId="94" fillId="41" borderId="0" xfId="2517" applyNumberFormat="1" applyFont="1" applyFill="1" applyAlignment="1" applyProtection="1">
      <alignment horizontal="center" vertical="center"/>
      <protection hidden="1"/>
    </xf>
    <xf numFmtId="183" fontId="126" fillId="41" borderId="7" xfId="2517" applyNumberFormat="1" applyFont="1" applyFill="1" applyBorder="1" applyAlignment="1" applyProtection="1">
      <alignment horizontal="center" vertical="center"/>
      <protection hidden="1"/>
    </xf>
    <xf numFmtId="198" fontId="75" fillId="41" borderId="40" xfId="0" applyNumberFormat="1" applyFont="1" applyFill="1" applyBorder="1" applyAlignment="1">
      <alignment vertical="center"/>
    </xf>
    <xf numFmtId="0" fontId="75" fillId="37" borderId="0" xfId="0" applyFont="1" applyFill="1" applyAlignment="1">
      <alignment horizontal="center"/>
    </xf>
    <xf numFmtId="0" fontId="75" fillId="0" borderId="0" xfId="0" applyFont="1" applyAlignment="1">
      <alignment horizontal="left"/>
    </xf>
    <xf numFmtId="0" fontId="75" fillId="0" borderId="0" xfId="0" applyFont="1" applyAlignment="1">
      <alignment horizontal="center"/>
    </xf>
    <xf numFmtId="3" fontId="86" fillId="0" borderId="0" xfId="0" applyNumberFormat="1" applyFont="1" applyAlignment="1">
      <alignment horizontal="center"/>
    </xf>
    <xf numFmtId="3" fontId="75" fillId="0" borderId="0" xfId="0" applyNumberFormat="1" applyFont="1" applyAlignment="1">
      <alignment horizontal="center"/>
    </xf>
    <xf numFmtId="3" fontId="75" fillId="0" borderId="0" xfId="0" applyNumberFormat="1" applyFont="1" applyAlignment="1">
      <alignment horizontal="right"/>
    </xf>
    <xf numFmtId="175" fontId="75" fillId="0" borderId="0" xfId="0" applyNumberFormat="1" applyFont="1" applyAlignment="1">
      <alignment horizontal="center"/>
    </xf>
    <xf numFmtId="175" fontId="75" fillId="0" borderId="0" xfId="0" applyNumberFormat="1" applyFont="1" applyAlignment="1">
      <alignment horizontal="left" wrapText="1"/>
    </xf>
    <xf numFmtId="174" fontId="104" fillId="37" borderId="0" xfId="0" applyNumberFormat="1" applyFont="1" applyFill="1" applyAlignment="1">
      <alignment horizontal="center"/>
    </xf>
    <xf numFmtId="178" fontId="93" fillId="0" borderId="44" xfId="0" applyNumberFormat="1" applyFont="1" applyBorder="1" applyAlignment="1">
      <alignment horizontal="center" vertical="center"/>
    </xf>
    <xf numFmtId="176" fontId="60" fillId="0" borderId="44" xfId="0" applyNumberFormat="1" applyFont="1" applyBorder="1" applyAlignment="1">
      <alignment horizontal="center" vertical="center"/>
    </xf>
    <xf numFmtId="1" fontId="60" fillId="0" borderId="44" xfId="0" applyNumberFormat="1" applyFont="1" applyBorder="1" applyAlignment="1">
      <alignment horizontal="center" vertical="center"/>
    </xf>
    <xf numFmtId="2" fontId="93" fillId="0" borderId="44" xfId="0" applyNumberFormat="1" applyFont="1" applyBorder="1" applyAlignment="1">
      <alignment vertical="center"/>
    </xf>
    <xf numFmtId="0" fontId="93" fillId="0" borderId="44" xfId="0" applyFont="1" applyBorder="1" applyAlignment="1">
      <alignment horizontal="center" vertical="center" wrapText="1"/>
    </xf>
    <xf numFmtId="10" fontId="93" fillId="0" borderId="44" xfId="0" applyNumberFormat="1" applyFont="1" applyBorder="1" applyAlignment="1">
      <alignment horizontal="center" vertical="center"/>
    </xf>
    <xf numFmtId="175" fontId="93" fillId="0" borderId="44" xfId="0" applyNumberFormat="1" applyFont="1" applyBorder="1" applyAlignment="1">
      <alignment horizontal="left" vertical="center" wrapText="1"/>
    </xf>
    <xf numFmtId="10" fontId="93" fillId="0" borderId="0" xfId="0" applyNumberFormat="1" applyFont="1" applyAlignment="1">
      <alignment horizontal="center" vertical="center"/>
    </xf>
    <xf numFmtId="175" fontId="93" fillId="0" borderId="0" xfId="0" applyNumberFormat="1" applyFont="1" applyAlignment="1">
      <alignment horizontal="left" vertical="center" wrapText="1"/>
    </xf>
    <xf numFmtId="186" fontId="60" fillId="0" borderId="0" xfId="0" applyNumberFormat="1" applyFont="1" applyAlignment="1">
      <alignment horizontal="center" vertical="center"/>
    </xf>
    <xf numFmtId="1" fontId="60" fillId="0" borderId="0" xfId="28" applyNumberFormat="1" applyFont="1" applyAlignment="1">
      <alignment horizontal="center" vertical="center"/>
    </xf>
    <xf numFmtId="176" fontId="93" fillId="0" borderId="0" xfId="0" applyNumberFormat="1" applyFont="1" applyAlignment="1">
      <alignment horizontal="center" vertical="center"/>
    </xf>
    <xf numFmtId="3" fontId="93" fillId="0" borderId="0" xfId="0" applyNumberFormat="1" applyFont="1" applyAlignment="1">
      <alignment horizontal="center" vertical="center"/>
    </xf>
    <xf numFmtId="181" fontId="94" fillId="11" borderId="33" xfId="0" applyNumberFormat="1" applyFont="1" applyFill="1" applyBorder="1" applyAlignment="1">
      <alignment horizontal="center" vertical="center"/>
    </xf>
    <xf numFmtId="0" fontId="60" fillId="0" borderId="0" xfId="28" applyFont="1" applyAlignment="1">
      <alignment wrapText="1"/>
    </xf>
    <xf numFmtId="0" fontId="61" fillId="11" borderId="0" xfId="28" applyFont="1" applyFill="1" applyAlignment="1">
      <alignment horizontal="center" vertical="center"/>
    </xf>
    <xf numFmtId="190" fontId="131" fillId="38" borderId="45" xfId="26" applyNumberFormat="1" applyFont="1" applyFill="1" applyBorder="1" applyAlignment="1" applyProtection="1">
      <alignment vertical="center"/>
      <protection hidden="1"/>
    </xf>
    <xf numFmtId="0" fontId="132" fillId="0" borderId="0" xfId="0" applyFont="1" applyAlignment="1">
      <alignment vertical="center"/>
    </xf>
    <xf numFmtId="176" fontId="93" fillId="0" borderId="44" xfId="0" applyNumberFormat="1" applyFont="1" applyBorder="1" applyAlignment="1">
      <alignment horizontal="center" vertical="center"/>
    </xf>
    <xf numFmtId="1" fontId="93" fillId="0" borderId="44" xfId="0" applyNumberFormat="1" applyFont="1" applyBorder="1" applyAlignment="1">
      <alignment horizontal="center" vertical="center"/>
    </xf>
    <xf numFmtId="178" fontId="93" fillId="0" borderId="82" xfId="0" applyNumberFormat="1" applyFont="1" applyBorder="1" applyAlignment="1">
      <alignment horizontal="center" vertical="center"/>
    </xf>
    <xf numFmtId="176" fontId="60" fillId="0" borderId="82" xfId="0" applyNumberFormat="1" applyFont="1" applyBorder="1" applyAlignment="1">
      <alignment horizontal="center" vertical="center"/>
    </xf>
    <xf numFmtId="1" fontId="60" fillId="0" borderId="82" xfId="0" applyNumberFormat="1" applyFont="1" applyBorder="1" applyAlignment="1">
      <alignment horizontal="center" vertical="center"/>
    </xf>
    <xf numFmtId="2" fontId="93" fillId="0" borderId="82" xfId="0" applyNumberFormat="1" applyFont="1" applyBorder="1" applyAlignment="1">
      <alignment vertical="center"/>
    </xf>
    <xf numFmtId="0" fontId="93" fillId="0" borderId="82" xfId="0" applyFont="1" applyBorder="1" applyAlignment="1">
      <alignment horizontal="center" vertical="center" wrapText="1"/>
    </xf>
    <xf numFmtId="175" fontId="93" fillId="0" borderId="82" xfId="0" applyNumberFormat="1" applyFont="1" applyBorder="1" applyAlignment="1">
      <alignment horizontal="left" vertical="center" wrapText="1"/>
    </xf>
    <xf numFmtId="0" fontId="146" fillId="0" borderId="0" xfId="0" applyFont="1" applyAlignment="1">
      <alignment vertical="center"/>
    </xf>
    <xf numFmtId="0" fontId="147" fillId="0" borderId="0" xfId="0" applyFont="1" applyAlignment="1">
      <alignment vertical="center"/>
    </xf>
    <xf numFmtId="0" fontId="147" fillId="40" borderId="0" xfId="0" applyFont="1" applyFill="1" applyAlignment="1">
      <alignment vertical="center"/>
    </xf>
    <xf numFmtId="0" fontId="148" fillId="40" borderId="0" xfId="0" applyFont="1" applyFill="1" applyAlignment="1">
      <alignment horizontal="center" vertical="center"/>
    </xf>
    <xf numFmtId="0" fontId="146" fillId="40" borderId="0" xfId="0" applyFont="1" applyFill="1" applyAlignment="1">
      <alignment vertical="center"/>
    </xf>
    <xf numFmtId="0" fontId="149" fillId="40" borderId="0" xfId="0" applyFont="1" applyFill="1" applyAlignment="1">
      <alignment vertical="center"/>
    </xf>
    <xf numFmtId="0" fontId="93" fillId="44" borderId="35" xfId="0" applyFont="1" applyFill="1" applyBorder="1" applyAlignment="1">
      <alignment vertical="center"/>
    </xf>
    <xf numFmtId="0" fontId="61" fillId="44" borderId="0" xfId="0" applyFont="1" applyFill="1" applyAlignment="1">
      <alignment horizontal="center"/>
    </xf>
    <xf numFmtId="185" fontId="85" fillId="0" borderId="0" xfId="0" applyNumberFormat="1" applyFont="1" applyAlignment="1">
      <alignment horizontal="right" vertical="center"/>
    </xf>
    <xf numFmtId="183" fontId="86" fillId="41" borderId="7" xfId="2517" applyNumberFormat="1" applyFont="1" applyFill="1" applyBorder="1" applyAlignment="1" applyProtection="1">
      <alignment horizontal="center" vertical="center"/>
      <protection hidden="1"/>
    </xf>
    <xf numFmtId="183" fontId="75" fillId="45" borderId="40" xfId="2517" applyNumberFormat="1" applyFont="1" applyFill="1" applyBorder="1" applyAlignment="1" applyProtection="1">
      <alignment horizontal="center" vertical="center"/>
      <protection hidden="1"/>
    </xf>
    <xf numFmtId="2" fontId="150" fillId="46" borderId="0" xfId="19" applyNumberFormat="1" applyFont="1" applyFill="1" applyAlignment="1">
      <alignment horizontal="left" vertical="center" wrapText="1" indent="1"/>
    </xf>
    <xf numFmtId="2" fontId="18" fillId="47" borderId="7" xfId="26" applyNumberFormat="1" applyFont="1" applyFill="1" applyBorder="1" applyAlignment="1" applyProtection="1">
      <alignment horizontal="center" vertical="center"/>
      <protection hidden="1"/>
    </xf>
    <xf numFmtId="0" fontId="32" fillId="47" borderId="0" xfId="0" applyFont="1" applyFill="1" applyAlignment="1">
      <alignment horizontal="center"/>
    </xf>
    <xf numFmtId="0" fontId="60" fillId="0" borderId="83" xfId="0" applyFont="1" applyBorder="1" applyAlignment="1">
      <alignment horizontal="left" vertical="center" indent="1"/>
    </xf>
    <xf numFmtId="181" fontId="93" fillId="0" borderId="38" xfId="0" applyNumberFormat="1" applyFont="1" applyBorder="1" applyAlignment="1">
      <alignment horizontal="center" vertical="center"/>
    </xf>
    <xf numFmtId="198" fontId="70" fillId="0" borderId="0" xfId="0" applyNumberFormat="1" applyFont="1"/>
    <xf numFmtId="0" fontId="3" fillId="0" borderId="0" xfId="0" applyFont="1"/>
    <xf numFmtId="0" fontId="18" fillId="0" borderId="0" xfId="3327" applyFont="1"/>
    <xf numFmtId="0" fontId="3" fillId="0" borderId="0" xfId="18" applyFont="1" applyAlignment="1" applyProtection="1">
      <alignment vertical="center"/>
      <protection hidden="1"/>
    </xf>
    <xf numFmtId="0" fontId="18" fillId="0" borderId="0" xfId="3327" applyFont="1" applyAlignment="1">
      <alignment vertical="center"/>
    </xf>
    <xf numFmtId="0" fontId="3" fillId="0" borderId="0" xfId="0" applyFont="1" applyAlignment="1">
      <alignment vertical="center"/>
    </xf>
    <xf numFmtId="0" fontId="151" fillId="0" borderId="0" xfId="3327" applyFont="1" applyAlignment="1">
      <alignment vertical="center"/>
    </xf>
    <xf numFmtId="0" fontId="17" fillId="0" borderId="0" xfId="18" applyFont="1" applyAlignment="1" applyProtection="1">
      <alignment horizontal="right" vertical="center" indent="1"/>
      <protection hidden="1"/>
    </xf>
    <xf numFmtId="0" fontId="152" fillId="0" borderId="0" xfId="3327" applyFont="1" applyAlignment="1">
      <alignment vertical="center"/>
    </xf>
    <xf numFmtId="0" fontId="3" fillId="0" borderId="0" xfId="3327" applyFont="1" applyAlignment="1">
      <alignment vertical="center"/>
    </xf>
    <xf numFmtId="0" fontId="14" fillId="0" borderId="63" xfId="0" applyFont="1" applyBorder="1" applyAlignment="1">
      <alignment horizontal="left" vertical="top" indent="1"/>
    </xf>
    <xf numFmtId="183" fontId="15" fillId="48" borderId="84" xfId="0" applyNumberFormat="1" applyFont="1" applyFill="1" applyBorder="1" applyAlignment="1" applyProtection="1">
      <alignment horizontal="center" vertical="center"/>
      <protection hidden="1"/>
    </xf>
    <xf numFmtId="183" fontId="94" fillId="48" borderId="48" xfId="0" applyNumberFormat="1" applyFont="1" applyFill="1" applyBorder="1" applyAlignment="1" applyProtection="1">
      <alignment horizontal="center" vertical="center"/>
      <protection hidden="1"/>
    </xf>
    <xf numFmtId="0" fontId="61" fillId="0" borderId="0" xfId="23" applyFont="1" applyAlignment="1" applyProtection="1">
      <alignment horizontal="right" vertical="center" indent="2"/>
      <protection hidden="1"/>
    </xf>
    <xf numFmtId="199" fontId="93" fillId="0" borderId="35" xfId="0" applyNumberFormat="1" applyFont="1" applyBorder="1" applyAlignment="1">
      <alignment horizontal="left" vertical="center"/>
    </xf>
    <xf numFmtId="176" fontId="93" fillId="38" borderId="85" xfId="0" applyNumberFormat="1" applyFont="1" applyFill="1" applyBorder="1" applyAlignment="1">
      <alignment horizontal="center" vertical="center"/>
    </xf>
    <xf numFmtId="178" fontId="93" fillId="0" borderId="0" xfId="0" applyNumberFormat="1" applyFont="1" applyAlignment="1">
      <alignment horizontal="center" vertical="center"/>
    </xf>
    <xf numFmtId="176" fontId="60" fillId="0" borderId="0" xfId="0" applyNumberFormat="1" applyFont="1" applyAlignment="1">
      <alignment horizontal="center" vertical="center"/>
    </xf>
    <xf numFmtId="1" fontId="60" fillId="0" borderId="0" xfId="0" applyNumberFormat="1" applyFont="1" applyAlignment="1">
      <alignment horizontal="center" vertical="center"/>
    </xf>
    <xf numFmtId="2" fontId="93" fillId="0" borderId="0" xfId="0" applyNumberFormat="1" applyFont="1" applyAlignment="1">
      <alignment vertical="center"/>
    </xf>
    <xf numFmtId="0" fontId="93" fillId="0" borderId="0" xfId="0" applyFont="1" applyAlignment="1">
      <alignment horizontal="center" vertical="center" wrapText="1"/>
    </xf>
    <xf numFmtId="0" fontId="93" fillId="0" borderId="0" xfId="0" applyFont="1" applyAlignment="1">
      <alignment horizontal="left" vertical="center"/>
    </xf>
    <xf numFmtId="0" fontId="93" fillId="0" borderId="0" xfId="0" quotePrefix="1" applyFont="1" applyAlignment="1">
      <alignment horizontal="left" vertical="center"/>
    </xf>
    <xf numFmtId="176" fontId="93" fillId="0" borderId="82" xfId="0" applyNumberFormat="1" applyFont="1" applyBorder="1" applyAlignment="1">
      <alignment horizontal="center" vertical="center"/>
    </xf>
    <xf numFmtId="1" fontId="93" fillId="0" borderId="82" xfId="0" applyNumberFormat="1" applyFont="1" applyBorder="1" applyAlignment="1">
      <alignment horizontal="center" vertical="center"/>
    </xf>
    <xf numFmtId="173" fontId="86" fillId="36" borderId="0" xfId="0" applyNumberFormat="1" applyFont="1" applyFill="1" applyAlignment="1">
      <alignment horizontal="center" vertical="center" wrapText="1"/>
    </xf>
    <xf numFmtId="173" fontId="86" fillId="36" borderId="0" xfId="0" applyNumberFormat="1" applyFont="1" applyFill="1" applyAlignment="1">
      <alignment horizontal="left" vertical="center" wrapText="1"/>
    </xf>
    <xf numFmtId="2" fontId="86" fillId="36" borderId="0" xfId="10" applyNumberFormat="1" applyFont="1" applyFill="1" applyBorder="1" applyAlignment="1" applyProtection="1">
      <alignment horizontal="left" vertical="center" wrapText="1"/>
    </xf>
    <xf numFmtId="176" fontId="86" fillId="36" borderId="0" xfId="0" applyNumberFormat="1" applyFont="1" applyFill="1" applyAlignment="1">
      <alignment horizontal="center" vertical="center" wrapText="1"/>
    </xf>
    <xf numFmtId="3" fontId="86" fillId="36" borderId="0" xfId="0" applyNumberFormat="1" applyFont="1" applyFill="1" applyAlignment="1">
      <alignment horizontal="center" vertical="center" wrapText="1"/>
    </xf>
    <xf numFmtId="181" fontId="86" fillId="36" borderId="0" xfId="0" applyNumberFormat="1" applyFont="1" applyFill="1" applyAlignment="1">
      <alignment horizontal="center" vertical="center" wrapText="1"/>
    </xf>
    <xf numFmtId="175" fontId="86" fillId="36" borderId="0" xfId="0" applyNumberFormat="1" applyFont="1" applyFill="1" applyAlignment="1">
      <alignment horizontal="center" vertical="center" wrapText="1"/>
    </xf>
    <xf numFmtId="178" fontId="93" fillId="0" borderId="87" xfId="0" applyNumberFormat="1" applyFont="1" applyBorder="1" applyAlignment="1">
      <alignment horizontal="center" vertical="center"/>
    </xf>
    <xf numFmtId="0" fontId="93" fillId="0" borderId="44" xfId="0" applyFont="1" applyBorder="1" applyAlignment="1">
      <alignment horizontal="left" vertical="center"/>
    </xf>
    <xf numFmtId="0" fontId="93" fillId="0" borderId="88" xfId="0" applyFont="1" applyBorder="1" applyAlignment="1">
      <alignment horizontal="center" vertical="center" wrapText="1"/>
    </xf>
    <xf numFmtId="0" fontId="93" fillId="0" borderId="35" xfId="0" applyFont="1" applyBorder="1" applyAlignment="1">
      <alignment horizontal="left" vertical="center"/>
    </xf>
    <xf numFmtId="3" fontId="70" fillId="0" borderId="0" xfId="0" applyNumberFormat="1" applyFont="1" applyAlignment="1">
      <alignment horizontal="center" vertical="center"/>
    </xf>
    <xf numFmtId="3" fontId="60" fillId="0" borderId="0" xfId="0" applyNumberFormat="1" applyFont="1" applyAlignment="1">
      <alignment horizontal="center"/>
    </xf>
    <xf numFmtId="179" fontId="70" fillId="0" borderId="0" xfId="26" applyNumberFormat="1" applyFont="1" applyAlignment="1">
      <alignment horizontal="left" vertical="center"/>
    </xf>
    <xf numFmtId="0" fontId="93" fillId="50" borderId="35" xfId="0" applyFont="1" applyFill="1" applyBorder="1" applyAlignment="1">
      <alignment vertical="center"/>
    </xf>
    <xf numFmtId="0" fontId="75" fillId="0" borderId="0" xfId="19" applyFont="1" applyAlignment="1">
      <alignment vertical="center"/>
    </xf>
    <xf numFmtId="3" fontId="60" fillId="0" borderId="0" xfId="19" applyNumberFormat="1" applyFont="1" applyAlignment="1">
      <alignment horizontal="center" vertical="center"/>
    </xf>
    <xf numFmtId="0" fontId="65" fillId="0" borderId="0" xfId="19" applyFont="1" applyAlignment="1">
      <alignment horizontal="left"/>
    </xf>
    <xf numFmtId="2" fontId="61" fillId="0" borderId="0" xfId="0" applyNumberFormat="1" applyFont="1" applyAlignment="1">
      <alignment horizontal="left"/>
    </xf>
    <xf numFmtId="2" fontId="94" fillId="11" borderId="0" xfId="26" applyNumberFormat="1" applyFont="1" applyFill="1" applyBorder="1" applyAlignment="1" applyProtection="1">
      <alignment horizontal="center"/>
      <protection hidden="1"/>
    </xf>
    <xf numFmtId="0" fontId="70" fillId="38" borderId="46" xfId="0" applyFont="1" applyFill="1" applyBorder="1" applyAlignment="1">
      <alignment horizontal="center"/>
    </xf>
    <xf numFmtId="181" fontId="85" fillId="0" borderId="0" xfId="0" quotePrefix="1" applyNumberFormat="1" applyFont="1" applyAlignment="1">
      <alignment horizontal="left"/>
    </xf>
    <xf numFmtId="2" fontId="69" fillId="0" borderId="0" xfId="19" applyNumberFormat="1" applyFont="1" applyAlignment="1">
      <alignment horizontal="left"/>
    </xf>
    <xf numFmtId="178" fontId="60" fillId="0" borderId="0" xfId="0" quotePrefix="1" applyNumberFormat="1" applyFont="1" applyAlignment="1">
      <alignment horizontal="left"/>
    </xf>
    <xf numFmtId="0" fontId="86" fillId="36" borderId="0" xfId="0" applyFont="1" applyFill="1" applyAlignment="1">
      <alignment horizontal="center" vertical="center" wrapText="1"/>
    </xf>
    <xf numFmtId="193" fontId="86" fillId="36" borderId="0" xfId="0" applyNumberFormat="1" applyFont="1" applyFill="1" applyAlignment="1">
      <alignment horizontal="center" vertical="center" wrapText="1"/>
    </xf>
    <xf numFmtId="199" fontId="86" fillId="36" borderId="0" xfId="0" applyNumberFormat="1" applyFont="1" applyFill="1" applyAlignment="1">
      <alignment horizontal="center" vertical="center" wrapText="1"/>
    </xf>
    <xf numFmtId="0" fontId="86" fillId="36" borderId="0" xfId="0" applyFont="1" applyFill="1" applyAlignment="1">
      <alignment vertical="center" wrapText="1"/>
    </xf>
    <xf numFmtId="178" fontId="86" fillId="36" borderId="0" xfId="0" applyNumberFormat="1" applyFont="1" applyFill="1" applyAlignment="1">
      <alignment horizontal="center" vertical="center" wrapText="1"/>
    </xf>
    <xf numFmtId="166" fontId="86" fillId="36" borderId="0" xfId="10" applyFont="1" applyFill="1" applyBorder="1" applyAlignment="1">
      <alignment horizontal="center" vertical="center" wrapText="1"/>
    </xf>
    <xf numFmtId="2" fontId="86" fillId="36" borderId="0" xfId="10" applyNumberFormat="1" applyFont="1" applyFill="1" applyBorder="1" applyAlignment="1">
      <alignment horizontal="center" vertical="center" wrapText="1"/>
    </xf>
    <xf numFmtId="182" fontId="86" fillId="36" borderId="0" xfId="10" applyNumberFormat="1" applyFont="1" applyFill="1" applyBorder="1" applyAlignment="1">
      <alignment horizontal="center" vertical="center" wrapText="1"/>
    </xf>
    <xf numFmtId="1" fontId="86" fillId="36" borderId="0" xfId="0" applyNumberFormat="1" applyFont="1" applyFill="1" applyAlignment="1">
      <alignment horizontal="left" vertical="center" wrapText="1"/>
    </xf>
    <xf numFmtId="3" fontId="74" fillId="0" borderId="0" xfId="0" applyNumberFormat="1" applyFont="1" applyAlignment="1">
      <alignment horizontal="center" vertical="center"/>
    </xf>
    <xf numFmtId="0" fontId="86" fillId="37" borderId="0" xfId="0" applyFont="1" applyFill="1" applyAlignment="1">
      <alignment horizontal="center" vertical="center" wrapText="1"/>
    </xf>
    <xf numFmtId="193" fontId="86" fillId="37" borderId="0" xfId="0" applyNumberFormat="1" applyFont="1" applyFill="1" applyAlignment="1">
      <alignment horizontal="center" vertical="center" wrapText="1"/>
    </xf>
    <xf numFmtId="2" fontId="86" fillId="37" borderId="0" xfId="0" applyNumberFormat="1" applyFont="1" applyFill="1" applyAlignment="1">
      <alignment horizontal="center" vertical="center" wrapText="1"/>
    </xf>
    <xf numFmtId="2" fontId="86" fillId="37" borderId="0" xfId="0" applyNumberFormat="1" applyFont="1" applyFill="1" applyAlignment="1">
      <alignment vertical="center" wrapText="1"/>
    </xf>
    <xf numFmtId="2" fontId="86" fillId="0" borderId="0" xfId="0" applyNumberFormat="1" applyFont="1" applyAlignment="1">
      <alignment horizontal="center" vertical="center" wrapText="1"/>
    </xf>
    <xf numFmtId="199" fontId="86" fillId="0" borderId="0" xfId="0" applyNumberFormat="1" applyFont="1" applyAlignment="1">
      <alignment horizontal="center" vertical="center" wrapText="1"/>
    </xf>
    <xf numFmtId="2" fontId="86" fillId="0" borderId="0" xfId="0" applyNumberFormat="1" applyFont="1" applyAlignment="1">
      <alignment vertical="center" wrapText="1"/>
    </xf>
    <xf numFmtId="0" fontId="86" fillId="0" borderId="0" xfId="0" applyFont="1" applyAlignment="1">
      <alignment vertical="center" wrapText="1"/>
    </xf>
    <xf numFmtId="0" fontId="86" fillId="0" borderId="0" xfId="0" applyFont="1" applyAlignment="1">
      <alignment horizontal="center" vertical="center" wrapText="1"/>
    </xf>
    <xf numFmtId="181" fontId="86" fillId="0" borderId="0" xfId="0" applyNumberFormat="1" applyFont="1" applyAlignment="1">
      <alignment horizontal="center" vertical="center" wrapText="1"/>
    </xf>
    <xf numFmtId="178" fontId="86" fillId="0" borderId="0" xfId="0" applyNumberFormat="1" applyFont="1" applyAlignment="1">
      <alignment horizontal="center" vertical="center" wrapText="1"/>
    </xf>
    <xf numFmtId="166" fontId="86" fillId="0" borderId="0" xfId="10" applyFont="1" applyFill="1" applyBorder="1" applyAlignment="1">
      <alignment horizontal="center" vertical="center" wrapText="1"/>
    </xf>
    <xf numFmtId="2" fontId="86" fillId="0" borderId="0" xfId="10" applyNumberFormat="1" applyFont="1" applyFill="1" applyBorder="1" applyAlignment="1">
      <alignment horizontal="center" vertical="center" wrapText="1"/>
    </xf>
    <xf numFmtId="182" fontId="86" fillId="0" borderId="0" xfId="10" applyNumberFormat="1" applyFont="1" applyFill="1" applyBorder="1" applyAlignment="1">
      <alignment horizontal="center" vertical="center" wrapText="1"/>
    </xf>
    <xf numFmtId="1" fontId="86" fillId="0" borderId="0" xfId="0" applyNumberFormat="1" applyFont="1" applyAlignment="1">
      <alignment horizontal="left" vertical="center" wrapText="1"/>
    </xf>
    <xf numFmtId="0" fontId="70" fillId="0" borderId="86" xfId="0" applyFont="1" applyBorder="1" applyAlignment="1">
      <alignment vertical="center"/>
    </xf>
    <xf numFmtId="2" fontId="60" fillId="0" borderId="86" xfId="10" applyNumberFormat="1" applyFont="1" applyFill="1" applyBorder="1" applyAlignment="1">
      <alignment horizontal="center" vertical="center"/>
    </xf>
    <xf numFmtId="0" fontId="70" fillId="50" borderId="86" xfId="0" applyFont="1" applyFill="1" applyBorder="1" applyAlignment="1">
      <alignment vertical="center"/>
    </xf>
    <xf numFmtId="3" fontId="60" fillId="0" borderId="0" xfId="0" applyNumberFormat="1" applyFont="1" applyAlignment="1">
      <alignment horizontal="center" vertical="center"/>
    </xf>
    <xf numFmtId="0" fontId="107" fillId="0" borderId="0" xfId="0" applyFont="1"/>
    <xf numFmtId="190" fontId="60" fillId="38" borderId="0" xfId="26" applyNumberFormat="1" applyFont="1" applyFill="1" applyBorder="1" applyAlignment="1" applyProtection="1">
      <alignment horizontal="center" vertical="center"/>
      <protection hidden="1"/>
    </xf>
    <xf numFmtId="198" fontId="75" fillId="41" borderId="0" xfId="0" applyNumberFormat="1" applyFont="1" applyFill="1" applyAlignment="1">
      <alignment vertical="center"/>
    </xf>
    <xf numFmtId="198" fontId="93" fillId="38" borderId="0" xfId="0" applyNumberFormat="1" applyFont="1" applyFill="1" applyAlignment="1">
      <alignment horizontal="center" vertical="center"/>
    </xf>
    <xf numFmtId="201" fontId="93" fillId="38" borderId="0" xfId="0" applyNumberFormat="1" applyFont="1" applyFill="1" applyAlignment="1">
      <alignment horizontal="center" vertical="center"/>
    </xf>
    <xf numFmtId="198" fontId="93" fillId="37" borderId="0" xfId="0" applyNumberFormat="1" applyFont="1" applyFill="1" applyAlignment="1">
      <alignment horizontal="center" vertical="center"/>
    </xf>
    <xf numFmtId="198" fontId="18" fillId="0" borderId="0" xfId="19" applyNumberFormat="1" applyFont="1" applyAlignment="1">
      <alignment vertical="center"/>
    </xf>
    <xf numFmtId="198" fontId="93" fillId="49" borderId="47" xfId="2517" applyNumberFormat="1" applyFont="1" applyFill="1" applyBorder="1" applyAlignment="1" applyProtection="1">
      <alignment horizontal="center" vertical="center"/>
      <protection hidden="1"/>
    </xf>
    <xf numFmtId="183" fontId="93" fillId="49" borderId="40" xfId="2517" applyNumberFormat="1" applyFont="1" applyFill="1" applyBorder="1" applyAlignment="1" applyProtection="1">
      <alignment horizontal="center" vertical="center"/>
      <protection hidden="1"/>
    </xf>
    <xf numFmtId="10" fontId="75" fillId="45" borderId="40" xfId="26" applyNumberFormat="1" applyFont="1" applyFill="1" applyBorder="1" applyAlignment="1" applyProtection="1">
      <alignment horizontal="center" vertical="center"/>
      <protection hidden="1"/>
    </xf>
    <xf numFmtId="0" fontId="99" fillId="0" borderId="0" xfId="22" applyFont="1" applyAlignment="1">
      <alignment horizontal="right" vertical="center" indent="1"/>
    </xf>
    <xf numFmtId="2" fontId="100" fillId="11" borderId="0" xfId="26" applyNumberFormat="1" applyFont="1" applyFill="1" applyBorder="1" applyAlignment="1" applyProtection="1">
      <alignment horizontal="center" vertical="center"/>
      <protection hidden="1"/>
    </xf>
    <xf numFmtId="181" fontId="93" fillId="0" borderId="38" xfId="0" quotePrefix="1" applyNumberFormat="1" applyFont="1" applyBorder="1" applyAlignment="1">
      <alignment horizontal="center" vertical="center"/>
    </xf>
    <xf numFmtId="0" fontId="70" fillId="44" borderId="86" xfId="0" applyFont="1" applyFill="1" applyBorder="1" applyAlignment="1">
      <alignment vertical="center"/>
    </xf>
    <xf numFmtId="178" fontId="93" fillId="37" borderId="44" xfId="0" applyNumberFormat="1" applyFont="1" applyFill="1" applyBorder="1" applyAlignment="1">
      <alignment horizontal="center" vertical="center"/>
    </xf>
    <xf numFmtId="178" fontId="93" fillId="44" borderId="44" xfId="0" applyNumberFormat="1" applyFont="1" applyFill="1" applyBorder="1" applyAlignment="1">
      <alignment horizontal="center" vertical="center"/>
    </xf>
    <xf numFmtId="0" fontId="153" fillId="0" borderId="0" xfId="19" applyFont="1" applyAlignment="1">
      <alignment vertical="center"/>
    </xf>
    <xf numFmtId="0" fontId="153" fillId="0" borderId="0" xfId="0" applyFont="1" applyAlignment="1">
      <alignment horizontal="left" vertical="center"/>
    </xf>
    <xf numFmtId="2" fontId="154" fillId="0" borderId="0" xfId="17" applyNumberFormat="1" applyFont="1" applyAlignment="1">
      <alignment vertical="center"/>
    </xf>
    <xf numFmtId="0" fontId="155" fillId="0" borderId="0" xfId="0" applyFont="1"/>
    <xf numFmtId="0" fontId="156" fillId="0" borderId="0" xfId="0" applyFont="1"/>
    <xf numFmtId="198" fontId="93" fillId="37" borderId="81" xfId="0" applyNumberFormat="1" applyFont="1" applyFill="1" applyBorder="1" applyAlignment="1">
      <alignment horizontal="center" vertical="center"/>
    </xf>
    <xf numFmtId="198" fontId="93" fillId="37" borderId="59" xfId="0" applyNumberFormat="1" applyFont="1" applyFill="1" applyBorder="1" applyAlignment="1">
      <alignment horizontal="center" vertical="center"/>
    </xf>
    <xf numFmtId="0" fontId="67" fillId="0" borderId="13" xfId="0" applyFont="1" applyBorder="1" applyAlignment="1">
      <alignment horizontal="center" vertical="center" wrapText="1"/>
    </xf>
    <xf numFmtId="0" fontId="67" fillId="0" borderId="14" xfId="0" applyFont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67" fillId="0" borderId="16" xfId="0" applyFont="1" applyBorder="1" applyAlignment="1">
      <alignment horizontal="center" vertical="center" wrapText="1"/>
    </xf>
    <xf numFmtId="0" fontId="67" fillId="0" borderId="17" xfId="0" applyFont="1" applyBorder="1" applyAlignment="1">
      <alignment horizontal="center" vertical="center" wrapText="1"/>
    </xf>
    <xf numFmtId="0" fontId="67" fillId="0" borderId="18" xfId="0" applyFont="1" applyBorder="1" applyAlignment="1">
      <alignment horizontal="center" vertical="center" wrapText="1"/>
    </xf>
    <xf numFmtId="0" fontId="112" fillId="0" borderId="51" xfId="0" applyFont="1" applyBorder="1" applyAlignment="1">
      <alignment horizontal="center" vertical="center" wrapText="1"/>
    </xf>
    <xf numFmtId="0" fontId="112" fillId="0" borderId="52" xfId="0" applyFont="1" applyBorder="1" applyAlignment="1">
      <alignment horizontal="center" vertical="center" wrapText="1"/>
    </xf>
    <xf numFmtId="0" fontId="112" fillId="0" borderId="53" xfId="0" applyFont="1" applyBorder="1" applyAlignment="1">
      <alignment horizontal="center" vertical="center" wrapText="1"/>
    </xf>
    <xf numFmtId="0" fontId="112" fillId="0" borderId="54" xfId="0" applyFont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0" fontId="112" fillId="0" borderId="55" xfId="0" applyFont="1" applyBorder="1" applyAlignment="1">
      <alignment horizontal="center" vertical="center" wrapText="1"/>
    </xf>
    <xf numFmtId="0" fontId="112" fillId="0" borderId="56" xfId="0" applyFont="1" applyBorder="1" applyAlignment="1">
      <alignment horizontal="center" vertical="center" wrapText="1"/>
    </xf>
    <xf numFmtId="0" fontId="112" fillId="0" borderId="57" xfId="0" applyFont="1" applyBorder="1" applyAlignment="1">
      <alignment horizontal="center" vertical="center" wrapText="1"/>
    </xf>
    <xf numFmtId="0" fontId="112" fillId="0" borderId="58" xfId="0" applyFont="1" applyBorder="1" applyAlignment="1">
      <alignment horizontal="center" vertical="center" wrapText="1"/>
    </xf>
    <xf numFmtId="0" fontId="69" fillId="0" borderId="13" xfId="0" applyFont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center" vertical="center" wrapText="1"/>
    </xf>
    <xf numFmtId="0" fontId="69" fillId="0" borderId="16" xfId="0" applyFont="1" applyBorder="1" applyAlignment="1">
      <alignment horizontal="center" vertical="center" wrapText="1"/>
    </xf>
    <xf numFmtId="0" fontId="69" fillId="0" borderId="17" xfId="0" applyFont="1" applyBorder="1" applyAlignment="1">
      <alignment horizontal="center" vertical="center" wrapText="1"/>
    </xf>
    <xf numFmtId="0" fontId="69" fillId="0" borderId="18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3" fillId="0" borderId="75" xfId="3327" applyFont="1" applyBorder="1" applyAlignment="1">
      <alignment horizontal="center" vertical="center" wrapText="1"/>
    </xf>
    <xf numFmtId="0" fontId="143" fillId="0" borderId="76" xfId="3327" applyFont="1" applyBorder="1" applyAlignment="1">
      <alignment horizontal="center" vertical="center" wrapText="1"/>
    </xf>
    <xf numFmtId="0" fontId="143" fillId="0" borderId="77" xfId="3327" applyFont="1" applyBorder="1" applyAlignment="1">
      <alignment horizontal="center" vertical="center" wrapText="1"/>
    </xf>
    <xf numFmtId="0" fontId="143" fillId="0" borderId="78" xfId="3327" applyFont="1" applyBorder="1" applyAlignment="1">
      <alignment horizontal="center" vertical="center" wrapText="1"/>
    </xf>
    <xf numFmtId="0" fontId="143" fillId="0" borderId="79" xfId="3327" applyFont="1" applyBorder="1" applyAlignment="1">
      <alignment horizontal="center" vertical="center" wrapText="1"/>
    </xf>
    <xf numFmtId="0" fontId="143" fillId="0" borderId="80" xfId="3327" applyFont="1" applyBorder="1" applyAlignment="1">
      <alignment horizontal="center" vertical="center" wrapText="1"/>
    </xf>
    <xf numFmtId="15" fontId="67" fillId="0" borderId="0" xfId="19" applyNumberFormat="1" applyFont="1" applyAlignment="1">
      <alignment horizontal="left"/>
    </xf>
    <xf numFmtId="15" fontId="64" fillId="0" borderId="0" xfId="19" applyNumberFormat="1" applyFont="1" applyAlignment="1">
      <alignment horizontal="left"/>
    </xf>
    <xf numFmtId="0" fontId="121" fillId="0" borderId="0" xfId="0" applyFont="1" applyAlignment="1">
      <alignment horizontal="center" vertical="center"/>
    </xf>
    <xf numFmtId="0" fontId="112" fillId="34" borderId="32" xfId="0" applyFont="1" applyFill="1" applyBorder="1" applyAlignment="1">
      <alignment horizontal="center" vertical="center"/>
    </xf>
    <xf numFmtId="0" fontId="112" fillId="34" borderId="34" xfId="0" applyFont="1" applyFill="1" applyBorder="1" applyAlignment="1">
      <alignment horizontal="center" vertical="center"/>
    </xf>
    <xf numFmtId="3" fontId="61" fillId="11" borderId="19" xfId="16" applyNumberFormat="1" applyFont="1" applyFill="1" applyBorder="1" applyAlignment="1" applyProtection="1">
      <alignment horizontal="left" vertical="top" wrapText="1"/>
      <protection hidden="1"/>
    </xf>
    <xf numFmtId="3" fontId="61" fillId="11" borderId="20" xfId="16" applyNumberFormat="1" applyFont="1" applyFill="1" applyBorder="1" applyAlignment="1" applyProtection="1">
      <alignment horizontal="left" vertical="top" wrapText="1"/>
      <protection hidden="1"/>
    </xf>
    <xf numFmtId="3" fontId="61" fillId="11" borderId="21" xfId="16" applyNumberFormat="1" applyFont="1" applyFill="1" applyBorder="1" applyAlignment="1" applyProtection="1">
      <alignment horizontal="left" vertical="top" wrapText="1"/>
      <protection hidden="1"/>
    </xf>
    <xf numFmtId="0" fontId="127" fillId="36" borderId="0" xfId="16" applyFont="1" applyFill="1" applyAlignment="1" applyProtection="1">
      <alignment horizontal="left" vertical="center"/>
      <protection hidden="1"/>
    </xf>
    <xf numFmtId="0" fontId="133" fillId="0" borderId="0" xfId="0" applyFont="1" applyAlignment="1">
      <alignment horizontal="center" vertical="center"/>
    </xf>
    <xf numFmtId="0" fontId="145" fillId="36" borderId="0" xfId="16" applyFont="1" applyFill="1" applyAlignment="1" applyProtection="1">
      <alignment horizontal="left" vertical="center"/>
      <protection hidden="1"/>
    </xf>
    <xf numFmtId="0" fontId="131" fillId="0" borderId="0" xfId="0" applyFont="1" applyAlignment="1">
      <alignment horizontal="left" vertical="center" wrapText="1"/>
    </xf>
    <xf numFmtId="0" fontId="127" fillId="39" borderId="0" xfId="0" applyFont="1" applyFill="1" applyAlignment="1">
      <alignment horizontal="left" vertical="center" wrapText="1"/>
    </xf>
    <xf numFmtId="176" fontId="93" fillId="38" borderId="89" xfId="0" applyNumberFormat="1" applyFont="1" applyFill="1" applyBorder="1" applyAlignment="1">
      <alignment horizontal="center" vertical="center"/>
    </xf>
    <xf numFmtId="190" fontId="92" fillId="41" borderId="40" xfId="26" applyNumberFormat="1" applyFont="1" applyFill="1" applyBorder="1" applyAlignment="1" applyProtection="1">
      <alignment horizontal="center" vertical="center"/>
      <protection hidden="1"/>
    </xf>
  </cellXfs>
  <cellStyles count="3333">
    <cellStyle name="20% - Accent1 2" xfId="2518" xr:uid="{00000000-0005-0000-0000-000000000000}"/>
    <cellStyle name="20% - Accent2 2" xfId="2519" xr:uid="{00000000-0005-0000-0000-000001000000}"/>
    <cellStyle name="20% - Accent3 2" xfId="2520" xr:uid="{00000000-0005-0000-0000-000002000000}"/>
    <cellStyle name="20% - Accent4 2" xfId="2521" xr:uid="{00000000-0005-0000-0000-000003000000}"/>
    <cellStyle name="20% - Accent5 2" xfId="2522" xr:uid="{00000000-0005-0000-0000-000004000000}"/>
    <cellStyle name="20% - Accent6 2" xfId="2523" xr:uid="{00000000-0005-0000-0000-000005000000}"/>
    <cellStyle name="40% - Accent1 2" xfId="2524" xr:uid="{00000000-0005-0000-0000-000006000000}"/>
    <cellStyle name="40% - Accent2 2" xfId="2525" xr:uid="{00000000-0005-0000-0000-000007000000}"/>
    <cellStyle name="40% - Accent3 2" xfId="2526" xr:uid="{00000000-0005-0000-0000-000008000000}"/>
    <cellStyle name="40% - Accent4 2" xfId="2527" xr:uid="{00000000-0005-0000-0000-000009000000}"/>
    <cellStyle name="40% - Accent5 2" xfId="2528" xr:uid="{00000000-0005-0000-0000-00000A000000}"/>
    <cellStyle name="40% - Accent6 2" xfId="2529" xr:uid="{00000000-0005-0000-0000-00000B000000}"/>
    <cellStyle name="60% - Accent1 2" xfId="2530" xr:uid="{00000000-0005-0000-0000-00000C000000}"/>
    <cellStyle name="60% - Accent2 2" xfId="2531" xr:uid="{00000000-0005-0000-0000-00000D000000}"/>
    <cellStyle name="60% - Accent3 2" xfId="2532" xr:uid="{00000000-0005-0000-0000-00000E000000}"/>
    <cellStyle name="60% - Accent4 2" xfId="2533" xr:uid="{00000000-0005-0000-0000-00000F000000}"/>
    <cellStyle name="60% - Accent5 2" xfId="2534" xr:uid="{00000000-0005-0000-0000-000010000000}"/>
    <cellStyle name="60% - Accent6 2" xfId="2535" xr:uid="{00000000-0005-0000-0000-000011000000}"/>
    <cellStyle name="Accent1 2" xfId="2536" xr:uid="{00000000-0005-0000-0000-000012000000}"/>
    <cellStyle name="Accent2 2" xfId="2537" xr:uid="{00000000-0005-0000-0000-000013000000}"/>
    <cellStyle name="Accent3 2" xfId="2538" xr:uid="{00000000-0005-0000-0000-000014000000}"/>
    <cellStyle name="Accent4 2" xfId="2539" xr:uid="{00000000-0005-0000-0000-000015000000}"/>
    <cellStyle name="Accent5 2" xfId="2540" xr:uid="{00000000-0005-0000-0000-000016000000}"/>
    <cellStyle name="Accent6 2" xfId="2541" xr:uid="{00000000-0005-0000-0000-000017000000}"/>
    <cellStyle name="Bad" xfId="2542" xr:uid="{00000000-0005-0000-0000-000018000000}"/>
    <cellStyle name="Berekening" xfId="1" xr:uid="{00000000-0005-0000-0000-000019000000}"/>
    <cellStyle name="Berekening 2" xfId="2543" xr:uid="{00000000-0005-0000-0000-00001A000000}"/>
    <cellStyle name="Calculation" xfId="2544" xr:uid="{00000000-0005-0000-0000-00001B000000}"/>
    <cellStyle name="Check Cell" xfId="2545" xr:uid="{00000000-0005-0000-0000-00001C000000}"/>
    <cellStyle name="Comma [0]" xfId="2546" xr:uid="{00000000-0005-0000-0000-00001D000000}"/>
    <cellStyle name="Comma_AA BCR/ Basis ruimtestaat 13.0" xfId="2547" xr:uid="{00000000-0005-0000-0000-00001E000000}"/>
    <cellStyle name="Comma_CALCULATIEBLAD.XLS" xfId="2" xr:uid="{00000000-0005-0000-0000-00001F000000}"/>
    <cellStyle name="Comma_Uurtarieven 2000 LEVERANCIER" xfId="3" xr:uid="{00000000-0005-0000-0000-000020000000}"/>
    <cellStyle name="Controlecel 2" xfId="2548" xr:uid="{00000000-0005-0000-0000-000021000000}"/>
    <cellStyle name="Currency [0]" xfId="2549" xr:uid="{00000000-0005-0000-0000-000022000000}"/>
    <cellStyle name="Currency_2.objekten aanbestedi#B9BC8.xls" xfId="2550" xr:uid="{00000000-0005-0000-0000-000023000000}"/>
    <cellStyle name="Currency_ATIR-Calc-Uurtarief 2001" xfId="4" xr:uid="{00000000-0005-0000-0000-000024000000}"/>
    <cellStyle name="Currency_CALCULATIEBLAD.XLS" xfId="5" xr:uid="{00000000-0005-0000-0000-000025000000}"/>
    <cellStyle name="Currency_MACHINEKST.xls" xfId="6" xr:uid="{00000000-0005-0000-0000-000026000000}"/>
    <cellStyle name="euro" xfId="7" xr:uid="{00000000-0005-0000-0000-000027000000}"/>
    <cellStyle name="Euro 2" xfId="2551" xr:uid="{00000000-0005-0000-0000-000028000000}"/>
    <cellStyle name="Euro 3" xfId="2552" xr:uid="{00000000-0005-0000-0000-000029000000}"/>
    <cellStyle name="Euro 4" xfId="2553" xr:uid="{00000000-0005-0000-0000-00002A000000}"/>
    <cellStyle name="Euro_Calculatie Lenger Seafoods Yerseke 090106-1" xfId="2554" xr:uid="{00000000-0005-0000-0000-00002B000000}"/>
    <cellStyle name="Explanatory Text" xfId="2555" xr:uid="{00000000-0005-0000-0000-00002C000000}"/>
    <cellStyle name="Followed Hyperlink_Aantal groepen per school.xls" xfId="2556" xr:uid="{00000000-0005-0000-0000-00002D000000}"/>
    <cellStyle name="Gekoppelde cel" xfId="8" xr:uid="{00000000-0005-0000-0000-00002E000000}"/>
    <cellStyle name="Gekoppelde cel 2" xfId="2557" xr:uid="{00000000-0005-0000-0000-00002F000000}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Gevolgde hyperlink" xfId="270" builtinId="9" hidden="1"/>
    <cellStyle name="Gevolgde hyperlink" xfId="272" builtinId="9" hidden="1"/>
    <cellStyle name="Gevolgde hyperlink" xfId="274" builtinId="9" hidden="1"/>
    <cellStyle name="Gevolgde hyperlink" xfId="276" builtinId="9" hidden="1"/>
    <cellStyle name="Gevolgde hyperlink" xfId="278" builtinId="9" hidden="1"/>
    <cellStyle name="Gevolgde hyperlink" xfId="280" builtinId="9" hidden="1"/>
    <cellStyle name="Gevolgde hyperlink" xfId="282" builtinId="9" hidden="1"/>
    <cellStyle name="Gevolgde hyperlink" xfId="284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4" builtinId="9" hidden="1"/>
    <cellStyle name="Gevolgde hyperlink" xfId="296" builtinId="9" hidden="1"/>
    <cellStyle name="Gevolgde hyperlink" xfId="298" builtinId="9" hidden="1"/>
    <cellStyle name="Gevolgde hyperlink" xfId="300" builtinId="9" hidden="1"/>
    <cellStyle name="Gevolgde hyperlink" xfId="302" builtinId="9" hidden="1"/>
    <cellStyle name="Gevolgde hyperlink" xfId="304" builtinId="9" hidden="1"/>
    <cellStyle name="Gevolgde hyperlink" xfId="306" builtinId="9" hidden="1"/>
    <cellStyle name="Gevolgde hyperlink" xfId="308" builtinId="9" hidden="1"/>
    <cellStyle name="Gevolgde hyperlink" xfId="310" builtinId="9" hidden="1"/>
    <cellStyle name="Gevolgde hyperlink" xfId="312" builtinId="9" hidden="1"/>
    <cellStyle name="Gevolgde hyperlink" xfId="314" builtinId="9" hidden="1"/>
    <cellStyle name="Gevolgde hyperlink" xfId="316" builtinId="9" hidden="1"/>
    <cellStyle name="Gevolgde hyperlink" xfId="318" builtinId="9" hidden="1"/>
    <cellStyle name="Gevolgde hyperlink" xfId="320" builtinId="9" hidden="1"/>
    <cellStyle name="Gevolgde hyperlink" xfId="322" builtinId="9" hidden="1"/>
    <cellStyle name="Gevolgde hyperlink" xfId="324" builtinId="9" hidden="1"/>
    <cellStyle name="Gevolgde hyperlink" xfId="326" builtinId="9" hidden="1"/>
    <cellStyle name="Gevolgde hyperlink" xfId="328" builtinId="9" hidden="1"/>
    <cellStyle name="Gevolgde hyperlink" xfId="330" builtinId="9" hidden="1"/>
    <cellStyle name="Gevolgde hyperlink" xfId="332" builtinId="9" hidden="1"/>
    <cellStyle name="Gevolgde hyperlink" xfId="334" builtinId="9" hidden="1"/>
    <cellStyle name="Gevolgde hyperlink" xfId="336" builtinId="9" hidden="1"/>
    <cellStyle name="Gevolgde hyperlink" xfId="338" builtinId="9" hidden="1"/>
    <cellStyle name="Gevolgde hyperlink" xfId="340" builtinId="9" hidden="1"/>
    <cellStyle name="Gevolgde hyperlink" xfId="342" builtinId="9" hidden="1"/>
    <cellStyle name="Gevolgde hyperlink" xfId="344" builtinId="9" hidden="1"/>
    <cellStyle name="Gevolgde hyperlink" xfId="346" builtinId="9" hidden="1"/>
    <cellStyle name="Gevolgde hyperlink" xfId="348" builtinId="9" hidden="1"/>
    <cellStyle name="Gevolgde hyperlink" xfId="350" builtinId="9" hidden="1"/>
    <cellStyle name="Gevolgde hyperlink" xfId="352" builtinId="9" hidden="1"/>
    <cellStyle name="Gevolgde hyperlink" xfId="354" builtinId="9" hidden="1"/>
    <cellStyle name="Gevolgde hyperlink" xfId="356" builtinId="9" hidden="1"/>
    <cellStyle name="Gevolgde hyperlink" xfId="358" builtinId="9" hidden="1"/>
    <cellStyle name="Gevolgde hyperlink" xfId="360" builtinId="9" hidden="1"/>
    <cellStyle name="Gevolgde hyperlink" xfId="362" builtinId="9" hidden="1"/>
    <cellStyle name="Gevolgde hyperlink" xfId="364" builtinId="9" hidden="1"/>
    <cellStyle name="Gevolgde hyperlink" xfId="366" builtinId="9" hidden="1"/>
    <cellStyle name="Gevolgde hyperlink" xfId="368" builtinId="9" hidden="1"/>
    <cellStyle name="Gevolgde hyperlink" xfId="370" builtinId="9" hidden="1"/>
    <cellStyle name="Gevolgde hyperlink" xfId="372" builtinId="9" hidden="1"/>
    <cellStyle name="Gevolgde hyperlink" xfId="374" builtinId="9" hidden="1"/>
    <cellStyle name="Gevolgde hyperlink" xfId="376" builtinId="9" hidden="1"/>
    <cellStyle name="Gevolgde hyperlink" xfId="378" builtinId="9" hidden="1"/>
    <cellStyle name="Gevolgde hyperlink" xfId="380" builtinId="9" hidden="1"/>
    <cellStyle name="Gevolgde hyperlink" xfId="382" builtinId="9" hidden="1"/>
    <cellStyle name="Gevolgde hyperlink" xfId="384" builtinId="9" hidden="1"/>
    <cellStyle name="Gevolgde hyperlink" xfId="386" builtinId="9" hidden="1"/>
    <cellStyle name="Gevolgde hyperlink" xfId="388" builtinId="9" hidden="1"/>
    <cellStyle name="Gevolgde hyperlink" xfId="390" builtinId="9" hidden="1"/>
    <cellStyle name="Gevolgde hyperlink" xfId="392" builtinId="9" hidden="1"/>
    <cellStyle name="Gevolgde hyperlink" xfId="394" builtinId="9" hidden="1"/>
    <cellStyle name="Gevolgde hyperlink" xfId="396" builtinId="9" hidden="1"/>
    <cellStyle name="Gevolgde hyperlink" xfId="398" builtinId="9" hidden="1"/>
    <cellStyle name="Gevolgde hyperlink" xfId="400" builtinId="9" hidden="1"/>
    <cellStyle name="Gevolgde hyperlink" xfId="402" builtinId="9" hidden="1"/>
    <cellStyle name="Gevolgde hyperlink" xfId="404" builtinId="9" hidden="1"/>
    <cellStyle name="Gevolgde hyperlink" xfId="406" builtinId="9" hidden="1"/>
    <cellStyle name="Gevolgde hyperlink" xfId="408" builtinId="9" hidden="1"/>
    <cellStyle name="Gevolgde hyperlink" xfId="410" builtinId="9" hidden="1"/>
    <cellStyle name="Gevolgde hyperlink" xfId="412" builtinId="9" hidden="1"/>
    <cellStyle name="Gevolgde hyperlink" xfId="414" builtinId="9" hidden="1"/>
    <cellStyle name="Gevolgde hyperlink" xfId="416" builtinId="9" hidden="1"/>
    <cellStyle name="Gevolgde hyperlink" xfId="418" builtinId="9" hidden="1"/>
    <cellStyle name="Gevolgde hyperlink" xfId="420" builtinId="9" hidden="1"/>
    <cellStyle name="Gevolgde hyperlink" xfId="422" builtinId="9" hidden="1"/>
    <cellStyle name="Gevolgde hyperlink" xfId="424" builtinId="9" hidden="1"/>
    <cellStyle name="Gevolgde hyperlink" xfId="426" builtinId="9" hidden="1"/>
    <cellStyle name="Gevolgde hyperlink" xfId="428" builtinId="9" hidden="1"/>
    <cellStyle name="Gevolgde hyperlink" xfId="430" builtinId="9" hidden="1"/>
    <cellStyle name="Gevolgde hyperlink" xfId="432" builtinId="9" hidden="1"/>
    <cellStyle name="Gevolgde hyperlink" xfId="434" builtinId="9" hidden="1"/>
    <cellStyle name="Gevolgde hyperlink" xfId="436" builtinId="9" hidden="1"/>
    <cellStyle name="Gevolgde hyperlink" xfId="438" builtinId="9" hidden="1"/>
    <cellStyle name="Gevolgde hyperlink" xfId="440" builtinId="9" hidden="1"/>
    <cellStyle name="Gevolgde hyperlink" xfId="442" builtinId="9" hidden="1"/>
    <cellStyle name="Gevolgde hyperlink" xfId="444" builtinId="9" hidden="1"/>
    <cellStyle name="Gevolgde hyperlink" xfId="446" builtinId="9" hidden="1"/>
    <cellStyle name="Gevolgde hyperlink" xfId="448" builtinId="9" hidden="1"/>
    <cellStyle name="Gevolgde hyperlink" xfId="450" builtinId="9" hidden="1"/>
    <cellStyle name="Gevolgde hyperlink" xfId="452" builtinId="9" hidden="1"/>
    <cellStyle name="Gevolgde hyperlink" xfId="454" builtinId="9" hidden="1"/>
    <cellStyle name="Gevolgde hyperlink" xfId="456" builtinId="9" hidden="1"/>
    <cellStyle name="Gevolgde hyperlink" xfId="458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Gevolgde hyperlink" xfId="474" builtinId="9" hidden="1"/>
    <cellStyle name="Gevolgde hyperlink" xfId="476" builtinId="9" hidden="1"/>
    <cellStyle name="Gevolgde hyperlink" xfId="478" builtinId="9" hidden="1"/>
    <cellStyle name="Gevolgde hyperlink" xfId="480" builtinId="9" hidden="1"/>
    <cellStyle name="Gevolgde hyperlink" xfId="482" builtinId="9" hidden="1"/>
    <cellStyle name="Gevolgde hyperlink" xfId="484" builtinId="9" hidden="1"/>
    <cellStyle name="Gevolgde hyperlink" xfId="486" builtinId="9" hidden="1"/>
    <cellStyle name="Gevolgde hyperlink" xfId="488" builtinId="9" hidden="1"/>
    <cellStyle name="Gevolgde hyperlink" xfId="490" builtinId="9" hidden="1"/>
    <cellStyle name="Gevolgde hyperlink" xfId="492" builtinId="9" hidden="1"/>
    <cellStyle name="Gevolgde hyperlink" xfId="494" builtinId="9" hidden="1"/>
    <cellStyle name="Gevolgde hyperlink" xfId="496" builtinId="9" hidden="1"/>
    <cellStyle name="Gevolgde hyperlink" xfId="498" builtinId="9" hidden="1"/>
    <cellStyle name="Gevolgde hyperlink" xfId="500" builtinId="9" hidden="1"/>
    <cellStyle name="Gevolgde hyperlink" xfId="502" builtinId="9" hidden="1"/>
    <cellStyle name="Gevolgde hyperlink" xfId="504" builtinId="9" hidden="1"/>
    <cellStyle name="Gevolgde hyperlink" xfId="506" builtinId="9" hidden="1"/>
    <cellStyle name="Gevolgde hyperlink" xfId="508" builtinId="9" hidden="1"/>
    <cellStyle name="Gevolgde hyperlink" xfId="510" builtinId="9" hidden="1"/>
    <cellStyle name="Gevolgde hyperlink" xfId="512" builtinId="9" hidden="1"/>
    <cellStyle name="Gevolgde hyperlink" xfId="514" builtinId="9" hidden="1"/>
    <cellStyle name="Gevolgde hyperlink" xfId="516" builtinId="9" hidden="1"/>
    <cellStyle name="Gevolgde hyperlink" xfId="518" builtinId="9" hidden="1"/>
    <cellStyle name="Gevolgde hyperlink" xfId="520" builtinId="9" hidden="1"/>
    <cellStyle name="Gevolgde hyperlink" xfId="522" builtinId="9" hidden="1"/>
    <cellStyle name="Gevolgde hyperlink" xfId="524" builtinId="9" hidden="1"/>
    <cellStyle name="Gevolgde hyperlink" xfId="526" builtinId="9" hidden="1"/>
    <cellStyle name="Gevolgde hyperlink" xfId="528" builtinId="9" hidden="1"/>
    <cellStyle name="Gevolgde hyperlink" xfId="530" builtinId="9" hidden="1"/>
    <cellStyle name="Gevolgde hyperlink" xfId="532" builtinId="9" hidden="1"/>
    <cellStyle name="Gevolgde hyperlink" xfId="534" builtinId="9" hidden="1"/>
    <cellStyle name="Gevolgde hyperlink" xfId="536" builtinId="9" hidden="1"/>
    <cellStyle name="Gevolgde hyperlink" xfId="538" builtinId="9" hidden="1"/>
    <cellStyle name="Gevolgde hyperlink" xfId="540" builtinId="9" hidden="1"/>
    <cellStyle name="Gevolgde hyperlink" xfId="542" builtinId="9" hidden="1"/>
    <cellStyle name="Gevolgde hyperlink" xfId="544" builtinId="9" hidden="1"/>
    <cellStyle name="Gevolgde hyperlink" xfId="546" builtinId="9" hidden="1"/>
    <cellStyle name="Gevolgde hyperlink" xfId="548" builtinId="9" hidden="1"/>
    <cellStyle name="Gevolgde hyperlink" xfId="550" builtinId="9" hidden="1"/>
    <cellStyle name="Gevolgde hyperlink" xfId="552" builtinId="9" hidden="1"/>
    <cellStyle name="Gevolgde hyperlink" xfId="554" builtinId="9" hidden="1"/>
    <cellStyle name="Gevolgde hyperlink" xfId="556" builtinId="9" hidden="1"/>
    <cellStyle name="Gevolgde hyperlink" xfId="558" builtinId="9" hidden="1"/>
    <cellStyle name="Gevolgde hyperlink" xfId="560" builtinId="9" hidden="1"/>
    <cellStyle name="Gevolgde hyperlink" xfId="562" builtinId="9" hidden="1"/>
    <cellStyle name="Gevolgde hyperlink" xfId="564" builtinId="9" hidden="1"/>
    <cellStyle name="Gevolgde hyperlink" xfId="566" builtinId="9" hidden="1"/>
    <cellStyle name="Gevolgde hyperlink" xfId="568" builtinId="9" hidden="1"/>
    <cellStyle name="Gevolgde hyperlink" xfId="570" builtinId="9" hidden="1"/>
    <cellStyle name="Gevolgde hyperlink" xfId="572" builtinId="9" hidden="1"/>
    <cellStyle name="Gevolgde hyperlink" xfId="574" builtinId="9" hidden="1"/>
    <cellStyle name="Gevolgde hyperlink" xfId="576" builtinId="9" hidden="1"/>
    <cellStyle name="Gevolgde hyperlink" xfId="578" builtinId="9" hidden="1"/>
    <cellStyle name="Gevolgde hyperlink" xfId="580" builtinId="9" hidden="1"/>
    <cellStyle name="Gevolgde hyperlink" xfId="582" builtinId="9" hidden="1"/>
    <cellStyle name="Gevolgde hyperlink" xfId="584" builtinId="9" hidden="1"/>
    <cellStyle name="Gevolgde hyperlink" xfId="586" builtinId="9" hidden="1"/>
    <cellStyle name="Gevolgde hyperlink" xfId="588" builtinId="9" hidden="1"/>
    <cellStyle name="Gevolgde hyperlink" xfId="590" builtinId="9" hidden="1"/>
    <cellStyle name="Gevolgde hyperlink" xfId="592" builtinId="9" hidden="1"/>
    <cellStyle name="Gevolgde hyperlink" xfId="594" builtinId="9" hidden="1"/>
    <cellStyle name="Gevolgde hyperlink" xfId="596" builtinId="9" hidden="1"/>
    <cellStyle name="Gevolgde hyperlink" xfId="598" builtinId="9" hidden="1"/>
    <cellStyle name="Gevolgde hyperlink" xfId="600" builtinId="9" hidden="1"/>
    <cellStyle name="Gevolgde hyperlink" xfId="602" builtinId="9" hidden="1"/>
    <cellStyle name="Gevolgde hyperlink" xfId="604" builtinId="9" hidden="1"/>
    <cellStyle name="Gevolgde hyperlink" xfId="606" builtinId="9" hidden="1"/>
    <cellStyle name="Gevolgde hyperlink" xfId="608" builtinId="9" hidden="1"/>
    <cellStyle name="Gevolgde hyperlink" xfId="610" builtinId="9" hidden="1"/>
    <cellStyle name="Gevolgde hyperlink" xfId="612" builtinId="9" hidden="1"/>
    <cellStyle name="Gevolgde hyperlink" xfId="614" builtinId="9" hidden="1"/>
    <cellStyle name="Gevolgde hyperlink" xfId="616" builtinId="9" hidden="1"/>
    <cellStyle name="Gevolgde hyperlink" xfId="618" builtinId="9" hidden="1"/>
    <cellStyle name="Gevolgde hyperlink" xfId="620" builtinId="9" hidden="1"/>
    <cellStyle name="Gevolgde hyperlink" xfId="622" builtinId="9" hidden="1"/>
    <cellStyle name="Gevolgde hyperlink" xfId="624" builtinId="9" hidden="1"/>
    <cellStyle name="Gevolgde hyperlink" xfId="626" builtinId="9" hidden="1"/>
    <cellStyle name="Gevolgde hyperlink" xfId="628" builtinId="9" hidden="1"/>
    <cellStyle name="Gevolgde hyperlink" xfId="630" builtinId="9" hidden="1"/>
    <cellStyle name="Gevolgde hyperlink" xfId="632" builtinId="9" hidden="1"/>
    <cellStyle name="Gevolgde hyperlink" xfId="634" builtinId="9" hidden="1"/>
    <cellStyle name="Gevolgde hyperlink" xfId="636" builtinId="9" hidden="1"/>
    <cellStyle name="Gevolgde hyperlink" xfId="638" builtinId="9" hidden="1"/>
    <cellStyle name="Gevolgde hyperlink" xfId="640" builtinId="9" hidden="1"/>
    <cellStyle name="Gevolgde hyperlink" xfId="642" builtinId="9" hidden="1"/>
    <cellStyle name="Gevolgde hyperlink" xfId="644" builtinId="9" hidden="1"/>
    <cellStyle name="Gevolgde hyperlink" xfId="646" builtinId="9" hidden="1"/>
    <cellStyle name="Gevolgde hyperlink" xfId="648" builtinId="9" hidden="1"/>
    <cellStyle name="Gevolgde hyperlink" xfId="650" builtinId="9" hidden="1"/>
    <cellStyle name="Gevolgde hyperlink" xfId="652" builtinId="9" hidden="1"/>
    <cellStyle name="Gevolgde hyperlink" xfId="654" builtinId="9" hidden="1"/>
    <cellStyle name="Gevolgde hyperlink" xfId="656" builtinId="9" hidden="1"/>
    <cellStyle name="Gevolgde hyperlink" xfId="658" builtinId="9" hidden="1"/>
    <cellStyle name="Gevolgde hyperlink" xfId="660" builtinId="9" hidden="1"/>
    <cellStyle name="Gevolgde hyperlink" xfId="662" builtinId="9" hidden="1"/>
    <cellStyle name="Gevolgde hyperlink" xfId="664" builtinId="9" hidden="1"/>
    <cellStyle name="Gevolgde hyperlink" xfId="666" builtinId="9" hidden="1"/>
    <cellStyle name="Gevolgde hyperlink" xfId="668" builtinId="9" hidden="1"/>
    <cellStyle name="Gevolgde hyperlink" xfId="670" builtinId="9" hidden="1"/>
    <cellStyle name="Gevolgde hyperlink" xfId="672" builtinId="9" hidden="1"/>
    <cellStyle name="Gevolgde hyperlink" xfId="674" builtinId="9" hidden="1"/>
    <cellStyle name="Gevolgde hyperlink" xfId="676" builtinId="9" hidden="1"/>
    <cellStyle name="Gevolgde hyperlink" xfId="678" builtinId="9" hidden="1"/>
    <cellStyle name="Gevolgde hyperlink" xfId="680" builtinId="9" hidden="1"/>
    <cellStyle name="Gevolgde hyperlink" xfId="682" builtinId="9" hidden="1"/>
    <cellStyle name="Gevolgde hyperlink" xfId="684" builtinId="9" hidden="1"/>
    <cellStyle name="Gevolgde hyperlink" xfId="686" builtinId="9" hidden="1"/>
    <cellStyle name="Gevolgde hyperlink" xfId="688" builtinId="9" hidden="1"/>
    <cellStyle name="Gevolgde hyperlink" xfId="690" builtinId="9" hidden="1"/>
    <cellStyle name="Gevolgde hyperlink" xfId="692" builtinId="9" hidden="1"/>
    <cellStyle name="Gevolgde hyperlink" xfId="694" builtinId="9" hidden="1"/>
    <cellStyle name="Gevolgde hyperlink" xfId="696" builtinId="9" hidden="1"/>
    <cellStyle name="Gevolgde hyperlink" xfId="698" builtinId="9" hidden="1"/>
    <cellStyle name="Gevolgde hyperlink" xfId="700" builtinId="9" hidden="1"/>
    <cellStyle name="Gevolgde hyperlink" xfId="702" builtinId="9" hidden="1"/>
    <cellStyle name="Gevolgde hyperlink" xfId="704" builtinId="9" hidden="1"/>
    <cellStyle name="Gevolgde hyperlink" xfId="706" builtinId="9" hidden="1"/>
    <cellStyle name="Gevolgde hyperlink" xfId="708" builtinId="9" hidden="1"/>
    <cellStyle name="Gevolgde hyperlink" xfId="710" builtinId="9" hidden="1"/>
    <cellStyle name="Gevolgde hyperlink" xfId="712" builtinId="9" hidden="1"/>
    <cellStyle name="Gevolgde hyperlink" xfId="714" builtinId="9" hidden="1"/>
    <cellStyle name="Gevolgde hyperlink" xfId="716" builtinId="9" hidden="1"/>
    <cellStyle name="Gevolgde hyperlink" xfId="718" builtinId="9" hidden="1"/>
    <cellStyle name="Gevolgde hyperlink" xfId="720" builtinId="9" hidden="1"/>
    <cellStyle name="Gevolgde hyperlink" xfId="722" builtinId="9" hidden="1"/>
    <cellStyle name="Gevolgde hyperlink" xfId="724" builtinId="9" hidden="1"/>
    <cellStyle name="Gevolgde hyperlink" xfId="726" builtinId="9" hidden="1"/>
    <cellStyle name="Gevolgde hyperlink" xfId="728" builtinId="9" hidden="1"/>
    <cellStyle name="Gevolgde hyperlink" xfId="730" builtinId="9" hidden="1"/>
    <cellStyle name="Gevolgde hyperlink" xfId="732" builtinId="9" hidden="1"/>
    <cellStyle name="Gevolgde hyperlink" xfId="734" builtinId="9" hidden="1"/>
    <cellStyle name="Gevolgde hyperlink" xfId="736" builtinId="9" hidden="1"/>
    <cellStyle name="Gevolgde hyperlink" xfId="738" builtinId="9" hidden="1"/>
    <cellStyle name="Gevolgde hyperlink" xfId="740" builtinId="9" hidden="1"/>
    <cellStyle name="Gevolgde hyperlink" xfId="742" builtinId="9" hidden="1"/>
    <cellStyle name="Gevolgde hyperlink" xfId="744" builtinId="9" hidden="1"/>
    <cellStyle name="Gevolgde hyperlink" xfId="746" builtinId="9" hidden="1"/>
    <cellStyle name="Gevolgde hyperlink" xfId="748" builtinId="9" hidden="1"/>
    <cellStyle name="Gevolgde hyperlink" xfId="750" builtinId="9" hidden="1"/>
    <cellStyle name="Gevolgde hyperlink" xfId="752" builtinId="9" hidden="1"/>
    <cellStyle name="Gevolgde hyperlink" xfId="754" builtinId="9" hidden="1"/>
    <cellStyle name="Gevolgde hyperlink" xfId="756" builtinId="9" hidden="1"/>
    <cellStyle name="Gevolgde hyperlink" xfId="758" builtinId="9" hidden="1"/>
    <cellStyle name="Gevolgde hyperlink" xfId="760" builtinId="9" hidden="1"/>
    <cellStyle name="Gevolgde hyperlink" xfId="762" builtinId="9" hidden="1"/>
    <cellStyle name="Gevolgde hyperlink" xfId="764" builtinId="9" hidden="1"/>
    <cellStyle name="Gevolgde hyperlink" xfId="766" builtinId="9" hidden="1"/>
    <cellStyle name="Gevolgde hyperlink" xfId="768" builtinId="9" hidden="1"/>
    <cellStyle name="Gevolgde hyperlink" xfId="770" builtinId="9" hidden="1"/>
    <cellStyle name="Gevolgde hyperlink" xfId="772" builtinId="9" hidden="1"/>
    <cellStyle name="Gevolgde hyperlink" xfId="774" builtinId="9" hidden="1"/>
    <cellStyle name="Gevolgde hyperlink" xfId="776" builtinId="9" hidden="1"/>
    <cellStyle name="Gevolgde hyperlink" xfId="778" builtinId="9" hidden="1"/>
    <cellStyle name="Gevolgde hyperlink" xfId="780" builtinId="9" hidden="1"/>
    <cellStyle name="Gevolgde hyperlink" xfId="782" builtinId="9" hidden="1"/>
    <cellStyle name="Gevolgde hyperlink" xfId="784" builtinId="9" hidden="1"/>
    <cellStyle name="Gevolgde hyperlink" xfId="786" builtinId="9" hidden="1"/>
    <cellStyle name="Gevolgde hyperlink" xfId="788" builtinId="9" hidden="1"/>
    <cellStyle name="Gevolgde hyperlink" xfId="790" builtinId="9" hidden="1"/>
    <cellStyle name="Gevolgde hyperlink" xfId="792" builtinId="9" hidden="1"/>
    <cellStyle name="Gevolgde hyperlink" xfId="794" builtinId="9" hidden="1"/>
    <cellStyle name="Gevolgde hyperlink" xfId="796" builtinId="9" hidden="1"/>
    <cellStyle name="Gevolgde hyperlink" xfId="798" builtinId="9" hidden="1"/>
    <cellStyle name="Gevolgde hyperlink" xfId="800" builtinId="9" hidden="1"/>
    <cellStyle name="Gevolgde hyperlink" xfId="802" builtinId="9" hidden="1"/>
    <cellStyle name="Gevolgde hyperlink" xfId="804" builtinId="9" hidden="1"/>
    <cellStyle name="Gevolgde hyperlink" xfId="806" builtinId="9" hidden="1"/>
    <cellStyle name="Gevolgde hyperlink" xfId="808" builtinId="9" hidden="1"/>
    <cellStyle name="Gevolgde hyperlink" xfId="810" builtinId="9" hidden="1"/>
    <cellStyle name="Gevolgde hyperlink" xfId="812" builtinId="9" hidden="1"/>
    <cellStyle name="Gevolgde hyperlink" xfId="814" builtinId="9" hidden="1"/>
    <cellStyle name="Gevolgde hyperlink" xfId="816" builtinId="9" hidden="1"/>
    <cellStyle name="Gevolgde hyperlink" xfId="818" builtinId="9" hidden="1"/>
    <cellStyle name="Gevolgde hyperlink" xfId="820" builtinId="9" hidden="1"/>
    <cellStyle name="Gevolgde hyperlink" xfId="822" builtinId="9" hidden="1"/>
    <cellStyle name="Gevolgde hyperlink" xfId="824" builtinId="9" hidden="1"/>
    <cellStyle name="Gevolgde hyperlink" xfId="826" builtinId="9" hidden="1"/>
    <cellStyle name="Gevolgde hyperlink" xfId="828" builtinId="9" hidden="1"/>
    <cellStyle name="Gevolgde hyperlink" xfId="830" builtinId="9" hidden="1"/>
    <cellStyle name="Gevolgde hyperlink" xfId="832" builtinId="9" hidden="1"/>
    <cellStyle name="Gevolgde hyperlink" xfId="834" builtinId="9" hidden="1"/>
    <cellStyle name="Gevolgde hyperlink" xfId="836" builtinId="9" hidden="1"/>
    <cellStyle name="Gevolgde hyperlink" xfId="838" builtinId="9" hidden="1"/>
    <cellStyle name="Gevolgde hyperlink" xfId="840" builtinId="9" hidden="1"/>
    <cellStyle name="Gevolgde hyperlink" xfId="842" builtinId="9" hidden="1"/>
    <cellStyle name="Gevolgde hyperlink" xfId="844" builtinId="9" hidden="1"/>
    <cellStyle name="Gevolgde hyperlink" xfId="846" builtinId="9" hidden="1"/>
    <cellStyle name="Gevolgde hyperlink" xfId="848" builtinId="9" hidden="1"/>
    <cellStyle name="Gevolgde hyperlink" xfId="850" builtinId="9" hidden="1"/>
    <cellStyle name="Gevolgde hyperlink" xfId="852" builtinId="9" hidden="1"/>
    <cellStyle name="Gevolgde hyperlink" xfId="854" builtinId="9" hidden="1"/>
    <cellStyle name="Gevolgde hyperlink" xfId="856" builtinId="9" hidden="1"/>
    <cellStyle name="Gevolgde hyperlink" xfId="858" builtinId="9" hidden="1"/>
    <cellStyle name="Gevolgde hyperlink" xfId="860" builtinId="9" hidden="1"/>
    <cellStyle name="Gevolgde hyperlink" xfId="862" builtinId="9" hidden="1"/>
    <cellStyle name="Gevolgde hyperlink" xfId="864" builtinId="9" hidden="1"/>
    <cellStyle name="Gevolgde hyperlink" xfId="866" builtinId="9" hidden="1"/>
    <cellStyle name="Gevolgde hyperlink" xfId="868" builtinId="9" hidden="1"/>
    <cellStyle name="Gevolgde hyperlink" xfId="870" builtinId="9" hidden="1"/>
    <cellStyle name="Gevolgde hyperlink" xfId="872" builtinId="9" hidden="1"/>
    <cellStyle name="Gevolgde hyperlink" xfId="874" builtinId="9" hidden="1"/>
    <cellStyle name="Gevolgde hyperlink" xfId="876" builtinId="9" hidden="1"/>
    <cellStyle name="Gevolgde hyperlink" xfId="878" builtinId="9" hidden="1"/>
    <cellStyle name="Gevolgde hyperlink" xfId="880" builtinId="9" hidden="1"/>
    <cellStyle name="Gevolgde hyperlink" xfId="882" builtinId="9" hidden="1"/>
    <cellStyle name="Gevolgde hyperlink" xfId="884" builtinId="9" hidden="1"/>
    <cellStyle name="Gevolgde hyperlink" xfId="886" builtinId="9" hidden="1"/>
    <cellStyle name="Gevolgde hyperlink" xfId="888" builtinId="9" hidden="1"/>
    <cellStyle name="Gevolgde hyperlink" xfId="890" builtinId="9" hidden="1"/>
    <cellStyle name="Gevolgde hyperlink" xfId="892" builtinId="9" hidden="1"/>
    <cellStyle name="Gevolgde hyperlink" xfId="894" builtinId="9" hidden="1"/>
    <cellStyle name="Gevolgde hyperlink" xfId="896" builtinId="9" hidden="1"/>
    <cellStyle name="Gevolgde hyperlink" xfId="898" builtinId="9" hidden="1"/>
    <cellStyle name="Gevolgde hyperlink" xfId="900" builtinId="9" hidden="1"/>
    <cellStyle name="Gevolgde hyperlink" xfId="902" builtinId="9" hidden="1"/>
    <cellStyle name="Gevolgde hyperlink" xfId="904" builtinId="9" hidden="1"/>
    <cellStyle name="Gevolgde hyperlink" xfId="906" builtinId="9" hidden="1"/>
    <cellStyle name="Gevolgde hyperlink" xfId="908" builtinId="9" hidden="1"/>
    <cellStyle name="Gevolgde hyperlink" xfId="910" builtinId="9" hidden="1"/>
    <cellStyle name="Gevolgde hyperlink" xfId="912" builtinId="9" hidden="1"/>
    <cellStyle name="Gevolgde hyperlink" xfId="914" builtinId="9" hidden="1"/>
    <cellStyle name="Gevolgde hyperlink" xfId="916" builtinId="9" hidden="1"/>
    <cellStyle name="Gevolgde hyperlink" xfId="918" builtinId="9" hidden="1"/>
    <cellStyle name="Gevolgde hyperlink" xfId="920" builtinId="9" hidden="1"/>
    <cellStyle name="Gevolgde hyperlink" xfId="922" builtinId="9" hidden="1"/>
    <cellStyle name="Gevolgde hyperlink" xfId="924" builtinId="9" hidden="1"/>
    <cellStyle name="Gevolgde hyperlink" xfId="926" builtinId="9" hidden="1"/>
    <cellStyle name="Gevolgde hyperlink" xfId="928" builtinId="9" hidden="1"/>
    <cellStyle name="Gevolgde hyperlink" xfId="930" builtinId="9" hidden="1"/>
    <cellStyle name="Gevolgde hyperlink" xfId="932" builtinId="9" hidden="1"/>
    <cellStyle name="Gevolgde hyperlink" xfId="934" builtinId="9" hidden="1"/>
    <cellStyle name="Gevolgde hyperlink" xfId="936" builtinId="9" hidden="1"/>
    <cellStyle name="Gevolgde hyperlink" xfId="938" builtinId="9" hidden="1"/>
    <cellStyle name="Gevolgde hyperlink" xfId="940" builtinId="9" hidden="1"/>
    <cellStyle name="Gevolgde hyperlink" xfId="942" builtinId="9" hidden="1"/>
    <cellStyle name="Gevolgde hyperlink" xfId="944" builtinId="9" hidden="1"/>
    <cellStyle name="Gevolgde hyperlink" xfId="946" builtinId="9" hidden="1"/>
    <cellStyle name="Gevolgde hyperlink" xfId="948" builtinId="9" hidden="1"/>
    <cellStyle name="Gevolgde hyperlink" xfId="950" builtinId="9" hidden="1"/>
    <cellStyle name="Gevolgde hyperlink" xfId="952" builtinId="9" hidden="1"/>
    <cellStyle name="Gevolgde hyperlink" xfId="954" builtinId="9" hidden="1"/>
    <cellStyle name="Gevolgde hyperlink" xfId="956" builtinId="9" hidden="1"/>
    <cellStyle name="Gevolgde hyperlink" xfId="958" builtinId="9" hidden="1"/>
    <cellStyle name="Gevolgde hyperlink" xfId="960" builtinId="9" hidden="1"/>
    <cellStyle name="Gevolgde hyperlink" xfId="962" builtinId="9" hidden="1"/>
    <cellStyle name="Gevolgde hyperlink" xfId="964" builtinId="9" hidden="1"/>
    <cellStyle name="Gevolgde hyperlink" xfId="966" builtinId="9" hidden="1"/>
    <cellStyle name="Gevolgde hyperlink" xfId="968" builtinId="9" hidden="1"/>
    <cellStyle name="Gevolgde hyperlink" xfId="970" builtinId="9" hidden="1"/>
    <cellStyle name="Gevolgde hyperlink" xfId="972" builtinId="9" hidden="1"/>
    <cellStyle name="Gevolgde hyperlink" xfId="974" builtinId="9" hidden="1"/>
    <cellStyle name="Gevolgde hyperlink" xfId="976" builtinId="9" hidden="1"/>
    <cellStyle name="Gevolgde hyperlink" xfId="978" builtinId="9" hidden="1"/>
    <cellStyle name="Gevolgde hyperlink" xfId="980" builtinId="9" hidden="1"/>
    <cellStyle name="Gevolgde hyperlink" xfId="982" builtinId="9" hidden="1"/>
    <cellStyle name="Gevolgde hyperlink" xfId="984" builtinId="9" hidden="1"/>
    <cellStyle name="Gevolgde hyperlink" xfId="986" builtinId="9" hidden="1"/>
    <cellStyle name="Gevolgde hyperlink" xfId="988" builtinId="9" hidden="1"/>
    <cellStyle name="Gevolgde hyperlink" xfId="990" builtinId="9" hidden="1"/>
    <cellStyle name="Gevolgde hyperlink" xfId="992" builtinId="9" hidden="1"/>
    <cellStyle name="Gevolgde hyperlink" xfId="994" builtinId="9" hidden="1"/>
    <cellStyle name="Gevolgde hyperlink" xfId="996" builtinId="9" hidden="1"/>
    <cellStyle name="Gevolgde hyperlink" xfId="998" builtinId="9" hidden="1"/>
    <cellStyle name="Gevolgde hyperlink" xfId="1000" builtinId="9" hidden="1"/>
    <cellStyle name="Gevolgde hyperlink" xfId="1002" builtinId="9" hidden="1"/>
    <cellStyle name="Gevolgde hyperlink" xfId="1004" builtinId="9" hidden="1"/>
    <cellStyle name="Gevolgde hyperlink" xfId="1006" builtinId="9" hidden="1"/>
    <cellStyle name="Gevolgde hyperlink" xfId="1008" builtinId="9" hidden="1"/>
    <cellStyle name="Gevolgde hyperlink" xfId="1010" builtinId="9" hidden="1"/>
    <cellStyle name="Gevolgde hyperlink" xfId="1012" builtinId="9" hidden="1"/>
    <cellStyle name="Gevolgde hyperlink" xfId="1014" builtinId="9" hidden="1"/>
    <cellStyle name="Gevolgde hyperlink" xfId="1016" builtinId="9" hidden="1"/>
    <cellStyle name="Gevolgde hyperlink" xfId="1018" builtinId="9" hidden="1"/>
    <cellStyle name="Gevolgde hyperlink" xfId="1020" builtinId="9" hidden="1"/>
    <cellStyle name="Gevolgde hyperlink" xfId="1022" builtinId="9" hidden="1"/>
    <cellStyle name="Gevolgde hyperlink" xfId="1024" builtinId="9" hidden="1"/>
    <cellStyle name="Gevolgde hyperlink" xfId="1026" builtinId="9" hidden="1"/>
    <cellStyle name="Gevolgde hyperlink" xfId="1028" builtinId="9" hidden="1"/>
    <cellStyle name="Gevolgde hyperlink" xfId="1030" builtinId="9" hidden="1"/>
    <cellStyle name="Gevolgde hyperlink" xfId="1032" builtinId="9" hidden="1"/>
    <cellStyle name="Gevolgde hyperlink" xfId="1034" builtinId="9" hidden="1"/>
    <cellStyle name="Gevolgde hyperlink" xfId="1036" builtinId="9" hidden="1"/>
    <cellStyle name="Gevolgde hyperlink" xfId="1038" builtinId="9" hidden="1"/>
    <cellStyle name="Gevolgde hyperlink" xfId="1040" builtinId="9" hidden="1"/>
    <cellStyle name="Gevolgde hyperlink" xfId="1042" builtinId="9" hidden="1"/>
    <cellStyle name="Gevolgde hyperlink" xfId="1044" builtinId="9" hidden="1"/>
    <cellStyle name="Gevolgde hyperlink" xfId="1046" builtinId="9" hidden="1"/>
    <cellStyle name="Gevolgde hyperlink" xfId="1048" builtinId="9" hidden="1"/>
    <cellStyle name="Gevolgde hyperlink" xfId="1050" builtinId="9" hidden="1"/>
    <cellStyle name="Gevolgde hyperlink" xfId="1052" builtinId="9" hidden="1"/>
    <cellStyle name="Gevolgde hyperlink" xfId="1054" builtinId="9" hidden="1"/>
    <cellStyle name="Gevolgde hyperlink" xfId="1056" builtinId="9" hidden="1"/>
    <cellStyle name="Gevolgde hyperlink" xfId="1058" builtinId="9" hidden="1"/>
    <cellStyle name="Gevolgde hyperlink" xfId="1060" builtinId="9" hidden="1"/>
    <cellStyle name="Gevolgde hyperlink" xfId="1062" builtinId="9" hidden="1"/>
    <cellStyle name="Gevolgde hyperlink" xfId="1064" builtinId="9" hidden="1"/>
    <cellStyle name="Gevolgde hyperlink" xfId="1066" builtinId="9" hidden="1"/>
    <cellStyle name="Gevolgde hyperlink" xfId="1068" builtinId="9" hidden="1"/>
    <cellStyle name="Gevolgde hyperlink" xfId="1070" builtinId="9" hidden="1"/>
    <cellStyle name="Gevolgde hyperlink" xfId="1072" builtinId="9" hidden="1"/>
    <cellStyle name="Gevolgde hyperlink" xfId="1074" builtinId="9" hidden="1"/>
    <cellStyle name="Gevolgde hyperlink" xfId="1076" builtinId="9" hidden="1"/>
    <cellStyle name="Gevolgde hyperlink" xfId="1078" builtinId="9" hidden="1"/>
    <cellStyle name="Gevolgde hyperlink" xfId="1080" builtinId="9" hidden="1"/>
    <cellStyle name="Gevolgde hyperlink" xfId="1082" builtinId="9" hidden="1"/>
    <cellStyle name="Gevolgde hyperlink" xfId="1084" builtinId="9" hidden="1"/>
    <cellStyle name="Gevolgde hyperlink" xfId="1086" builtinId="9" hidden="1"/>
    <cellStyle name="Gevolgde hyperlink" xfId="1088" builtinId="9" hidden="1"/>
    <cellStyle name="Gevolgde hyperlink" xfId="1090" builtinId="9" hidden="1"/>
    <cellStyle name="Gevolgde hyperlink" xfId="1092" builtinId="9" hidden="1"/>
    <cellStyle name="Gevolgde hyperlink" xfId="1094" builtinId="9" hidden="1"/>
    <cellStyle name="Gevolgde hyperlink" xfId="1096" builtinId="9" hidden="1"/>
    <cellStyle name="Gevolgde hyperlink" xfId="1098" builtinId="9" hidden="1"/>
    <cellStyle name="Gevolgde hyperlink" xfId="1100" builtinId="9" hidden="1"/>
    <cellStyle name="Gevolgde hyperlink" xfId="1102" builtinId="9" hidden="1"/>
    <cellStyle name="Gevolgde hyperlink" xfId="1104" builtinId="9" hidden="1"/>
    <cellStyle name="Gevolgde hyperlink" xfId="1106" builtinId="9" hidden="1"/>
    <cellStyle name="Gevolgde hyperlink" xfId="1108" builtinId="9" hidden="1"/>
    <cellStyle name="Gevolgde hyperlink" xfId="1110" builtinId="9" hidden="1"/>
    <cellStyle name="Gevolgde hyperlink" xfId="1112" builtinId="9" hidden="1"/>
    <cellStyle name="Gevolgde hyperlink" xfId="1114" builtinId="9" hidden="1"/>
    <cellStyle name="Gevolgde hyperlink" xfId="1116" builtinId="9" hidden="1"/>
    <cellStyle name="Gevolgde hyperlink" xfId="1118" builtinId="9" hidden="1"/>
    <cellStyle name="Gevolgde hyperlink" xfId="1120" builtinId="9" hidden="1"/>
    <cellStyle name="Gevolgde hyperlink" xfId="1122" builtinId="9" hidden="1"/>
    <cellStyle name="Gevolgde hyperlink" xfId="1124" builtinId="9" hidden="1"/>
    <cellStyle name="Gevolgde hyperlink" xfId="1126" builtinId="9" hidden="1"/>
    <cellStyle name="Gevolgde hyperlink" xfId="1128" builtinId="9" hidden="1"/>
    <cellStyle name="Gevolgde hyperlink" xfId="1130" builtinId="9" hidden="1"/>
    <cellStyle name="Gevolgde hyperlink" xfId="1132" builtinId="9" hidden="1"/>
    <cellStyle name="Gevolgde hyperlink" xfId="1134" builtinId="9" hidden="1"/>
    <cellStyle name="Gevolgde hyperlink" xfId="1136" builtinId="9" hidden="1"/>
    <cellStyle name="Gevolgde hyperlink" xfId="1138" builtinId="9" hidden="1"/>
    <cellStyle name="Gevolgde hyperlink" xfId="1140" builtinId="9" hidden="1"/>
    <cellStyle name="Gevolgde hyperlink" xfId="1142" builtinId="9" hidden="1"/>
    <cellStyle name="Gevolgde hyperlink" xfId="1144" builtinId="9" hidden="1"/>
    <cellStyle name="Gevolgde hyperlink" xfId="1146" builtinId="9" hidden="1"/>
    <cellStyle name="Gevolgde hyperlink" xfId="1148" builtinId="9" hidden="1"/>
    <cellStyle name="Gevolgde hyperlink" xfId="1150" builtinId="9" hidden="1"/>
    <cellStyle name="Gevolgde hyperlink" xfId="1152" builtinId="9" hidden="1"/>
    <cellStyle name="Gevolgde hyperlink" xfId="1154" builtinId="9" hidden="1"/>
    <cellStyle name="Gevolgde hyperlink" xfId="1156" builtinId="9" hidden="1"/>
    <cellStyle name="Gevolgde hyperlink" xfId="1158" builtinId="9" hidden="1"/>
    <cellStyle name="Gevolgde hyperlink" xfId="1160" builtinId="9" hidden="1"/>
    <cellStyle name="Gevolgde hyperlink" xfId="1162" builtinId="9" hidden="1"/>
    <cellStyle name="Gevolgde hyperlink" xfId="1164" builtinId="9" hidden="1"/>
    <cellStyle name="Gevolgde hyperlink" xfId="1166" builtinId="9" hidden="1"/>
    <cellStyle name="Gevolgde hyperlink" xfId="1168" builtinId="9" hidden="1"/>
    <cellStyle name="Gevolgde hyperlink" xfId="1170" builtinId="9" hidden="1"/>
    <cellStyle name="Gevolgde hyperlink" xfId="1172" builtinId="9" hidden="1"/>
    <cellStyle name="Gevolgde hyperlink" xfId="1174" builtinId="9" hidden="1"/>
    <cellStyle name="Gevolgde hyperlink" xfId="1176" builtinId="9" hidden="1"/>
    <cellStyle name="Gevolgde hyperlink" xfId="1178" builtinId="9" hidden="1"/>
    <cellStyle name="Gevolgde hyperlink" xfId="1180" builtinId="9" hidden="1"/>
    <cellStyle name="Gevolgde hyperlink" xfId="1182" builtinId="9" hidden="1"/>
    <cellStyle name="Gevolgde hyperlink" xfId="1184" builtinId="9" hidden="1"/>
    <cellStyle name="Gevolgde hyperlink" xfId="1186" builtinId="9" hidden="1"/>
    <cellStyle name="Gevolgde hyperlink" xfId="1188" builtinId="9" hidden="1"/>
    <cellStyle name="Gevolgde hyperlink" xfId="1190" builtinId="9" hidden="1"/>
    <cellStyle name="Gevolgde hyperlink" xfId="1192" builtinId="9" hidden="1"/>
    <cellStyle name="Gevolgde hyperlink" xfId="1194" builtinId="9" hidden="1"/>
    <cellStyle name="Gevolgde hyperlink" xfId="1196" builtinId="9" hidden="1"/>
    <cellStyle name="Gevolgde hyperlink" xfId="1198" builtinId="9" hidden="1"/>
    <cellStyle name="Gevolgde hyperlink" xfId="1200" builtinId="9" hidden="1"/>
    <cellStyle name="Gevolgde hyperlink" xfId="1202" builtinId="9" hidden="1"/>
    <cellStyle name="Gevolgde hyperlink" xfId="1204" builtinId="9" hidden="1"/>
    <cellStyle name="Gevolgde hyperlink" xfId="1206" builtinId="9" hidden="1"/>
    <cellStyle name="Gevolgde hyperlink" xfId="1208" builtinId="9" hidden="1"/>
    <cellStyle name="Gevolgde hyperlink" xfId="1210" builtinId="9" hidden="1"/>
    <cellStyle name="Gevolgde hyperlink" xfId="1212" builtinId="9" hidden="1"/>
    <cellStyle name="Gevolgde hyperlink" xfId="1214" builtinId="9" hidden="1"/>
    <cellStyle name="Gevolgde hyperlink" xfId="1216" builtinId="9" hidden="1"/>
    <cellStyle name="Gevolgde hyperlink" xfId="1218" builtinId="9" hidden="1"/>
    <cellStyle name="Gevolgde hyperlink" xfId="1220" builtinId="9" hidden="1"/>
    <cellStyle name="Gevolgde hyperlink" xfId="1222" builtinId="9" hidden="1"/>
    <cellStyle name="Gevolgde hyperlink" xfId="1224" builtinId="9" hidden="1"/>
    <cellStyle name="Gevolgde hyperlink" xfId="1226" builtinId="9" hidden="1"/>
    <cellStyle name="Gevolgde hyperlink" xfId="1228" builtinId="9" hidden="1"/>
    <cellStyle name="Gevolgde hyperlink" xfId="1230" builtinId="9" hidden="1"/>
    <cellStyle name="Gevolgde hyperlink" xfId="1232" builtinId="9" hidden="1"/>
    <cellStyle name="Gevolgde hyperlink" xfId="1234" builtinId="9" hidden="1"/>
    <cellStyle name="Gevolgde hyperlink" xfId="1236" builtinId="9" hidden="1"/>
    <cellStyle name="Gevolgde hyperlink" xfId="1238" builtinId="9" hidden="1"/>
    <cellStyle name="Gevolgde hyperlink" xfId="1240" builtinId="9" hidden="1"/>
    <cellStyle name="Gevolgde hyperlink" xfId="1242" builtinId="9" hidden="1"/>
    <cellStyle name="Gevolgde hyperlink" xfId="1244" builtinId="9" hidden="1"/>
    <cellStyle name="Gevolgde hyperlink" xfId="1246" builtinId="9" hidden="1"/>
    <cellStyle name="Gevolgde hyperlink" xfId="1248" builtinId="9" hidden="1"/>
    <cellStyle name="Gevolgde hyperlink" xfId="1250" builtinId="9" hidden="1"/>
    <cellStyle name="Gevolgde hyperlink" xfId="1252" builtinId="9" hidden="1"/>
    <cellStyle name="Gevolgde hyperlink" xfId="1254" builtinId="9" hidden="1"/>
    <cellStyle name="Gevolgde hyperlink" xfId="1256" builtinId="9" hidden="1"/>
    <cellStyle name="Gevolgde hyperlink" xfId="1258" builtinId="9" hidden="1"/>
    <cellStyle name="Gevolgde hyperlink" xfId="1260" builtinId="9" hidden="1"/>
    <cellStyle name="Gevolgde hyperlink" xfId="1262" builtinId="9" hidden="1"/>
    <cellStyle name="Gevolgde hyperlink" xfId="1264" builtinId="9" hidden="1"/>
    <cellStyle name="Gevolgde hyperlink" xfId="1266" builtinId="9" hidden="1"/>
    <cellStyle name="Gevolgde hyperlink" xfId="1268" builtinId="9" hidden="1"/>
    <cellStyle name="Gevolgde hyperlink" xfId="1270" builtinId="9" hidden="1"/>
    <cellStyle name="Gevolgde hyperlink" xfId="1272" builtinId="9" hidden="1"/>
    <cellStyle name="Gevolgde hyperlink" xfId="1274" builtinId="9" hidden="1"/>
    <cellStyle name="Gevolgde hyperlink" xfId="1276" builtinId="9" hidden="1"/>
    <cellStyle name="Gevolgde hyperlink" xfId="1278" builtinId="9" hidden="1"/>
    <cellStyle name="Gevolgde hyperlink" xfId="1280" builtinId="9" hidden="1"/>
    <cellStyle name="Gevolgde hyperlink" xfId="1282" builtinId="9" hidden="1"/>
    <cellStyle name="Gevolgde hyperlink" xfId="1284" builtinId="9" hidden="1"/>
    <cellStyle name="Gevolgde hyperlink" xfId="1286" builtinId="9" hidden="1"/>
    <cellStyle name="Gevolgde hyperlink" xfId="1288" builtinId="9" hidden="1"/>
    <cellStyle name="Gevolgde hyperlink" xfId="1290" builtinId="9" hidden="1"/>
    <cellStyle name="Gevolgde hyperlink" xfId="1292" builtinId="9" hidden="1"/>
    <cellStyle name="Gevolgde hyperlink" xfId="1294" builtinId="9" hidden="1"/>
    <cellStyle name="Gevolgde hyperlink" xfId="1296" builtinId="9" hidden="1"/>
    <cellStyle name="Gevolgde hyperlink" xfId="1298" builtinId="9" hidden="1"/>
    <cellStyle name="Gevolgde hyperlink" xfId="1300" builtinId="9" hidden="1"/>
    <cellStyle name="Gevolgde hyperlink" xfId="1302" builtinId="9" hidden="1"/>
    <cellStyle name="Gevolgde hyperlink" xfId="1304" builtinId="9" hidden="1"/>
    <cellStyle name="Gevolgde hyperlink" xfId="1306" builtinId="9" hidden="1"/>
    <cellStyle name="Gevolgde hyperlink" xfId="1308" builtinId="9" hidden="1"/>
    <cellStyle name="Gevolgde hyperlink" xfId="1310" builtinId="9" hidden="1"/>
    <cellStyle name="Gevolgde hyperlink" xfId="1312" builtinId="9" hidden="1"/>
    <cellStyle name="Gevolgde hyperlink" xfId="1314" builtinId="9" hidden="1"/>
    <cellStyle name="Gevolgde hyperlink" xfId="1316" builtinId="9" hidden="1"/>
    <cellStyle name="Gevolgde hyperlink" xfId="1318" builtinId="9" hidden="1"/>
    <cellStyle name="Gevolgde hyperlink" xfId="1320" builtinId="9" hidden="1"/>
    <cellStyle name="Gevolgde hyperlink" xfId="1322" builtinId="9" hidden="1"/>
    <cellStyle name="Gevolgde hyperlink" xfId="1324" builtinId="9" hidden="1"/>
    <cellStyle name="Gevolgde hyperlink" xfId="1326" builtinId="9" hidden="1"/>
    <cellStyle name="Gevolgde hyperlink" xfId="1328" builtinId="9" hidden="1"/>
    <cellStyle name="Gevolgde hyperlink" xfId="1330" builtinId="9" hidden="1"/>
    <cellStyle name="Gevolgde hyperlink" xfId="1332" builtinId="9" hidden="1"/>
    <cellStyle name="Gevolgde hyperlink" xfId="1334" builtinId="9" hidden="1"/>
    <cellStyle name="Gevolgde hyperlink" xfId="1336" builtinId="9" hidden="1"/>
    <cellStyle name="Gevolgde hyperlink" xfId="1338" builtinId="9" hidden="1"/>
    <cellStyle name="Gevolgde hyperlink" xfId="1340" builtinId="9" hidden="1"/>
    <cellStyle name="Gevolgde hyperlink" xfId="1342" builtinId="9" hidden="1"/>
    <cellStyle name="Gevolgde hyperlink" xfId="1344" builtinId="9" hidden="1"/>
    <cellStyle name="Gevolgde hyperlink" xfId="1346" builtinId="9" hidden="1"/>
    <cellStyle name="Gevolgde hyperlink" xfId="1348" builtinId="9" hidden="1"/>
    <cellStyle name="Gevolgde hyperlink" xfId="1350" builtinId="9" hidden="1"/>
    <cellStyle name="Gevolgde hyperlink" xfId="1352" builtinId="9" hidden="1"/>
    <cellStyle name="Gevolgde hyperlink" xfId="1354" builtinId="9" hidden="1"/>
    <cellStyle name="Gevolgde hyperlink" xfId="1356" builtinId="9" hidden="1"/>
    <cellStyle name="Gevolgde hyperlink" xfId="1358" builtinId="9" hidden="1"/>
    <cellStyle name="Gevolgde hyperlink" xfId="1360" builtinId="9" hidden="1"/>
    <cellStyle name="Gevolgde hyperlink" xfId="1362" builtinId="9" hidden="1"/>
    <cellStyle name="Gevolgde hyperlink" xfId="1364" builtinId="9" hidden="1"/>
    <cellStyle name="Gevolgde hyperlink" xfId="1366" builtinId="9" hidden="1"/>
    <cellStyle name="Gevolgde hyperlink" xfId="1368" builtinId="9" hidden="1"/>
    <cellStyle name="Gevolgde hyperlink" xfId="1370" builtinId="9" hidden="1"/>
    <cellStyle name="Gevolgde hyperlink" xfId="1372" builtinId="9" hidden="1"/>
    <cellStyle name="Gevolgde hyperlink" xfId="1374" builtinId="9" hidden="1"/>
    <cellStyle name="Gevolgde hyperlink" xfId="1376" builtinId="9" hidden="1"/>
    <cellStyle name="Gevolgde hyperlink" xfId="1378" builtinId="9" hidden="1"/>
    <cellStyle name="Gevolgde hyperlink" xfId="1380" builtinId="9" hidden="1"/>
    <cellStyle name="Gevolgde hyperlink" xfId="1382" builtinId="9" hidden="1"/>
    <cellStyle name="Gevolgde hyperlink" xfId="1384" builtinId="9" hidden="1"/>
    <cellStyle name="Gevolgde hyperlink" xfId="1386" builtinId="9" hidden="1"/>
    <cellStyle name="Gevolgde hyperlink" xfId="1388" builtinId="9" hidden="1"/>
    <cellStyle name="Gevolgde hyperlink" xfId="1390" builtinId="9" hidden="1"/>
    <cellStyle name="Gevolgde hyperlink" xfId="1392" builtinId="9" hidden="1"/>
    <cellStyle name="Gevolgde hyperlink" xfId="1394" builtinId="9" hidden="1"/>
    <cellStyle name="Gevolgde hyperlink" xfId="1396" builtinId="9" hidden="1"/>
    <cellStyle name="Gevolgde hyperlink" xfId="1398" builtinId="9" hidden="1"/>
    <cellStyle name="Gevolgde hyperlink" xfId="1400" builtinId="9" hidden="1"/>
    <cellStyle name="Gevolgde hyperlink" xfId="1402" builtinId="9" hidden="1"/>
    <cellStyle name="Gevolgde hyperlink" xfId="1404" builtinId="9" hidden="1"/>
    <cellStyle name="Gevolgde hyperlink" xfId="1406" builtinId="9" hidden="1"/>
    <cellStyle name="Gevolgde hyperlink" xfId="1408" builtinId="9" hidden="1"/>
    <cellStyle name="Gevolgde hyperlink" xfId="1410" builtinId="9" hidden="1"/>
    <cellStyle name="Gevolgde hyperlink" xfId="1412" builtinId="9" hidden="1"/>
    <cellStyle name="Gevolgde hyperlink" xfId="1414" builtinId="9" hidden="1"/>
    <cellStyle name="Gevolgde hyperlink" xfId="1416" builtinId="9" hidden="1"/>
    <cellStyle name="Gevolgde hyperlink" xfId="1418" builtinId="9" hidden="1"/>
    <cellStyle name="Gevolgde hyperlink" xfId="1420" builtinId="9" hidden="1"/>
    <cellStyle name="Gevolgde hyperlink" xfId="1422" builtinId="9" hidden="1"/>
    <cellStyle name="Gevolgde hyperlink" xfId="1424" builtinId="9" hidden="1"/>
    <cellStyle name="Gevolgde hyperlink" xfId="1426" builtinId="9" hidden="1"/>
    <cellStyle name="Gevolgde hyperlink" xfId="1428" builtinId="9" hidden="1"/>
    <cellStyle name="Gevolgde hyperlink" xfId="1430" builtinId="9" hidden="1"/>
    <cellStyle name="Gevolgde hyperlink" xfId="1432" builtinId="9" hidden="1"/>
    <cellStyle name="Gevolgde hyperlink" xfId="1434" builtinId="9" hidden="1"/>
    <cellStyle name="Gevolgde hyperlink" xfId="1436" builtinId="9" hidden="1"/>
    <cellStyle name="Gevolgde hyperlink" xfId="1438" builtinId="9" hidden="1"/>
    <cellStyle name="Gevolgde hyperlink" xfId="1440" builtinId="9" hidden="1"/>
    <cellStyle name="Gevolgde hyperlink" xfId="1442" builtinId="9" hidden="1"/>
    <cellStyle name="Gevolgde hyperlink" xfId="1444" builtinId="9" hidden="1"/>
    <cellStyle name="Gevolgde hyperlink" xfId="1446" builtinId="9" hidden="1"/>
    <cellStyle name="Gevolgde hyperlink" xfId="1448" builtinId="9" hidden="1"/>
    <cellStyle name="Gevolgde hyperlink" xfId="1450" builtinId="9" hidden="1"/>
    <cellStyle name="Gevolgde hyperlink" xfId="1452" builtinId="9" hidden="1"/>
    <cellStyle name="Gevolgde hyperlink" xfId="1454" builtinId="9" hidden="1"/>
    <cellStyle name="Gevolgde hyperlink" xfId="1456" builtinId="9" hidden="1"/>
    <cellStyle name="Gevolgde hyperlink" xfId="1458" builtinId="9" hidden="1"/>
    <cellStyle name="Gevolgde hyperlink" xfId="1460" builtinId="9" hidden="1"/>
    <cellStyle name="Gevolgde hyperlink" xfId="1462" builtinId="9" hidden="1"/>
    <cellStyle name="Gevolgde hyperlink" xfId="1464" builtinId="9" hidden="1"/>
    <cellStyle name="Gevolgde hyperlink" xfId="1466" builtinId="9" hidden="1"/>
    <cellStyle name="Gevolgde hyperlink" xfId="1468" builtinId="9" hidden="1"/>
    <cellStyle name="Gevolgde hyperlink" xfId="1470" builtinId="9" hidden="1"/>
    <cellStyle name="Gevolgde hyperlink" xfId="1472" builtinId="9" hidden="1"/>
    <cellStyle name="Gevolgde hyperlink" xfId="1474" builtinId="9" hidden="1"/>
    <cellStyle name="Gevolgde hyperlink" xfId="1476" builtinId="9" hidden="1"/>
    <cellStyle name="Gevolgde hyperlink" xfId="1478" builtinId="9" hidden="1"/>
    <cellStyle name="Gevolgde hyperlink" xfId="1480" builtinId="9" hidden="1"/>
    <cellStyle name="Gevolgde hyperlink" xfId="1482" builtinId="9" hidden="1"/>
    <cellStyle name="Gevolgde hyperlink" xfId="1484" builtinId="9" hidden="1"/>
    <cellStyle name="Gevolgde hyperlink" xfId="1486" builtinId="9" hidden="1"/>
    <cellStyle name="Gevolgde hyperlink" xfId="1488" builtinId="9" hidden="1"/>
    <cellStyle name="Gevolgde hyperlink" xfId="1490" builtinId="9" hidden="1"/>
    <cellStyle name="Gevolgde hyperlink" xfId="1492" builtinId="9" hidden="1"/>
    <cellStyle name="Gevolgde hyperlink" xfId="1494" builtinId="9" hidden="1"/>
    <cellStyle name="Gevolgde hyperlink" xfId="1496" builtinId="9" hidden="1"/>
    <cellStyle name="Gevolgde hyperlink" xfId="1498" builtinId="9" hidden="1"/>
    <cellStyle name="Gevolgde hyperlink" xfId="1500" builtinId="9" hidden="1"/>
    <cellStyle name="Gevolgde hyperlink" xfId="1502" builtinId="9" hidden="1"/>
    <cellStyle name="Gevolgde hyperlink" xfId="1504" builtinId="9" hidden="1"/>
    <cellStyle name="Gevolgde hyperlink" xfId="1506" builtinId="9" hidden="1"/>
    <cellStyle name="Gevolgde hyperlink" xfId="1508" builtinId="9" hidden="1"/>
    <cellStyle name="Gevolgde hyperlink" xfId="1510" builtinId="9" hidden="1"/>
    <cellStyle name="Gevolgde hyperlink" xfId="1512" builtinId="9" hidden="1"/>
    <cellStyle name="Gevolgde hyperlink" xfId="1514" builtinId="9" hidden="1"/>
    <cellStyle name="Gevolgde hyperlink" xfId="1516" builtinId="9" hidden="1"/>
    <cellStyle name="Gevolgde hyperlink" xfId="1518" builtinId="9" hidden="1"/>
    <cellStyle name="Gevolgde hyperlink" xfId="1520" builtinId="9" hidden="1"/>
    <cellStyle name="Gevolgde hyperlink" xfId="1522" builtinId="9" hidden="1"/>
    <cellStyle name="Gevolgde hyperlink" xfId="1524" builtinId="9" hidden="1"/>
    <cellStyle name="Gevolgde hyperlink" xfId="1526" builtinId="9" hidden="1"/>
    <cellStyle name="Gevolgde hyperlink" xfId="1528" builtinId="9" hidden="1"/>
    <cellStyle name="Gevolgde hyperlink" xfId="1530" builtinId="9" hidden="1"/>
    <cellStyle name="Gevolgde hyperlink" xfId="1532" builtinId="9" hidden="1"/>
    <cellStyle name="Gevolgde hyperlink" xfId="1534" builtinId="9" hidden="1"/>
    <cellStyle name="Gevolgde hyperlink" xfId="1536" builtinId="9" hidden="1"/>
    <cellStyle name="Gevolgde hyperlink" xfId="1538" builtinId="9" hidden="1"/>
    <cellStyle name="Gevolgde hyperlink" xfId="1540" builtinId="9" hidden="1"/>
    <cellStyle name="Gevolgde hyperlink" xfId="1542" builtinId="9" hidden="1"/>
    <cellStyle name="Gevolgde hyperlink" xfId="1544" builtinId="9" hidden="1"/>
    <cellStyle name="Gevolgde hyperlink" xfId="1546" builtinId="9" hidden="1"/>
    <cellStyle name="Gevolgde hyperlink" xfId="1548" builtinId="9" hidden="1"/>
    <cellStyle name="Gevolgde hyperlink" xfId="1550" builtinId="9" hidden="1"/>
    <cellStyle name="Gevolgde hyperlink" xfId="1552" builtinId="9" hidden="1"/>
    <cellStyle name="Gevolgde hyperlink" xfId="1554" builtinId="9" hidden="1"/>
    <cellStyle name="Gevolgde hyperlink" xfId="1556" builtinId="9" hidden="1"/>
    <cellStyle name="Gevolgde hyperlink" xfId="1558" builtinId="9" hidden="1"/>
    <cellStyle name="Gevolgde hyperlink" xfId="1560" builtinId="9" hidden="1"/>
    <cellStyle name="Gevolgde hyperlink" xfId="1562" builtinId="9" hidden="1"/>
    <cellStyle name="Gevolgde hyperlink" xfId="1564" builtinId="9" hidden="1"/>
    <cellStyle name="Gevolgde hyperlink" xfId="1566" builtinId="9" hidden="1"/>
    <cellStyle name="Gevolgde hyperlink" xfId="1568" builtinId="9" hidden="1"/>
    <cellStyle name="Gevolgde hyperlink" xfId="1570" builtinId="9" hidden="1"/>
    <cellStyle name="Gevolgde hyperlink" xfId="1572" builtinId="9" hidden="1"/>
    <cellStyle name="Gevolgde hyperlink" xfId="1574" builtinId="9" hidden="1"/>
    <cellStyle name="Gevolgde hyperlink" xfId="1576" builtinId="9" hidden="1"/>
    <cellStyle name="Gevolgde hyperlink" xfId="1578" builtinId="9" hidden="1"/>
    <cellStyle name="Gevolgde hyperlink" xfId="1580" builtinId="9" hidden="1"/>
    <cellStyle name="Gevolgde hyperlink" xfId="1582" builtinId="9" hidden="1"/>
    <cellStyle name="Gevolgde hyperlink" xfId="1584" builtinId="9" hidden="1"/>
    <cellStyle name="Gevolgde hyperlink" xfId="1586" builtinId="9" hidden="1"/>
    <cellStyle name="Gevolgde hyperlink" xfId="1588" builtinId="9" hidden="1"/>
    <cellStyle name="Gevolgde hyperlink" xfId="1590" builtinId="9" hidden="1"/>
    <cellStyle name="Gevolgde hyperlink" xfId="1592" builtinId="9" hidden="1"/>
    <cellStyle name="Gevolgde hyperlink" xfId="1594" builtinId="9" hidden="1"/>
    <cellStyle name="Gevolgde hyperlink" xfId="1596" builtinId="9" hidden="1"/>
    <cellStyle name="Gevolgde hyperlink" xfId="1598" builtinId="9" hidden="1"/>
    <cellStyle name="Gevolgde hyperlink" xfId="1600" builtinId="9" hidden="1"/>
    <cellStyle name="Gevolgde hyperlink" xfId="1602" builtinId="9" hidden="1"/>
    <cellStyle name="Gevolgde hyperlink" xfId="1604" builtinId="9" hidden="1"/>
    <cellStyle name="Gevolgde hyperlink" xfId="1606" builtinId="9" hidden="1"/>
    <cellStyle name="Gevolgde hyperlink" xfId="1608" builtinId="9" hidden="1"/>
    <cellStyle name="Gevolgde hyperlink" xfId="1610" builtinId="9" hidden="1"/>
    <cellStyle name="Gevolgde hyperlink" xfId="1612" builtinId="9" hidden="1"/>
    <cellStyle name="Gevolgde hyperlink" xfId="1614" builtinId="9" hidden="1"/>
    <cellStyle name="Gevolgde hyperlink" xfId="1616" builtinId="9" hidden="1"/>
    <cellStyle name="Gevolgde hyperlink" xfId="1618" builtinId="9" hidden="1"/>
    <cellStyle name="Gevolgde hyperlink" xfId="1620" builtinId="9" hidden="1"/>
    <cellStyle name="Gevolgde hyperlink" xfId="1622" builtinId="9" hidden="1"/>
    <cellStyle name="Gevolgde hyperlink" xfId="1624" builtinId="9" hidden="1"/>
    <cellStyle name="Gevolgde hyperlink" xfId="1626" builtinId="9" hidden="1"/>
    <cellStyle name="Gevolgde hyperlink" xfId="1628" builtinId="9" hidden="1"/>
    <cellStyle name="Gevolgde hyperlink" xfId="1630" builtinId="9" hidden="1"/>
    <cellStyle name="Gevolgde hyperlink" xfId="1632" builtinId="9" hidden="1"/>
    <cellStyle name="Gevolgde hyperlink" xfId="1634" builtinId="9" hidden="1"/>
    <cellStyle name="Gevolgde hyperlink" xfId="1636" builtinId="9" hidden="1"/>
    <cellStyle name="Gevolgde hyperlink" xfId="1638" builtinId="9" hidden="1"/>
    <cellStyle name="Gevolgde hyperlink" xfId="1640" builtinId="9" hidden="1"/>
    <cellStyle name="Gevolgde hyperlink" xfId="1642" builtinId="9" hidden="1"/>
    <cellStyle name="Gevolgde hyperlink" xfId="1644" builtinId="9" hidden="1"/>
    <cellStyle name="Gevolgde hyperlink" xfId="1646" builtinId="9" hidden="1"/>
    <cellStyle name="Gevolgde hyperlink" xfId="1648" builtinId="9" hidden="1"/>
    <cellStyle name="Gevolgde hyperlink" xfId="1650" builtinId="9" hidden="1"/>
    <cellStyle name="Gevolgde hyperlink" xfId="1652" builtinId="9" hidden="1"/>
    <cellStyle name="Gevolgde hyperlink" xfId="1654" builtinId="9" hidden="1"/>
    <cellStyle name="Gevolgde hyperlink" xfId="1656" builtinId="9" hidden="1"/>
    <cellStyle name="Gevolgde hyperlink" xfId="1658" builtinId="9" hidden="1"/>
    <cellStyle name="Gevolgde hyperlink" xfId="1660" builtinId="9" hidden="1"/>
    <cellStyle name="Gevolgde hyperlink" xfId="1662" builtinId="9" hidden="1"/>
    <cellStyle name="Gevolgde hyperlink" xfId="1664" builtinId="9" hidden="1"/>
    <cellStyle name="Gevolgde hyperlink" xfId="1666" builtinId="9" hidden="1"/>
    <cellStyle name="Gevolgde hyperlink" xfId="1668" builtinId="9" hidden="1"/>
    <cellStyle name="Gevolgde hyperlink" xfId="1670" builtinId="9" hidden="1"/>
    <cellStyle name="Gevolgde hyperlink" xfId="1672" builtinId="9" hidden="1"/>
    <cellStyle name="Gevolgde hyperlink" xfId="1674" builtinId="9" hidden="1"/>
    <cellStyle name="Gevolgde hyperlink" xfId="1676" builtinId="9" hidden="1"/>
    <cellStyle name="Gevolgde hyperlink" xfId="1678" builtinId="9" hidden="1"/>
    <cellStyle name="Gevolgde hyperlink" xfId="1680" builtinId="9" hidden="1"/>
    <cellStyle name="Gevolgde hyperlink" xfId="1682" builtinId="9" hidden="1"/>
    <cellStyle name="Gevolgde hyperlink" xfId="1684" builtinId="9" hidden="1"/>
    <cellStyle name="Gevolgde hyperlink" xfId="1686" builtinId="9" hidden="1"/>
    <cellStyle name="Gevolgde hyperlink" xfId="1688" builtinId="9" hidden="1"/>
    <cellStyle name="Gevolgde hyperlink" xfId="1690" builtinId="9" hidden="1"/>
    <cellStyle name="Gevolgde hyperlink" xfId="1692" builtinId="9" hidden="1"/>
    <cellStyle name="Gevolgde hyperlink" xfId="1694" builtinId="9" hidden="1"/>
    <cellStyle name="Gevolgde hyperlink" xfId="1696" builtinId="9" hidden="1"/>
    <cellStyle name="Gevolgde hyperlink" xfId="1698" builtinId="9" hidden="1"/>
    <cellStyle name="Gevolgde hyperlink" xfId="1700" builtinId="9" hidden="1"/>
    <cellStyle name="Gevolgde hyperlink" xfId="1702" builtinId="9" hidden="1"/>
    <cellStyle name="Gevolgde hyperlink" xfId="1704" builtinId="9" hidden="1"/>
    <cellStyle name="Gevolgde hyperlink" xfId="1706" builtinId="9" hidden="1"/>
    <cellStyle name="Gevolgde hyperlink" xfId="1708" builtinId="9" hidden="1"/>
    <cellStyle name="Gevolgde hyperlink" xfId="1710" builtinId="9" hidden="1"/>
    <cellStyle name="Gevolgde hyperlink" xfId="1712" builtinId="9" hidden="1"/>
    <cellStyle name="Gevolgde hyperlink" xfId="1714" builtinId="9" hidden="1"/>
    <cellStyle name="Gevolgde hyperlink" xfId="1716" builtinId="9" hidden="1"/>
    <cellStyle name="Gevolgde hyperlink" xfId="1718" builtinId="9" hidden="1"/>
    <cellStyle name="Gevolgde hyperlink" xfId="1720" builtinId="9" hidden="1"/>
    <cellStyle name="Gevolgde hyperlink" xfId="1722" builtinId="9" hidden="1"/>
    <cellStyle name="Gevolgde hyperlink" xfId="1724" builtinId="9" hidden="1"/>
    <cellStyle name="Gevolgde hyperlink" xfId="1726" builtinId="9" hidden="1"/>
    <cellStyle name="Gevolgde hyperlink" xfId="1728" builtinId="9" hidden="1"/>
    <cellStyle name="Gevolgde hyperlink" xfId="1730" builtinId="9" hidden="1"/>
    <cellStyle name="Gevolgde hyperlink" xfId="1732" builtinId="9" hidden="1"/>
    <cellStyle name="Gevolgde hyperlink" xfId="1734" builtinId="9" hidden="1"/>
    <cellStyle name="Gevolgde hyperlink" xfId="1736" builtinId="9" hidden="1"/>
    <cellStyle name="Gevolgde hyperlink" xfId="1738" builtinId="9" hidden="1"/>
    <cellStyle name="Gevolgde hyperlink" xfId="1740" builtinId="9" hidden="1"/>
    <cellStyle name="Gevolgde hyperlink" xfId="1742" builtinId="9" hidden="1"/>
    <cellStyle name="Gevolgde hyperlink" xfId="1744" builtinId="9" hidden="1"/>
    <cellStyle name="Gevolgde hyperlink" xfId="1746" builtinId="9" hidden="1"/>
    <cellStyle name="Gevolgde hyperlink" xfId="1748" builtinId="9" hidden="1"/>
    <cellStyle name="Gevolgde hyperlink" xfId="1750" builtinId="9" hidden="1"/>
    <cellStyle name="Gevolgde hyperlink" xfId="1752" builtinId="9" hidden="1"/>
    <cellStyle name="Gevolgde hyperlink" xfId="1754" builtinId="9" hidden="1"/>
    <cellStyle name="Gevolgde hyperlink" xfId="1756" builtinId="9" hidden="1"/>
    <cellStyle name="Gevolgde hyperlink" xfId="1758" builtinId="9" hidden="1"/>
    <cellStyle name="Gevolgde hyperlink" xfId="1760" builtinId="9" hidden="1"/>
    <cellStyle name="Gevolgde hyperlink" xfId="1762" builtinId="9" hidden="1"/>
    <cellStyle name="Gevolgde hyperlink" xfId="1764" builtinId="9" hidden="1"/>
    <cellStyle name="Gevolgde hyperlink" xfId="1766" builtinId="9" hidden="1"/>
    <cellStyle name="Gevolgde hyperlink" xfId="1768" builtinId="9" hidden="1"/>
    <cellStyle name="Gevolgde hyperlink" xfId="1770" builtinId="9" hidden="1"/>
    <cellStyle name="Gevolgde hyperlink" xfId="1772" builtinId="9" hidden="1"/>
    <cellStyle name="Gevolgde hyperlink" xfId="1774" builtinId="9" hidden="1"/>
    <cellStyle name="Gevolgde hyperlink" xfId="1776" builtinId="9" hidden="1"/>
    <cellStyle name="Gevolgde hyperlink" xfId="1778" builtinId="9" hidden="1"/>
    <cellStyle name="Gevolgde hyperlink" xfId="1780" builtinId="9" hidden="1"/>
    <cellStyle name="Gevolgde hyperlink" xfId="1782" builtinId="9" hidden="1"/>
    <cellStyle name="Gevolgde hyperlink" xfId="1784" builtinId="9" hidden="1"/>
    <cellStyle name="Gevolgde hyperlink" xfId="1786" builtinId="9" hidden="1"/>
    <cellStyle name="Gevolgde hyperlink" xfId="1788" builtinId="9" hidden="1"/>
    <cellStyle name="Gevolgde hyperlink" xfId="1790" builtinId="9" hidden="1"/>
    <cellStyle name="Gevolgde hyperlink" xfId="1792" builtinId="9" hidden="1"/>
    <cellStyle name="Gevolgde hyperlink" xfId="1794" builtinId="9" hidden="1"/>
    <cellStyle name="Gevolgde hyperlink" xfId="1796" builtinId="9" hidden="1"/>
    <cellStyle name="Gevolgde hyperlink" xfId="1798" builtinId="9" hidden="1"/>
    <cellStyle name="Gevolgde hyperlink" xfId="1800" builtinId="9" hidden="1"/>
    <cellStyle name="Gevolgde hyperlink" xfId="1802" builtinId="9" hidden="1"/>
    <cellStyle name="Gevolgde hyperlink" xfId="1804" builtinId="9" hidden="1"/>
    <cellStyle name="Gevolgde hyperlink" xfId="1806" builtinId="9" hidden="1"/>
    <cellStyle name="Gevolgde hyperlink" xfId="1808" builtinId="9" hidden="1"/>
    <cellStyle name="Gevolgde hyperlink" xfId="1810" builtinId="9" hidden="1"/>
    <cellStyle name="Gevolgde hyperlink" xfId="1812" builtinId="9" hidden="1"/>
    <cellStyle name="Gevolgde hyperlink" xfId="1814" builtinId="9" hidden="1"/>
    <cellStyle name="Gevolgde hyperlink" xfId="1816" builtinId="9" hidden="1"/>
    <cellStyle name="Gevolgde hyperlink" xfId="1818" builtinId="9" hidden="1"/>
    <cellStyle name="Gevolgde hyperlink" xfId="1820" builtinId="9" hidden="1"/>
    <cellStyle name="Gevolgde hyperlink" xfId="1822" builtinId="9" hidden="1"/>
    <cellStyle name="Gevolgde hyperlink" xfId="1824" builtinId="9" hidden="1"/>
    <cellStyle name="Gevolgde hyperlink" xfId="1826" builtinId="9" hidden="1"/>
    <cellStyle name="Gevolgde hyperlink" xfId="1828" builtinId="9" hidden="1"/>
    <cellStyle name="Gevolgde hyperlink" xfId="1830" builtinId="9" hidden="1"/>
    <cellStyle name="Gevolgde hyperlink" xfId="1832" builtinId="9" hidden="1"/>
    <cellStyle name="Gevolgde hyperlink" xfId="1834" builtinId="9" hidden="1"/>
    <cellStyle name="Gevolgde hyperlink" xfId="1836" builtinId="9" hidden="1"/>
    <cellStyle name="Gevolgde hyperlink" xfId="1838" builtinId="9" hidden="1"/>
    <cellStyle name="Gevolgde hyperlink" xfId="1840" builtinId="9" hidden="1"/>
    <cellStyle name="Gevolgde hyperlink" xfId="1842" builtinId="9" hidden="1"/>
    <cellStyle name="Gevolgde hyperlink" xfId="1844" builtinId="9" hidden="1"/>
    <cellStyle name="Gevolgde hyperlink" xfId="1846" builtinId="9" hidden="1"/>
    <cellStyle name="Gevolgde hyperlink" xfId="1848" builtinId="9" hidden="1"/>
    <cellStyle name="Gevolgde hyperlink" xfId="1850" builtinId="9" hidden="1"/>
    <cellStyle name="Gevolgde hyperlink" xfId="1852" builtinId="9" hidden="1"/>
    <cellStyle name="Gevolgde hyperlink" xfId="1854" builtinId="9" hidden="1"/>
    <cellStyle name="Gevolgde hyperlink" xfId="1856" builtinId="9" hidden="1"/>
    <cellStyle name="Gevolgde hyperlink" xfId="1858" builtinId="9" hidden="1"/>
    <cellStyle name="Gevolgde hyperlink" xfId="1860" builtinId="9" hidden="1"/>
    <cellStyle name="Gevolgde hyperlink" xfId="1862" builtinId="9" hidden="1"/>
    <cellStyle name="Gevolgde hyperlink" xfId="1864" builtinId="9" hidden="1"/>
    <cellStyle name="Gevolgde hyperlink" xfId="1866" builtinId="9" hidden="1"/>
    <cellStyle name="Gevolgde hyperlink" xfId="1868" builtinId="9" hidden="1"/>
    <cellStyle name="Gevolgde hyperlink" xfId="1870" builtinId="9" hidden="1"/>
    <cellStyle name="Gevolgde hyperlink" xfId="1872" builtinId="9" hidden="1"/>
    <cellStyle name="Gevolgde hyperlink" xfId="1874" builtinId="9" hidden="1"/>
    <cellStyle name="Gevolgde hyperlink" xfId="1876" builtinId="9" hidden="1"/>
    <cellStyle name="Gevolgde hyperlink" xfId="1878" builtinId="9" hidden="1"/>
    <cellStyle name="Gevolgde hyperlink" xfId="1880" builtinId="9" hidden="1"/>
    <cellStyle name="Gevolgde hyperlink" xfId="1882" builtinId="9" hidden="1"/>
    <cellStyle name="Gevolgde hyperlink" xfId="1884" builtinId="9" hidden="1"/>
    <cellStyle name="Gevolgde hyperlink" xfId="1886" builtinId="9" hidden="1"/>
    <cellStyle name="Gevolgde hyperlink" xfId="1888" builtinId="9" hidden="1"/>
    <cellStyle name="Gevolgde hyperlink" xfId="1890" builtinId="9" hidden="1"/>
    <cellStyle name="Gevolgde hyperlink" xfId="1892" builtinId="9" hidden="1"/>
    <cellStyle name="Gevolgde hyperlink" xfId="1894" builtinId="9" hidden="1"/>
    <cellStyle name="Gevolgde hyperlink" xfId="1896" builtinId="9" hidden="1"/>
    <cellStyle name="Gevolgde hyperlink" xfId="1898" builtinId="9" hidden="1"/>
    <cellStyle name="Gevolgde hyperlink" xfId="1900" builtinId="9" hidden="1"/>
    <cellStyle name="Gevolgde hyperlink" xfId="1902" builtinId="9" hidden="1"/>
    <cellStyle name="Gevolgde hyperlink" xfId="1904" builtinId="9" hidden="1"/>
    <cellStyle name="Gevolgde hyperlink" xfId="1906" builtinId="9" hidden="1"/>
    <cellStyle name="Gevolgde hyperlink" xfId="1908" builtinId="9" hidden="1"/>
    <cellStyle name="Gevolgde hyperlink" xfId="1910" builtinId="9" hidden="1"/>
    <cellStyle name="Gevolgde hyperlink" xfId="1912" builtinId="9" hidden="1"/>
    <cellStyle name="Gevolgde hyperlink" xfId="1914" builtinId="9" hidden="1"/>
    <cellStyle name="Gevolgde hyperlink" xfId="1916" builtinId="9" hidden="1"/>
    <cellStyle name="Gevolgde hyperlink" xfId="1918" builtinId="9" hidden="1"/>
    <cellStyle name="Gevolgde hyperlink" xfId="1920" builtinId="9" hidden="1"/>
    <cellStyle name="Gevolgde hyperlink" xfId="1922" builtinId="9" hidden="1"/>
    <cellStyle name="Gevolgde hyperlink" xfId="1924" builtinId="9" hidden="1"/>
    <cellStyle name="Gevolgde hyperlink" xfId="1926" builtinId="9" hidden="1"/>
    <cellStyle name="Gevolgde hyperlink" xfId="1928" builtinId="9" hidden="1"/>
    <cellStyle name="Gevolgde hyperlink" xfId="1930" builtinId="9" hidden="1"/>
    <cellStyle name="Gevolgde hyperlink" xfId="1932" builtinId="9" hidden="1"/>
    <cellStyle name="Gevolgde hyperlink" xfId="1934" builtinId="9" hidden="1"/>
    <cellStyle name="Gevolgde hyperlink" xfId="1936" builtinId="9" hidden="1"/>
    <cellStyle name="Gevolgde hyperlink" xfId="1938" builtinId="9" hidden="1"/>
    <cellStyle name="Gevolgde hyperlink" xfId="1940" builtinId="9" hidden="1"/>
    <cellStyle name="Gevolgde hyperlink" xfId="1942" builtinId="9" hidden="1"/>
    <cellStyle name="Gevolgde hyperlink" xfId="1944" builtinId="9" hidden="1"/>
    <cellStyle name="Gevolgde hyperlink" xfId="1946" builtinId="9" hidden="1"/>
    <cellStyle name="Gevolgde hyperlink" xfId="1948" builtinId="9" hidden="1"/>
    <cellStyle name="Gevolgde hyperlink" xfId="1950" builtinId="9" hidden="1"/>
    <cellStyle name="Gevolgde hyperlink" xfId="1952" builtinId="9" hidden="1"/>
    <cellStyle name="Gevolgde hyperlink" xfId="1954" builtinId="9" hidden="1"/>
    <cellStyle name="Gevolgde hyperlink" xfId="1956" builtinId="9" hidden="1"/>
    <cellStyle name="Gevolgde hyperlink" xfId="1958" builtinId="9" hidden="1"/>
    <cellStyle name="Gevolgde hyperlink" xfId="1960" builtinId="9" hidden="1"/>
    <cellStyle name="Gevolgde hyperlink" xfId="1962" builtinId="9" hidden="1"/>
    <cellStyle name="Gevolgde hyperlink" xfId="1964" builtinId="9" hidden="1"/>
    <cellStyle name="Gevolgde hyperlink" xfId="1966" builtinId="9" hidden="1"/>
    <cellStyle name="Gevolgde hyperlink" xfId="1968" builtinId="9" hidden="1"/>
    <cellStyle name="Gevolgde hyperlink" xfId="1970" builtinId="9" hidden="1"/>
    <cellStyle name="Gevolgde hyperlink" xfId="1972" builtinId="9" hidden="1"/>
    <cellStyle name="Gevolgde hyperlink" xfId="1974" builtinId="9" hidden="1"/>
    <cellStyle name="Gevolgde hyperlink" xfId="1976" builtinId="9" hidden="1"/>
    <cellStyle name="Gevolgde hyperlink" xfId="1978" builtinId="9" hidden="1"/>
    <cellStyle name="Gevolgde hyperlink" xfId="1980" builtinId="9" hidden="1"/>
    <cellStyle name="Gevolgde hyperlink" xfId="1982" builtinId="9" hidden="1"/>
    <cellStyle name="Gevolgde hyperlink" xfId="1984" builtinId="9" hidden="1"/>
    <cellStyle name="Gevolgde hyperlink" xfId="1986" builtinId="9" hidden="1"/>
    <cellStyle name="Gevolgde hyperlink" xfId="1988" builtinId="9" hidden="1"/>
    <cellStyle name="Gevolgde hyperlink" xfId="1990" builtinId="9" hidden="1"/>
    <cellStyle name="Gevolgde hyperlink" xfId="1992" builtinId="9" hidden="1"/>
    <cellStyle name="Gevolgde hyperlink" xfId="1994" builtinId="9" hidden="1"/>
    <cellStyle name="Gevolgde hyperlink" xfId="1996" builtinId="9" hidden="1"/>
    <cellStyle name="Gevolgde hyperlink" xfId="1998" builtinId="9" hidden="1"/>
    <cellStyle name="Gevolgde hyperlink" xfId="2000" builtinId="9" hidden="1"/>
    <cellStyle name="Gevolgde hyperlink" xfId="2002" builtinId="9" hidden="1"/>
    <cellStyle name="Gevolgde hyperlink" xfId="2004" builtinId="9" hidden="1"/>
    <cellStyle name="Gevolgde hyperlink" xfId="2006" builtinId="9" hidden="1"/>
    <cellStyle name="Gevolgde hyperlink" xfId="2008" builtinId="9" hidden="1"/>
    <cellStyle name="Gevolgde hyperlink" xfId="2010" builtinId="9" hidden="1"/>
    <cellStyle name="Gevolgde hyperlink" xfId="2012" builtinId="9" hidden="1"/>
    <cellStyle name="Gevolgde hyperlink" xfId="2014" builtinId="9" hidden="1"/>
    <cellStyle name="Gevolgde hyperlink" xfId="2016" builtinId="9" hidden="1"/>
    <cellStyle name="Gevolgde hyperlink" xfId="2018" builtinId="9" hidden="1"/>
    <cellStyle name="Gevolgde hyperlink" xfId="2020" builtinId="9" hidden="1"/>
    <cellStyle name="Gevolgde hyperlink" xfId="2022" builtinId="9" hidden="1"/>
    <cellStyle name="Gevolgde hyperlink" xfId="2024" builtinId="9" hidden="1"/>
    <cellStyle name="Gevolgde hyperlink" xfId="2026" builtinId="9" hidden="1"/>
    <cellStyle name="Gevolgde hyperlink" xfId="2028" builtinId="9" hidden="1"/>
    <cellStyle name="Gevolgde hyperlink" xfId="2030" builtinId="9" hidden="1"/>
    <cellStyle name="Gevolgde hyperlink" xfId="2032" builtinId="9" hidden="1"/>
    <cellStyle name="Gevolgde hyperlink" xfId="2034" builtinId="9" hidden="1"/>
    <cellStyle name="Gevolgde hyperlink" xfId="2036" builtinId="9" hidden="1"/>
    <cellStyle name="Gevolgde hyperlink" xfId="2038" builtinId="9" hidden="1"/>
    <cellStyle name="Gevolgde hyperlink" xfId="2040" builtinId="9" hidden="1"/>
    <cellStyle name="Gevolgde hyperlink" xfId="2042" builtinId="9" hidden="1"/>
    <cellStyle name="Gevolgde hyperlink" xfId="2044" builtinId="9" hidden="1"/>
    <cellStyle name="Gevolgde hyperlink" xfId="2046" builtinId="9" hidden="1"/>
    <cellStyle name="Gevolgde hyperlink" xfId="2048" builtinId="9" hidden="1"/>
    <cellStyle name="Gevolgde hyperlink" xfId="2050" builtinId="9" hidden="1"/>
    <cellStyle name="Gevolgde hyperlink" xfId="2052" builtinId="9" hidden="1"/>
    <cellStyle name="Gevolgde hyperlink" xfId="2054" builtinId="9" hidden="1"/>
    <cellStyle name="Gevolgde hyperlink" xfId="2056" builtinId="9" hidden="1"/>
    <cellStyle name="Gevolgde hyperlink" xfId="2058" builtinId="9" hidden="1"/>
    <cellStyle name="Gevolgde hyperlink" xfId="2060" builtinId="9" hidden="1"/>
    <cellStyle name="Gevolgde hyperlink" xfId="2062" builtinId="9" hidden="1"/>
    <cellStyle name="Gevolgde hyperlink" xfId="2064" builtinId="9" hidden="1"/>
    <cellStyle name="Gevolgde hyperlink" xfId="2066" builtinId="9" hidden="1"/>
    <cellStyle name="Gevolgde hyperlink" xfId="2068" builtinId="9" hidden="1"/>
    <cellStyle name="Gevolgde hyperlink" xfId="2070" builtinId="9" hidden="1"/>
    <cellStyle name="Gevolgde hyperlink" xfId="2072" builtinId="9" hidden="1"/>
    <cellStyle name="Gevolgde hyperlink" xfId="2074" builtinId="9" hidden="1"/>
    <cellStyle name="Gevolgde hyperlink" xfId="2076" builtinId="9" hidden="1"/>
    <cellStyle name="Gevolgde hyperlink" xfId="2078" builtinId="9" hidden="1"/>
    <cellStyle name="Gevolgde hyperlink" xfId="2080" builtinId="9" hidden="1"/>
    <cellStyle name="Gevolgde hyperlink" xfId="2082" builtinId="9" hidden="1"/>
    <cellStyle name="Gevolgde hyperlink" xfId="2084" builtinId="9" hidden="1"/>
    <cellStyle name="Gevolgde hyperlink" xfId="2086" builtinId="9" hidden="1"/>
    <cellStyle name="Gevolgde hyperlink" xfId="2088" builtinId="9" hidden="1"/>
    <cellStyle name="Gevolgde hyperlink" xfId="2090" builtinId="9" hidden="1"/>
    <cellStyle name="Gevolgde hyperlink" xfId="2092" builtinId="9" hidden="1"/>
    <cellStyle name="Gevolgde hyperlink" xfId="2094" builtinId="9" hidden="1"/>
    <cellStyle name="Gevolgde hyperlink" xfId="2096" builtinId="9" hidden="1"/>
    <cellStyle name="Gevolgde hyperlink" xfId="2098" builtinId="9" hidden="1"/>
    <cellStyle name="Gevolgde hyperlink" xfId="2100" builtinId="9" hidden="1"/>
    <cellStyle name="Gevolgde hyperlink" xfId="2102" builtinId="9" hidden="1"/>
    <cellStyle name="Gevolgde hyperlink" xfId="2104" builtinId="9" hidden="1"/>
    <cellStyle name="Gevolgde hyperlink" xfId="2106" builtinId="9" hidden="1"/>
    <cellStyle name="Gevolgde hyperlink" xfId="2108" builtinId="9" hidden="1"/>
    <cellStyle name="Gevolgde hyperlink" xfId="2110" builtinId="9" hidden="1"/>
    <cellStyle name="Gevolgde hyperlink" xfId="2112" builtinId="9" hidden="1"/>
    <cellStyle name="Gevolgde hyperlink" xfId="2114" builtinId="9" hidden="1"/>
    <cellStyle name="Gevolgde hyperlink" xfId="2116" builtinId="9" hidden="1"/>
    <cellStyle name="Gevolgde hyperlink" xfId="2118" builtinId="9" hidden="1"/>
    <cellStyle name="Gevolgde hyperlink" xfId="2120" builtinId="9" hidden="1"/>
    <cellStyle name="Gevolgde hyperlink" xfId="2122" builtinId="9" hidden="1"/>
    <cellStyle name="Gevolgde hyperlink" xfId="2124" builtinId="9" hidden="1"/>
    <cellStyle name="Gevolgde hyperlink" xfId="2126" builtinId="9" hidden="1"/>
    <cellStyle name="Gevolgde hyperlink" xfId="2128" builtinId="9" hidden="1"/>
    <cellStyle name="Gevolgde hyperlink" xfId="2130" builtinId="9" hidden="1"/>
    <cellStyle name="Gevolgde hyperlink" xfId="2132" builtinId="9" hidden="1"/>
    <cellStyle name="Gevolgde hyperlink" xfId="2134" builtinId="9" hidden="1"/>
    <cellStyle name="Gevolgde hyperlink" xfId="2136" builtinId="9" hidden="1"/>
    <cellStyle name="Gevolgde hyperlink" xfId="2138" builtinId="9" hidden="1"/>
    <cellStyle name="Gevolgde hyperlink" xfId="2140" builtinId="9" hidden="1"/>
    <cellStyle name="Gevolgde hyperlink" xfId="2142" builtinId="9" hidden="1"/>
    <cellStyle name="Gevolgde hyperlink" xfId="2144" builtinId="9" hidden="1"/>
    <cellStyle name="Gevolgde hyperlink" xfId="2146" builtinId="9" hidden="1"/>
    <cellStyle name="Gevolgde hyperlink" xfId="2148" builtinId="9" hidden="1"/>
    <cellStyle name="Gevolgde hyperlink" xfId="2150" builtinId="9" hidden="1"/>
    <cellStyle name="Gevolgde hyperlink" xfId="2152" builtinId="9" hidden="1"/>
    <cellStyle name="Gevolgde hyperlink" xfId="2154" builtinId="9" hidden="1"/>
    <cellStyle name="Gevolgde hyperlink" xfId="2156" builtinId="9" hidden="1"/>
    <cellStyle name="Gevolgde hyperlink" xfId="2158" builtinId="9" hidden="1"/>
    <cellStyle name="Gevolgde hyperlink" xfId="2160" builtinId="9" hidden="1"/>
    <cellStyle name="Gevolgde hyperlink" xfId="2162" builtinId="9" hidden="1"/>
    <cellStyle name="Gevolgde hyperlink" xfId="2164" builtinId="9" hidden="1"/>
    <cellStyle name="Gevolgde hyperlink" xfId="2166" builtinId="9" hidden="1"/>
    <cellStyle name="Gevolgde hyperlink" xfId="2168" builtinId="9" hidden="1"/>
    <cellStyle name="Gevolgde hyperlink" xfId="2170" builtinId="9" hidden="1"/>
    <cellStyle name="Gevolgde hyperlink" xfId="2172" builtinId="9" hidden="1"/>
    <cellStyle name="Gevolgde hyperlink" xfId="2174" builtinId="9" hidden="1"/>
    <cellStyle name="Gevolgde hyperlink" xfId="2176" builtinId="9" hidden="1"/>
    <cellStyle name="Gevolgde hyperlink" xfId="2178" builtinId="9" hidden="1"/>
    <cellStyle name="Gevolgde hyperlink" xfId="2180" builtinId="9" hidden="1"/>
    <cellStyle name="Gevolgde hyperlink" xfId="2182" builtinId="9" hidden="1"/>
    <cellStyle name="Gevolgde hyperlink" xfId="2184" builtinId="9" hidden="1"/>
    <cellStyle name="Gevolgde hyperlink" xfId="2186" builtinId="9" hidden="1"/>
    <cellStyle name="Gevolgde hyperlink" xfId="2188" builtinId="9" hidden="1"/>
    <cellStyle name="Gevolgde hyperlink" xfId="2190" builtinId="9" hidden="1"/>
    <cellStyle name="Gevolgde hyperlink" xfId="2192" builtinId="9" hidden="1"/>
    <cellStyle name="Gevolgde hyperlink" xfId="2194" builtinId="9" hidden="1"/>
    <cellStyle name="Gevolgde hyperlink" xfId="2196" builtinId="9" hidden="1"/>
    <cellStyle name="Gevolgde hyperlink" xfId="2198" builtinId="9" hidden="1"/>
    <cellStyle name="Gevolgde hyperlink" xfId="2200" builtinId="9" hidden="1"/>
    <cellStyle name="Gevolgde hyperlink" xfId="2202" builtinId="9" hidden="1"/>
    <cellStyle name="Gevolgde hyperlink" xfId="2204" builtinId="9" hidden="1"/>
    <cellStyle name="Gevolgde hyperlink" xfId="2206" builtinId="9" hidden="1"/>
    <cellStyle name="Gevolgde hyperlink" xfId="2208" builtinId="9" hidden="1"/>
    <cellStyle name="Gevolgde hyperlink" xfId="2210" builtinId="9" hidden="1"/>
    <cellStyle name="Gevolgde hyperlink" xfId="2212" builtinId="9" hidden="1"/>
    <cellStyle name="Gevolgde hyperlink" xfId="2214" builtinId="9" hidden="1"/>
    <cellStyle name="Gevolgde hyperlink" xfId="2216" builtinId="9" hidden="1"/>
    <cellStyle name="Gevolgde hyperlink" xfId="2218" builtinId="9" hidden="1"/>
    <cellStyle name="Gevolgde hyperlink" xfId="2220" builtinId="9" hidden="1"/>
    <cellStyle name="Gevolgde hyperlink" xfId="2222" builtinId="9" hidden="1"/>
    <cellStyle name="Gevolgde hyperlink" xfId="2224" builtinId="9" hidden="1"/>
    <cellStyle name="Gevolgde hyperlink" xfId="2226" builtinId="9" hidden="1"/>
    <cellStyle name="Gevolgde hyperlink" xfId="2228" builtinId="9" hidden="1"/>
    <cellStyle name="Gevolgde hyperlink" xfId="2230" builtinId="9" hidden="1"/>
    <cellStyle name="Gevolgde hyperlink" xfId="2232" builtinId="9" hidden="1"/>
    <cellStyle name="Gevolgde hyperlink" xfId="2234" builtinId="9" hidden="1"/>
    <cellStyle name="Gevolgde hyperlink" xfId="2236" builtinId="9" hidden="1"/>
    <cellStyle name="Gevolgde hyperlink" xfId="2238" builtinId="9" hidden="1"/>
    <cellStyle name="Gevolgde hyperlink" xfId="2240" builtinId="9" hidden="1"/>
    <cellStyle name="Gevolgde hyperlink" xfId="2242" builtinId="9" hidden="1"/>
    <cellStyle name="Gevolgde hyperlink" xfId="2244" builtinId="9" hidden="1"/>
    <cellStyle name="Gevolgde hyperlink" xfId="2246" builtinId="9" hidden="1"/>
    <cellStyle name="Gevolgde hyperlink" xfId="2248" builtinId="9" hidden="1"/>
    <cellStyle name="Gevolgde hyperlink" xfId="2250" builtinId="9" hidden="1"/>
    <cellStyle name="Gevolgde hyperlink" xfId="2252" builtinId="9" hidden="1"/>
    <cellStyle name="Gevolgde hyperlink" xfId="2254" builtinId="9" hidden="1"/>
    <cellStyle name="Gevolgde hyperlink" xfId="2256" builtinId="9" hidden="1"/>
    <cellStyle name="Gevolgde hyperlink" xfId="2258" builtinId="9" hidden="1"/>
    <cellStyle name="Gevolgde hyperlink" xfId="2260" builtinId="9" hidden="1"/>
    <cellStyle name="Gevolgde hyperlink" xfId="2262" builtinId="9" hidden="1"/>
    <cellStyle name="Gevolgde hyperlink" xfId="2264" builtinId="9" hidden="1"/>
    <cellStyle name="Gevolgde hyperlink" xfId="2266" builtinId="9" hidden="1"/>
    <cellStyle name="Gevolgde hyperlink" xfId="2268" builtinId="9" hidden="1"/>
    <cellStyle name="Gevolgde hyperlink" xfId="2270" builtinId="9" hidden="1"/>
    <cellStyle name="Gevolgde hyperlink" xfId="2272" builtinId="9" hidden="1"/>
    <cellStyle name="Gevolgde hyperlink" xfId="2274" builtinId="9" hidden="1"/>
    <cellStyle name="Gevolgde hyperlink" xfId="2276" builtinId="9" hidden="1"/>
    <cellStyle name="Gevolgde hyperlink" xfId="2278" builtinId="9" hidden="1"/>
    <cellStyle name="Gevolgde hyperlink" xfId="2280" builtinId="9" hidden="1"/>
    <cellStyle name="Gevolgde hyperlink" xfId="2282" builtinId="9" hidden="1"/>
    <cellStyle name="Gevolgde hyperlink" xfId="2284" builtinId="9" hidden="1"/>
    <cellStyle name="Gevolgde hyperlink" xfId="2286" builtinId="9" hidden="1"/>
    <cellStyle name="Gevolgde hyperlink" xfId="2288" builtinId="9" hidden="1"/>
    <cellStyle name="Gevolgde hyperlink" xfId="2290" builtinId="9" hidden="1"/>
    <cellStyle name="Gevolgde hyperlink" xfId="2292" builtinId="9" hidden="1"/>
    <cellStyle name="Gevolgde hyperlink" xfId="2294" builtinId="9" hidden="1"/>
    <cellStyle name="Gevolgde hyperlink" xfId="2296" builtinId="9" hidden="1"/>
    <cellStyle name="Gevolgde hyperlink" xfId="2298" builtinId="9" hidden="1"/>
    <cellStyle name="Gevolgde hyperlink" xfId="2300" builtinId="9" hidden="1"/>
    <cellStyle name="Gevolgde hyperlink" xfId="2302" builtinId="9" hidden="1"/>
    <cellStyle name="Gevolgde hyperlink" xfId="2304" builtinId="9" hidden="1"/>
    <cellStyle name="Gevolgde hyperlink" xfId="2306" builtinId="9" hidden="1"/>
    <cellStyle name="Gevolgde hyperlink" xfId="2308" builtinId="9" hidden="1"/>
    <cellStyle name="Gevolgde hyperlink" xfId="2310" builtinId="9" hidden="1"/>
    <cellStyle name="Gevolgde hyperlink" xfId="2312" builtinId="9" hidden="1"/>
    <cellStyle name="Gevolgde hyperlink" xfId="2314" builtinId="9" hidden="1"/>
    <cellStyle name="Gevolgde hyperlink" xfId="2316" builtinId="9" hidden="1"/>
    <cellStyle name="Gevolgde hyperlink" xfId="2318" builtinId="9" hidden="1"/>
    <cellStyle name="Gevolgde hyperlink" xfId="2320" builtinId="9" hidden="1"/>
    <cellStyle name="Gevolgde hyperlink" xfId="2322" builtinId="9" hidden="1"/>
    <cellStyle name="Gevolgde hyperlink" xfId="2324" builtinId="9" hidden="1"/>
    <cellStyle name="Gevolgde hyperlink" xfId="2326" builtinId="9" hidden="1"/>
    <cellStyle name="Gevolgde hyperlink" xfId="2328" builtinId="9" hidden="1"/>
    <cellStyle name="Gevolgde hyperlink" xfId="2330" builtinId="9" hidden="1"/>
    <cellStyle name="Gevolgde hyperlink" xfId="2332" builtinId="9" hidden="1"/>
    <cellStyle name="Gevolgde hyperlink" xfId="2334" builtinId="9" hidden="1"/>
    <cellStyle name="Gevolgde hyperlink" xfId="2336" builtinId="9" hidden="1"/>
    <cellStyle name="Gevolgde hyperlink" xfId="2338" builtinId="9" hidden="1"/>
    <cellStyle name="Gevolgde hyperlink" xfId="2340" builtinId="9" hidden="1"/>
    <cellStyle name="Gevolgde hyperlink" xfId="2342" builtinId="9" hidden="1"/>
    <cellStyle name="Gevolgde hyperlink" xfId="2344" builtinId="9" hidden="1"/>
    <cellStyle name="Gevolgde hyperlink" xfId="2346" builtinId="9" hidden="1"/>
    <cellStyle name="Gevolgde hyperlink" xfId="2348" builtinId="9" hidden="1"/>
    <cellStyle name="Gevolgde hyperlink" xfId="2350" builtinId="9" hidden="1"/>
    <cellStyle name="Gevolgde hyperlink" xfId="2352" builtinId="9" hidden="1"/>
    <cellStyle name="Gevolgde hyperlink" xfId="2354" builtinId="9" hidden="1"/>
    <cellStyle name="Gevolgde hyperlink" xfId="2356" builtinId="9" hidden="1"/>
    <cellStyle name="Gevolgde hyperlink" xfId="2358" builtinId="9" hidden="1"/>
    <cellStyle name="Gevolgde hyperlink" xfId="2360" builtinId="9" hidden="1"/>
    <cellStyle name="Gevolgde hyperlink" xfId="2362" builtinId="9" hidden="1"/>
    <cellStyle name="Gevolgde hyperlink" xfId="2364" builtinId="9" hidden="1"/>
    <cellStyle name="Gevolgde hyperlink" xfId="2366" builtinId="9" hidden="1"/>
    <cellStyle name="Gevolgde hyperlink" xfId="2368" builtinId="9" hidden="1"/>
    <cellStyle name="Gevolgde hyperlink" xfId="2370" builtinId="9" hidden="1"/>
    <cellStyle name="Gevolgde hyperlink" xfId="2372" builtinId="9" hidden="1"/>
    <cellStyle name="Gevolgde hyperlink" xfId="2374" builtinId="9" hidden="1"/>
    <cellStyle name="Gevolgde hyperlink" xfId="2376" builtinId="9" hidden="1"/>
    <cellStyle name="Gevolgde hyperlink" xfId="2378" builtinId="9" hidden="1"/>
    <cellStyle name="Gevolgde hyperlink" xfId="2380" builtinId="9" hidden="1"/>
    <cellStyle name="Gevolgde hyperlink" xfId="2382" builtinId="9" hidden="1"/>
    <cellStyle name="Gevolgde hyperlink" xfId="2384" builtinId="9" hidden="1"/>
    <cellStyle name="Gevolgde hyperlink" xfId="2386" builtinId="9" hidden="1"/>
    <cellStyle name="Gevolgde hyperlink" xfId="2388" builtinId="9" hidden="1"/>
    <cellStyle name="Gevolgde hyperlink" xfId="2390" builtinId="9" hidden="1"/>
    <cellStyle name="Gevolgde hyperlink" xfId="2392" builtinId="9" hidden="1"/>
    <cellStyle name="Gevolgde hyperlink" xfId="2394" builtinId="9" hidden="1"/>
    <cellStyle name="Gevolgde hyperlink" xfId="2396" builtinId="9" hidden="1"/>
    <cellStyle name="Gevolgde hyperlink" xfId="2398" builtinId="9" hidden="1"/>
    <cellStyle name="Gevolgde hyperlink" xfId="2400" builtinId="9" hidden="1"/>
    <cellStyle name="Gevolgde hyperlink" xfId="2402" builtinId="9" hidden="1"/>
    <cellStyle name="Gevolgde hyperlink" xfId="2404" builtinId="9" hidden="1"/>
    <cellStyle name="Gevolgde hyperlink" xfId="2406" builtinId="9" hidden="1"/>
    <cellStyle name="Gevolgde hyperlink" xfId="2408" builtinId="9" hidden="1"/>
    <cellStyle name="Gevolgde hyperlink" xfId="2410" builtinId="9" hidden="1"/>
    <cellStyle name="Gevolgde hyperlink" xfId="2412" builtinId="9" hidden="1"/>
    <cellStyle name="Gevolgde hyperlink" xfId="2414" builtinId="9" hidden="1"/>
    <cellStyle name="Gevolgde hyperlink" xfId="2416" builtinId="9" hidden="1"/>
    <cellStyle name="Gevolgde hyperlink" xfId="2418" builtinId="9" hidden="1"/>
    <cellStyle name="Gevolgde hyperlink" xfId="2420" builtinId="9" hidden="1"/>
    <cellStyle name="Gevolgde hyperlink" xfId="2422" builtinId="9" hidden="1"/>
    <cellStyle name="Gevolgde hyperlink" xfId="2424" builtinId="9" hidden="1"/>
    <cellStyle name="Gevolgde hyperlink" xfId="2426" builtinId="9" hidden="1"/>
    <cellStyle name="Gevolgde hyperlink" xfId="2428" builtinId="9" hidden="1"/>
    <cellStyle name="Gevolgde hyperlink" xfId="2430" builtinId="9" hidden="1"/>
    <cellStyle name="Gevolgde hyperlink" xfId="2432" builtinId="9" hidden="1"/>
    <cellStyle name="Gevolgde hyperlink" xfId="2434" builtinId="9" hidden="1"/>
    <cellStyle name="Gevolgde hyperlink" xfId="2436" builtinId="9" hidden="1"/>
    <cellStyle name="Gevolgde hyperlink" xfId="2438" builtinId="9" hidden="1"/>
    <cellStyle name="Gevolgde hyperlink" xfId="2440" builtinId="9" hidden="1"/>
    <cellStyle name="Gevolgde hyperlink" xfId="2442" builtinId="9" hidden="1"/>
    <cellStyle name="Gevolgde hyperlink" xfId="2444" builtinId="9" hidden="1"/>
    <cellStyle name="Gevolgde hyperlink" xfId="2446" builtinId="9" hidden="1"/>
    <cellStyle name="Gevolgde hyperlink" xfId="2448" builtinId="9" hidden="1"/>
    <cellStyle name="Gevolgde hyperlink" xfId="2450" builtinId="9" hidden="1"/>
    <cellStyle name="Gevolgde hyperlink" xfId="2452" builtinId="9" hidden="1"/>
    <cellStyle name="Gevolgde hyperlink" xfId="2454" builtinId="9" hidden="1"/>
    <cellStyle name="Gevolgde hyperlink" xfId="2456" builtinId="9" hidden="1"/>
    <cellStyle name="Gevolgde hyperlink" xfId="2458" builtinId="9" hidden="1"/>
    <cellStyle name="Gevolgde hyperlink" xfId="2460" builtinId="9" hidden="1"/>
    <cellStyle name="Gevolgde hyperlink" xfId="2462" builtinId="9" hidden="1"/>
    <cellStyle name="Gevolgde hyperlink" xfId="2464" builtinId="9" hidden="1"/>
    <cellStyle name="Gevolgde hyperlink" xfId="2466" builtinId="9" hidden="1"/>
    <cellStyle name="Gevolgde hyperlink" xfId="2468" builtinId="9" hidden="1"/>
    <cellStyle name="Gevolgde hyperlink" xfId="2470" builtinId="9" hidden="1"/>
    <cellStyle name="Gevolgde hyperlink" xfId="2472" builtinId="9" hidden="1"/>
    <cellStyle name="Gevolgde hyperlink" xfId="2474" builtinId="9" hidden="1"/>
    <cellStyle name="Gevolgde hyperlink" xfId="2476" builtinId="9" hidden="1"/>
    <cellStyle name="Gevolgde hyperlink" xfId="2478" builtinId="9" hidden="1"/>
    <cellStyle name="Gevolgde hyperlink" xfId="2480" builtinId="9" hidden="1"/>
    <cellStyle name="Gevolgde hyperlink" xfId="2482" builtinId="9" hidden="1"/>
    <cellStyle name="Gevolgde hyperlink" xfId="2484" builtinId="9" hidden="1"/>
    <cellStyle name="Gevolgde hyperlink" xfId="2486" builtinId="9" hidden="1"/>
    <cellStyle name="Gevolgde hyperlink" xfId="2488" builtinId="9" hidden="1"/>
    <cellStyle name="Gevolgde hyperlink" xfId="2490" builtinId="9" hidden="1"/>
    <cellStyle name="Gevolgde hyperlink" xfId="2492" builtinId="9" hidden="1"/>
    <cellStyle name="Gevolgde hyperlink" xfId="2494" builtinId="9" hidden="1"/>
    <cellStyle name="Gevolgde hyperlink" xfId="2496" builtinId="9" hidden="1"/>
    <cellStyle name="Gevolgde hyperlink" xfId="2498" builtinId="9" hidden="1"/>
    <cellStyle name="Gevolgde hyperlink" xfId="2500" builtinId="9" hidden="1"/>
    <cellStyle name="Gevolgde hyperlink" xfId="2502" builtinId="9" hidden="1"/>
    <cellStyle name="Gevolgde hyperlink" xfId="2504" builtinId="9" hidden="1"/>
    <cellStyle name="Gevolgde hyperlink" xfId="2506" builtinId="9" hidden="1"/>
    <cellStyle name="Gevolgde hyperlink" xfId="2508" builtinId="9" hidden="1"/>
    <cellStyle name="Gevolgde hyperlink" xfId="2510" builtinId="9" hidden="1"/>
    <cellStyle name="Gevolgde hyperlink" xfId="2513" builtinId="9" hidden="1"/>
    <cellStyle name="Gevolgde hyperlink" xfId="2515" builtinId="9" hidden="1"/>
    <cellStyle name="Gevolgde hyperlink" xfId="2625" builtinId="9" hidden="1"/>
    <cellStyle name="Gevolgde hyperlink" xfId="2627" builtinId="9" hidden="1"/>
    <cellStyle name="Gevolgde hyperlink" xfId="2629" builtinId="9" hidden="1"/>
    <cellStyle name="Gevolgde hyperlink" xfId="2631" builtinId="9" hidden="1"/>
    <cellStyle name="Gevolgde hyperlink" xfId="2633" builtinId="9" hidden="1"/>
    <cellStyle name="Gevolgde hyperlink" xfId="2635" builtinId="9" hidden="1"/>
    <cellStyle name="Gevolgde hyperlink" xfId="2637" builtinId="9" hidden="1"/>
    <cellStyle name="Gevolgde hyperlink" xfId="2639" builtinId="9" hidden="1"/>
    <cellStyle name="Gevolgde hyperlink" xfId="2641" builtinId="9" hidden="1"/>
    <cellStyle name="Gevolgde hyperlink" xfId="2643" builtinId="9" hidden="1"/>
    <cellStyle name="Gevolgde hyperlink" xfId="2645" builtinId="9" hidden="1"/>
    <cellStyle name="Gevolgde hyperlink" xfId="2647" builtinId="9" hidden="1"/>
    <cellStyle name="Gevolgde hyperlink" xfId="2649" builtinId="9" hidden="1"/>
    <cellStyle name="Gevolgde hyperlink" xfId="2651" builtinId="9" hidden="1"/>
    <cellStyle name="Gevolgde hyperlink" xfId="2653" builtinId="9" hidden="1"/>
    <cellStyle name="Gevolgde hyperlink" xfId="2655" builtinId="9" hidden="1"/>
    <cellStyle name="Gevolgde hyperlink" xfId="2657" builtinId="9" hidden="1"/>
    <cellStyle name="Gevolgde hyperlink" xfId="2659" builtinId="9" hidden="1"/>
    <cellStyle name="Gevolgde hyperlink" xfId="2661" builtinId="9" hidden="1"/>
    <cellStyle name="Gevolgde hyperlink" xfId="2663" builtinId="9" hidden="1"/>
    <cellStyle name="Gevolgde hyperlink" xfId="2665" builtinId="9" hidden="1"/>
    <cellStyle name="Gevolgde hyperlink" xfId="2667" builtinId="9" hidden="1"/>
    <cellStyle name="Gevolgde hyperlink" xfId="2669" builtinId="9" hidden="1"/>
    <cellStyle name="Gevolgde hyperlink" xfId="2671" builtinId="9" hidden="1"/>
    <cellStyle name="Gevolgde hyperlink" xfId="2673" builtinId="9" hidden="1"/>
    <cellStyle name="Gevolgde hyperlink" xfId="2675" builtinId="9" hidden="1"/>
    <cellStyle name="Gevolgde hyperlink" xfId="2677" builtinId="9" hidden="1"/>
    <cellStyle name="Gevolgde hyperlink" xfId="2679" builtinId="9" hidden="1"/>
    <cellStyle name="Gevolgde hyperlink" xfId="2681" builtinId="9" hidden="1"/>
    <cellStyle name="Gevolgde hyperlink" xfId="2683" builtinId="9" hidden="1"/>
    <cellStyle name="Gevolgde hyperlink" xfId="2685" builtinId="9" hidden="1"/>
    <cellStyle name="Gevolgde hyperlink" xfId="2687" builtinId="9" hidden="1"/>
    <cellStyle name="Gevolgde hyperlink" xfId="2689" builtinId="9" hidden="1"/>
    <cellStyle name="Gevolgde hyperlink" xfId="2691" builtinId="9" hidden="1"/>
    <cellStyle name="Gevolgde hyperlink" xfId="2693" builtinId="9" hidden="1"/>
    <cellStyle name="Gevolgde hyperlink" xfId="2695" builtinId="9" hidden="1"/>
    <cellStyle name="Gevolgde hyperlink" xfId="2697" builtinId="9" hidden="1"/>
    <cellStyle name="Gevolgde hyperlink" xfId="2699" builtinId="9" hidden="1"/>
    <cellStyle name="Gevolgde hyperlink" xfId="2701" builtinId="9" hidden="1"/>
    <cellStyle name="Gevolgde hyperlink" xfId="2703" builtinId="9" hidden="1"/>
    <cellStyle name="Gevolgde hyperlink" xfId="2705" builtinId="9" hidden="1"/>
    <cellStyle name="Gevolgde hyperlink" xfId="2707" builtinId="9" hidden="1"/>
    <cellStyle name="Gevolgde hyperlink" xfId="2709" builtinId="9" hidden="1"/>
    <cellStyle name="Gevolgde hyperlink" xfId="2711" builtinId="9" hidden="1"/>
    <cellStyle name="Gevolgde hyperlink" xfId="2713" builtinId="9" hidden="1"/>
    <cellStyle name="Gevolgde hyperlink" xfId="2715" builtinId="9" hidden="1"/>
    <cellStyle name="Gevolgde hyperlink" xfId="2717" builtinId="9" hidden="1"/>
    <cellStyle name="Gevolgde hyperlink" xfId="2719" builtinId="9" hidden="1"/>
    <cellStyle name="Gevolgde hyperlink" xfId="2721" builtinId="9" hidden="1"/>
    <cellStyle name="Gevolgde hyperlink" xfId="2723" builtinId="9" hidden="1"/>
    <cellStyle name="Gevolgde hyperlink" xfId="2725" builtinId="9" hidden="1"/>
    <cellStyle name="Gevolgde hyperlink" xfId="2727" builtinId="9" hidden="1"/>
    <cellStyle name="Gevolgde hyperlink" xfId="2729" builtinId="9" hidden="1"/>
    <cellStyle name="Gevolgde hyperlink" xfId="2731" builtinId="9" hidden="1"/>
    <cellStyle name="Gevolgde hyperlink" xfId="2733" builtinId="9" hidden="1"/>
    <cellStyle name="Gevolgde hyperlink" xfId="2735" builtinId="9" hidden="1"/>
    <cellStyle name="Gevolgde hyperlink" xfId="2737" builtinId="9" hidden="1"/>
    <cellStyle name="Gevolgde hyperlink" xfId="2739" builtinId="9" hidden="1"/>
    <cellStyle name="Gevolgde hyperlink" xfId="2741" builtinId="9" hidden="1"/>
    <cellStyle name="Gevolgde hyperlink" xfId="2743" builtinId="9" hidden="1"/>
    <cellStyle name="Gevolgde hyperlink" xfId="2745" builtinId="9" hidden="1"/>
    <cellStyle name="Gevolgde hyperlink" xfId="2747" builtinId="9" hidden="1"/>
    <cellStyle name="Gevolgde hyperlink" xfId="2749" builtinId="9" hidden="1"/>
    <cellStyle name="Gevolgde hyperlink" xfId="2751" builtinId="9" hidden="1"/>
    <cellStyle name="Gevolgde hyperlink" xfId="2753" builtinId="9" hidden="1"/>
    <cellStyle name="Gevolgde hyperlink" xfId="2755" builtinId="9" hidden="1"/>
    <cellStyle name="Gevolgde hyperlink" xfId="2757" builtinId="9" hidden="1"/>
    <cellStyle name="Gevolgde hyperlink" xfId="2759" builtinId="9" hidden="1"/>
    <cellStyle name="Gevolgde hyperlink" xfId="2761" builtinId="9" hidden="1"/>
    <cellStyle name="Gevolgde hyperlink" xfId="2763" builtinId="9" hidden="1"/>
    <cellStyle name="Gevolgde hyperlink" xfId="2765" builtinId="9" hidden="1"/>
    <cellStyle name="Gevolgde hyperlink" xfId="2767" builtinId="9" hidden="1"/>
    <cellStyle name="Gevolgde hyperlink" xfId="2769" builtinId="9" hidden="1"/>
    <cellStyle name="Gevolgde hyperlink" xfId="2771" builtinId="9" hidden="1"/>
    <cellStyle name="Gevolgde hyperlink" xfId="2773" builtinId="9" hidden="1"/>
    <cellStyle name="Gevolgde hyperlink" xfId="2775" builtinId="9" hidden="1"/>
    <cellStyle name="Gevolgde hyperlink" xfId="2777" builtinId="9" hidden="1"/>
    <cellStyle name="Gevolgde hyperlink" xfId="2779" builtinId="9" hidden="1"/>
    <cellStyle name="Gevolgde hyperlink" xfId="2781" builtinId="9" hidden="1"/>
    <cellStyle name="Gevolgde hyperlink" xfId="2783" builtinId="9" hidden="1"/>
    <cellStyle name="Gevolgde hyperlink" xfId="2785" builtinId="9" hidden="1"/>
    <cellStyle name="Gevolgde hyperlink" xfId="2787" builtinId="9" hidden="1"/>
    <cellStyle name="Gevolgde hyperlink" xfId="2789" builtinId="9" hidden="1"/>
    <cellStyle name="Gevolgde hyperlink" xfId="2791" builtinId="9" hidden="1"/>
    <cellStyle name="Gevolgde hyperlink" xfId="2793" builtinId="9" hidden="1"/>
    <cellStyle name="Gevolgde hyperlink" xfId="2795" builtinId="9" hidden="1"/>
    <cellStyle name="Gevolgde hyperlink" xfId="2797" builtinId="9" hidden="1"/>
    <cellStyle name="Gevolgde hyperlink" xfId="2799" builtinId="9" hidden="1"/>
    <cellStyle name="Gevolgde hyperlink" xfId="2801" builtinId="9" hidden="1"/>
    <cellStyle name="Gevolgde hyperlink" xfId="2803" builtinId="9" hidden="1"/>
    <cellStyle name="Gevolgde hyperlink" xfId="2805" builtinId="9" hidden="1"/>
    <cellStyle name="Gevolgde hyperlink" xfId="2807" builtinId="9" hidden="1"/>
    <cellStyle name="Gevolgde hyperlink" xfId="2809" builtinId="9" hidden="1"/>
    <cellStyle name="Gevolgde hyperlink" xfId="2811" builtinId="9" hidden="1"/>
    <cellStyle name="Gevolgde hyperlink" xfId="2813" builtinId="9" hidden="1"/>
    <cellStyle name="Gevolgde hyperlink" xfId="2815" builtinId="9" hidden="1"/>
    <cellStyle name="Gevolgde hyperlink" xfId="2817" builtinId="9" hidden="1"/>
    <cellStyle name="Gevolgde hyperlink" xfId="2819" builtinId="9" hidden="1"/>
    <cellStyle name="Gevolgde hyperlink" xfId="2821" builtinId="9" hidden="1"/>
    <cellStyle name="Gevolgde hyperlink" xfId="2823" builtinId="9" hidden="1"/>
    <cellStyle name="Gevolgde hyperlink" xfId="2825" builtinId="9" hidden="1"/>
    <cellStyle name="Gevolgde hyperlink" xfId="2827" builtinId="9" hidden="1"/>
    <cellStyle name="Gevolgde hyperlink" xfId="2829" builtinId="9" hidden="1"/>
    <cellStyle name="Gevolgde hyperlink" xfId="2831" builtinId="9" hidden="1"/>
    <cellStyle name="Gevolgde hyperlink" xfId="2833" builtinId="9" hidden="1"/>
    <cellStyle name="Gevolgde hyperlink" xfId="2835" builtinId="9" hidden="1"/>
    <cellStyle name="Gevolgde hyperlink" xfId="2837" builtinId="9" hidden="1"/>
    <cellStyle name="Gevolgde hyperlink" xfId="2839" builtinId="9" hidden="1"/>
    <cellStyle name="Gevolgde hyperlink" xfId="2841" builtinId="9" hidden="1"/>
    <cellStyle name="Gevolgde hyperlink" xfId="2843" builtinId="9" hidden="1"/>
    <cellStyle name="Gevolgde hyperlink" xfId="2845" builtinId="9" hidden="1"/>
    <cellStyle name="Gevolgde hyperlink" xfId="2847" builtinId="9" hidden="1"/>
    <cellStyle name="Gevolgde hyperlink" xfId="2849" builtinId="9" hidden="1"/>
    <cellStyle name="Gevolgde hyperlink" xfId="2851" builtinId="9" hidden="1"/>
    <cellStyle name="Gevolgde hyperlink" xfId="2853" builtinId="9" hidden="1"/>
    <cellStyle name="Gevolgde hyperlink" xfId="2855" builtinId="9" hidden="1"/>
    <cellStyle name="Gevolgde hyperlink" xfId="2857" builtinId="9" hidden="1"/>
    <cellStyle name="Gevolgde hyperlink" xfId="2859" builtinId="9" hidden="1"/>
    <cellStyle name="Gevolgde hyperlink" xfId="2861" builtinId="9" hidden="1"/>
    <cellStyle name="Gevolgde hyperlink" xfId="2863" builtinId="9" hidden="1"/>
    <cellStyle name="Gevolgde hyperlink" xfId="2865" builtinId="9" hidden="1"/>
    <cellStyle name="Gevolgde hyperlink" xfId="2867" builtinId="9" hidden="1"/>
    <cellStyle name="Gevolgde hyperlink" xfId="2869" builtinId="9" hidden="1"/>
    <cellStyle name="Gevolgde hyperlink" xfId="2871" builtinId="9" hidden="1"/>
    <cellStyle name="Gevolgde hyperlink" xfId="2873" builtinId="9" hidden="1"/>
    <cellStyle name="Gevolgde hyperlink" xfId="2875" builtinId="9" hidden="1"/>
    <cellStyle name="Gevolgde hyperlink" xfId="2877" builtinId="9" hidden="1"/>
    <cellStyle name="Gevolgde hyperlink" xfId="2879" builtinId="9" hidden="1"/>
    <cellStyle name="Gevolgde hyperlink" xfId="2881" builtinId="9" hidden="1"/>
    <cellStyle name="Gevolgde hyperlink" xfId="2883" builtinId="9" hidden="1"/>
    <cellStyle name="Gevolgde hyperlink" xfId="2885" builtinId="9" hidden="1"/>
    <cellStyle name="Gevolgde hyperlink" xfId="2887" builtinId="9" hidden="1"/>
    <cellStyle name="Gevolgde hyperlink" xfId="2889" builtinId="9" hidden="1"/>
    <cellStyle name="Gevolgde hyperlink" xfId="2891" builtinId="9" hidden="1"/>
    <cellStyle name="Gevolgde hyperlink" xfId="2893" builtinId="9" hidden="1"/>
    <cellStyle name="Gevolgde hyperlink" xfId="2895" builtinId="9" hidden="1"/>
    <cellStyle name="Gevolgde hyperlink" xfId="2897" builtinId="9" hidden="1"/>
    <cellStyle name="Gevolgde hyperlink" xfId="2899" builtinId="9" hidden="1"/>
    <cellStyle name="Gevolgde hyperlink" xfId="2901" builtinId="9" hidden="1"/>
    <cellStyle name="Gevolgde hyperlink" xfId="2903" builtinId="9" hidden="1"/>
    <cellStyle name="Gevolgde hyperlink" xfId="2905" builtinId="9" hidden="1"/>
    <cellStyle name="Gevolgde hyperlink" xfId="2907" builtinId="9" hidden="1"/>
    <cellStyle name="Gevolgde hyperlink" xfId="2909" builtinId="9" hidden="1"/>
    <cellStyle name="Gevolgde hyperlink" xfId="2911" builtinId="9" hidden="1"/>
    <cellStyle name="Gevolgde hyperlink" xfId="2913" builtinId="9" hidden="1"/>
    <cellStyle name="Gevolgde hyperlink" xfId="2915" builtinId="9" hidden="1"/>
    <cellStyle name="Gevolgde hyperlink" xfId="2917" builtinId="9" hidden="1"/>
    <cellStyle name="Gevolgde hyperlink" xfId="2919" builtinId="9" hidden="1"/>
    <cellStyle name="Gevolgde hyperlink" xfId="2921" builtinId="9" hidden="1"/>
    <cellStyle name="Gevolgde hyperlink" xfId="2923" builtinId="9" hidden="1"/>
    <cellStyle name="Gevolgde hyperlink" xfId="2925" builtinId="9" hidden="1"/>
    <cellStyle name="Gevolgde hyperlink" xfId="2927" builtinId="9" hidden="1"/>
    <cellStyle name="Gevolgde hyperlink" xfId="2929" builtinId="9" hidden="1"/>
    <cellStyle name="Gevolgde hyperlink" xfId="2931" builtinId="9" hidden="1"/>
    <cellStyle name="Gevolgde hyperlink" xfId="2933" builtinId="9" hidden="1"/>
    <cellStyle name="Gevolgde hyperlink" xfId="2935" builtinId="9" hidden="1"/>
    <cellStyle name="Gevolgde hyperlink" xfId="2937" builtinId="9" hidden="1"/>
    <cellStyle name="Gevolgde hyperlink" xfId="2939" builtinId="9" hidden="1"/>
    <cellStyle name="Gevolgde hyperlink" xfId="2941" builtinId="9" hidden="1"/>
    <cellStyle name="Gevolgde hyperlink" xfId="2943" builtinId="9" hidden="1"/>
    <cellStyle name="Gevolgde hyperlink" xfId="2945" builtinId="9" hidden="1"/>
    <cellStyle name="Gevolgde hyperlink" xfId="2947" builtinId="9" hidden="1"/>
    <cellStyle name="Gevolgde hyperlink" xfId="2949" builtinId="9" hidden="1"/>
    <cellStyle name="Gevolgde hyperlink" xfId="2951" builtinId="9" hidden="1"/>
    <cellStyle name="Gevolgde hyperlink" xfId="2953" builtinId="9" hidden="1"/>
    <cellStyle name="Gevolgde hyperlink" xfId="2955" builtinId="9" hidden="1"/>
    <cellStyle name="Gevolgde hyperlink" xfId="2957" builtinId="9" hidden="1"/>
    <cellStyle name="Gevolgde hyperlink" xfId="2959" builtinId="9" hidden="1"/>
    <cellStyle name="Gevolgde hyperlink" xfId="2961" builtinId="9" hidden="1"/>
    <cellStyle name="Gevolgde hyperlink" xfId="2963" builtinId="9" hidden="1"/>
    <cellStyle name="Gevolgde hyperlink" xfId="2965" builtinId="9" hidden="1"/>
    <cellStyle name="Gevolgde hyperlink" xfId="2967" builtinId="9" hidden="1"/>
    <cellStyle name="Gevolgde hyperlink" xfId="2969" builtinId="9" hidden="1"/>
    <cellStyle name="Gevolgde hyperlink" xfId="2971" builtinId="9" hidden="1"/>
    <cellStyle name="Gevolgde hyperlink" xfId="2973" builtinId="9" hidden="1"/>
    <cellStyle name="Gevolgde hyperlink" xfId="2975" builtinId="9" hidden="1"/>
    <cellStyle name="Gevolgde hyperlink" xfId="2977" builtinId="9" hidden="1"/>
    <cellStyle name="Gevolgde hyperlink" xfId="2979" builtinId="9" hidden="1"/>
    <cellStyle name="Gevolgde hyperlink" xfId="2981" builtinId="9" hidden="1"/>
    <cellStyle name="Gevolgde hyperlink" xfId="2983" builtinId="9" hidden="1"/>
    <cellStyle name="Gevolgde hyperlink" xfId="2985" builtinId="9" hidden="1"/>
    <cellStyle name="Gevolgde hyperlink" xfId="2987" builtinId="9" hidden="1"/>
    <cellStyle name="Gevolgde hyperlink" xfId="2989" builtinId="9" hidden="1"/>
    <cellStyle name="Gevolgde hyperlink" xfId="2991" builtinId="9" hidden="1"/>
    <cellStyle name="Gevolgde hyperlink" xfId="2993" builtinId="9" hidden="1"/>
    <cellStyle name="Gevolgde hyperlink" xfId="2995" builtinId="9" hidden="1"/>
    <cellStyle name="Gevolgde hyperlink" xfId="2997" builtinId="9" hidden="1"/>
    <cellStyle name="Gevolgde hyperlink" xfId="2999" builtinId="9" hidden="1"/>
    <cellStyle name="Gevolgde hyperlink" xfId="3001" builtinId="9" hidden="1"/>
    <cellStyle name="Gevolgde hyperlink" xfId="3003" builtinId="9" hidden="1"/>
    <cellStyle name="Gevolgde hyperlink" xfId="3005" builtinId="9" hidden="1"/>
    <cellStyle name="Gevolgde hyperlink" xfId="3007" builtinId="9" hidden="1"/>
    <cellStyle name="Gevolgde hyperlink" xfId="3009" builtinId="9" hidden="1"/>
    <cellStyle name="Gevolgde hyperlink" xfId="3011" builtinId="9" hidden="1"/>
    <cellStyle name="Gevolgde hyperlink" xfId="3013" builtinId="9" hidden="1"/>
    <cellStyle name="Gevolgde hyperlink" xfId="3015" builtinId="9" hidden="1"/>
    <cellStyle name="Gevolgde hyperlink" xfId="3017" builtinId="9" hidden="1"/>
    <cellStyle name="Gevolgde hyperlink" xfId="3019" builtinId="9" hidden="1"/>
    <cellStyle name="Gevolgde hyperlink" xfId="3021" builtinId="9" hidden="1"/>
    <cellStyle name="Gevolgde hyperlink" xfId="3023" builtinId="9" hidden="1"/>
    <cellStyle name="Gevolgde hyperlink" xfId="3025" builtinId="9" hidden="1"/>
    <cellStyle name="Gevolgde hyperlink" xfId="3027" builtinId="9" hidden="1"/>
    <cellStyle name="Gevolgde hyperlink" xfId="3029" builtinId="9" hidden="1"/>
    <cellStyle name="Gevolgde hyperlink" xfId="3031" builtinId="9" hidden="1"/>
    <cellStyle name="Gevolgde hyperlink" xfId="3033" builtinId="9" hidden="1"/>
    <cellStyle name="Gevolgde hyperlink" xfId="3035" builtinId="9" hidden="1"/>
    <cellStyle name="Gevolgde hyperlink" xfId="3037" builtinId="9" hidden="1"/>
    <cellStyle name="Gevolgde hyperlink" xfId="3039" builtinId="9" hidden="1"/>
    <cellStyle name="Gevolgde hyperlink" xfId="3041" builtinId="9" hidden="1"/>
    <cellStyle name="Gevolgde hyperlink" xfId="3043" builtinId="9" hidden="1"/>
    <cellStyle name="Gevolgde hyperlink" xfId="3045" builtinId="9" hidden="1"/>
    <cellStyle name="Gevolgde hyperlink" xfId="3047" builtinId="9" hidden="1"/>
    <cellStyle name="Gevolgde hyperlink" xfId="3049" builtinId="9" hidden="1"/>
    <cellStyle name="Gevolgde hyperlink" xfId="3051" builtinId="9" hidden="1"/>
    <cellStyle name="Gevolgde hyperlink" xfId="3053" builtinId="9" hidden="1"/>
    <cellStyle name="Gevolgde hyperlink" xfId="3055" builtinId="9" hidden="1"/>
    <cellStyle name="Gevolgde hyperlink" xfId="3057" builtinId="9" hidden="1"/>
    <cellStyle name="Gevolgde hyperlink" xfId="3059" builtinId="9" hidden="1"/>
    <cellStyle name="Gevolgde hyperlink" xfId="3061" builtinId="9" hidden="1"/>
    <cellStyle name="Gevolgde hyperlink" xfId="3063" builtinId="9" hidden="1"/>
    <cellStyle name="Gevolgde hyperlink" xfId="3065" builtinId="9" hidden="1"/>
    <cellStyle name="Gevolgde hyperlink" xfId="3067" builtinId="9" hidden="1"/>
    <cellStyle name="Gevolgde hyperlink" xfId="3069" builtinId="9" hidden="1"/>
    <cellStyle name="Gevolgde hyperlink" xfId="3071" builtinId="9" hidden="1"/>
    <cellStyle name="Gevolgde hyperlink" xfId="3073" builtinId="9" hidden="1"/>
    <cellStyle name="Gevolgde hyperlink" xfId="3075" builtinId="9" hidden="1"/>
    <cellStyle name="Gevolgde hyperlink" xfId="3077" builtinId="9" hidden="1"/>
    <cellStyle name="Gevolgde hyperlink" xfId="3079" builtinId="9" hidden="1"/>
    <cellStyle name="Gevolgde hyperlink" xfId="3081" builtinId="9" hidden="1"/>
    <cellStyle name="Gevolgde hyperlink" xfId="3083" builtinId="9" hidden="1"/>
    <cellStyle name="Gevolgde hyperlink" xfId="3085" builtinId="9" hidden="1"/>
    <cellStyle name="Gevolgde hyperlink" xfId="3087" builtinId="9" hidden="1"/>
    <cellStyle name="Gevolgde hyperlink" xfId="3089" builtinId="9" hidden="1"/>
    <cellStyle name="Gevolgde hyperlink" xfId="3091" builtinId="9" hidden="1"/>
    <cellStyle name="Gevolgde hyperlink" xfId="3093" builtinId="9" hidden="1"/>
    <cellStyle name="Gevolgde hyperlink" xfId="3095" builtinId="9" hidden="1"/>
    <cellStyle name="Gevolgde hyperlink" xfId="3097" builtinId="9" hidden="1"/>
    <cellStyle name="Gevolgde hyperlink" xfId="3099" builtinId="9" hidden="1"/>
    <cellStyle name="Gevolgde hyperlink" xfId="3101" builtinId="9" hidden="1"/>
    <cellStyle name="Gevolgde hyperlink" xfId="3103" builtinId="9" hidden="1"/>
    <cellStyle name="Gevolgde hyperlink" xfId="3105" builtinId="9" hidden="1"/>
    <cellStyle name="Gevolgde hyperlink" xfId="3107" builtinId="9" hidden="1"/>
    <cellStyle name="Gevolgde hyperlink" xfId="3109" builtinId="9" hidden="1"/>
    <cellStyle name="Gevolgde hyperlink" xfId="3111" builtinId="9" hidden="1"/>
    <cellStyle name="Gevolgde hyperlink" xfId="3113" builtinId="9" hidden="1"/>
    <cellStyle name="Gevolgde hyperlink" xfId="3115" builtinId="9" hidden="1"/>
    <cellStyle name="Gevolgde hyperlink" xfId="3117" builtinId="9" hidden="1"/>
    <cellStyle name="Gevolgde hyperlink" xfId="3119" builtinId="9" hidden="1"/>
    <cellStyle name="Gevolgde hyperlink" xfId="3121" builtinId="9" hidden="1"/>
    <cellStyle name="Gevolgde hyperlink" xfId="3123" builtinId="9" hidden="1"/>
    <cellStyle name="Gevolgde hyperlink" xfId="3125" builtinId="9" hidden="1"/>
    <cellStyle name="Gevolgde hyperlink" xfId="3127" builtinId="9" hidden="1"/>
    <cellStyle name="Gevolgde hyperlink" xfId="3129" builtinId="9" hidden="1"/>
    <cellStyle name="Gevolgde hyperlink" xfId="3131" builtinId="9" hidden="1"/>
    <cellStyle name="Gevolgde hyperlink" xfId="3133" builtinId="9" hidden="1"/>
    <cellStyle name="Gevolgde hyperlink" xfId="3135" builtinId="9" hidden="1"/>
    <cellStyle name="Gevolgde hyperlink" xfId="3137" builtinId="9" hidden="1"/>
    <cellStyle name="Gevolgde hyperlink" xfId="3139" builtinId="9" hidden="1"/>
    <cellStyle name="Gevolgde hyperlink" xfId="3141" builtinId="9" hidden="1"/>
    <cellStyle name="Gevolgde hyperlink" xfId="3143" builtinId="9" hidden="1"/>
    <cellStyle name="Gevolgde hyperlink" xfId="3145" builtinId="9" hidden="1"/>
    <cellStyle name="Gevolgde hyperlink" xfId="3147" builtinId="9" hidden="1"/>
    <cellStyle name="Gevolgde hyperlink" xfId="3149" builtinId="9" hidden="1"/>
    <cellStyle name="Gevolgde hyperlink" xfId="3151" builtinId="9" hidden="1"/>
    <cellStyle name="Gevolgde hyperlink" xfId="3153" builtinId="9" hidden="1"/>
    <cellStyle name="Gevolgde hyperlink" xfId="3155" builtinId="9" hidden="1"/>
    <cellStyle name="Gevolgde hyperlink" xfId="3157" builtinId="9" hidden="1"/>
    <cellStyle name="Gevolgde hyperlink" xfId="3159" builtinId="9" hidden="1"/>
    <cellStyle name="Gevolgde hyperlink" xfId="3161" builtinId="9" hidden="1"/>
    <cellStyle name="Gevolgde hyperlink" xfId="3163" builtinId="9" hidden="1"/>
    <cellStyle name="Gevolgde hyperlink" xfId="3165" builtinId="9" hidden="1"/>
    <cellStyle name="Gevolgde hyperlink" xfId="3167" builtinId="9" hidden="1"/>
    <cellStyle name="Gevolgde hyperlink" xfId="3169" builtinId="9" hidden="1"/>
    <cellStyle name="Gevolgde hyperlink" xfId="3171" builtinId="9" hidden="1"/>
    <cellStyle name="Gevolgde hyperlink" xfId="3173" builtinId="9" hidden="1"/>
    <cellStyle name="Gevolgde hyperlink" xfId="3175" builtinId="9" hidden="1"/>
    <cellStyle name="Gevolgde hyperlink" xfId="3177" builtinId="9" hidden="1"/>
    <cellStyle name="Gevolgde hyperlink" xfId="3179" builtinId="9" hidden="1"/>
    <cellStyle name="Gevolgde hyperlink" xfId="3181" builtinId="9" hidden="1"/>
    <cellStyle name="Gevolgde hyperlink" xfId="3183" builtinId="9" hidden="1"/>
    <cellStyle name="Gevolgde hyperlink" xfId="3185" builtinId="9" hidden="1"/>
    <cellStyle name="Gevolgde hyperlink" xfId="3187" builtinId="9" hidden="1"/>
    <cellStyle name="Gevolgde hyperlink" xfId="3189" builtinId="9" hidden="1"/>
    <cellStyle name="Gevolgde hyperlink" xfId="3191" builtinId="9" hidden="1"/>
    <cellStyle name="Gevolgde hyperlink" xfId="3193" builtinId="9" hidden="1"/>
    <cellStyle name="Gevolgde hyperlink" xfId="3195" builtinId="9" hidden="1"/>
    <cellStyle name="Gevolgde hyperlink" xfId="3197" builtinId="9" hidden="1"/>
    <cellStyle name="Gevolgde hyperlink" xfId="3199" builtinId="9" hidden="1"/>
    <cellStyle name="Gevolgde hyperlink" xfId="3201" builtinId="9" hidden="1"/>
    <cellStyle name="Gevolgde hyperlink" xfId="3203" builtinId="9" hidden="1"/>
    <cellStyle name="Gevolgde hyperlink" xfId="3205" builtinId="9" hidden="1"/>
    <cellStyle name="Gevolgde hyperlink" xfId="3207" builtinId="9" hidden="1"/>
    <cellStyle name="Gevolgde hyperlink" xfId="3209" builtinId="9" hidden="1"/>
    <cellStyle name="Gevolgde hyperlink" xfId="3211" builtinId="9" hidden="1"/>
    <cellStyle name="Gevolgde hyperlink" xfId="3213" builtinId="9" hidden="1"/>
    <cellStyle name="Gevolgde hyperlink" xfId="3215" builtinId="9" hidden="1"/>
    <cellStyle name="Gevolgde hyperlink" xfId="3217" builtinId="9" hidden="1"/>
    <cellStyle name="Gevolgde hyperlink" xfId="3219" builtinId="9" hidden="1"/>
    <cellStyle name="Gevolgde hyperlink" xfId="3221" builtinId="9" hidden="1"/>
    <cellStyle name="Gevolgde hyperlink" xfId="3223" builtinId="9" hidden="1"/>
    <cellStyle name="Gevolgde hyperlink" xfId="3225" builtinId="9" hidden="1"/>
    <cellStyle name="Gevolgde hyperlink" xfId="3227" builtinId="9" hidden="1"/>
    <cellStyle name="Gevolgde hyperlink" xfId="3229" builtinId="9" hidden="1"/>
    <cellStyle name="Gevolgde hyperlink" xfId="3231" builtinId="9" hidden="1"/>
    <cellStyle name="Gevolgde hyperlink" xfId="3233" builtinId="9" hidden="1"/>
    <cellStyle name="Gevolgde hyperlink" xfId="3235" builtinId="9" hidden="1"/>
    <cellStyle name="Gevolgde hyperlink" xfId="3237" builtinId="9" hidden="1"/>
    <cellStyle name="Gevolgde hyperlink" xfId="3239" builtinId="9" hidden="1"/>
    <cellStyle name="Gevolgde hyperlink" xfId="3241" builtinId="9" hidden="1"/>
    <cellStyle name="Gevolgde hyperlink" xfId="3243" builtinId="9" hidden="1"/>
    <cellStyle name="Gevolgde hyperlink" xfId="3245" builtinId="9" hidden="1"/>
    <cellStyle name="Gevolgde hyperlink" xfId="3247" builtinId="9" hidden="1"/>
    <cellStyle name="Gevolgde hyperlink" xfId="3249" builtinId="9" hidden="1"/>
    <cellStyle name="Gevolgde hyperlink" xfId="3251" builtinId="9" hidden="1"/>
    <cellStyle name="Gevolgde hyperlink" xfId="3253" builtinId="9" hidden="1"/>
    <cellStyle name="Gevolgde hyperlink" xfId="3255" builtinId="9" hidden="1"/>
    <cellStyle name="Gevolgde hyperlink" xfId="3257" builtinId="9" hidden="1"/>
    <cellStyle name="Gevolgde hyperlink" xfId="3259" builtinId="9" hidden="1"/>
    <cellStyle name="Gevolgde hyperlink" xfId="3261" builtinId="9" hidden="1"/>
    <cellStyle name="Gevolgde hyperlink" xfId="3263" builtinId="9" hidden="1"/>
    <cellStyle name="Gevolgde hyperlink" xfId="3265" builtinId="9" hidden="1"/>
    <cellStyle name="Gevolgde hyperlink" xfId="3267" builtinId="9" hidden="1"/>
    <cellStyle name="Gevolgde hyperlink" xfId="3269" builtinId="9" hidden="1"/>
    <cellStyle name="Gevolgde hyperlink" xfId="3271" builtinId="9" hidden="1"/>
    <cellStyle name="Gevolgde hyperlink" xfId="3273" builtinId="9" hidden="1"/>
    <cellStyle name="Gevolgde hyperlink" xfId="3275" builtinId="9" hidden="1"/>
    <cellStyle name="Gevolgde hyperlink" xfId="3277" builtinId="9" hidden="1"/>
    <cellStyle name="Gevolgde hyperlink" xfId="3279" builtinId="9" hidden="1"/>
    <cellStyle name="Gevolgde hyperlink" xfId="3281" builtinId="9" hidden="1"/>
    <cellStyle name="Gevolgde hyperlink" xfId="3283" builtinId="9" hidden="1"/>
    <cellStyle name="Gevolgde hyperlink" xfId="3285" builtinId="9" hidden="1"/>
    <cellStyle name="Gevolgde hyperlink" xfId="3287" builtinId="9" hidden="1"/>
    <cellStyle name="Gevolgde hyperlink" xfId="3289" builtinId="9" hidden="1"/>
    <cellStyle name="Gevolgde hyperlink" xfId="3291" builtinId="9" hidden="1"/>
    <cellStyle name="Gevolgde hyperlink" xfId="3293" builtinId="9" hidden="1"/>
    <cellStyle name="Gevolgde hyperlink" xfId="3295" builtinId="9" hidden="1"/>
    <cellStyle name="Gevolgde hyperlink" xfId="3297" builtinId="9" hidden="1"/>
    <cellStyle name="Gevolgde hyperlink" xfId="3299" builtinId="9" hidden="1"/>
    <cellStyle name="Gevolgde hyperlink" xfId="3301" builtinId="9" hidden="1"/>
    <cellStyle name="Gevolgde hyperlink" xfId="3303" builtinId="9" hidden="1"/>
    <cellStyle name="Gevolgde hyperlink" xfId="3305" builtinId="9" hidden="1"/>
    <cellStyle name="Gevolgde hyperlink" xfId="3307" builtinId="9" hidden="1"/>
    <cellStyle name="Gevolgde hyperlink" xfId="3309" builtinId="9" hidden="1"/>
    <cellStyle name="Gevolgde hyperlink" xfId="3311" builtinId="9" hidden="1"/>
    <cellStyle name="Gevolgde hyperlink" xfId="3313" builtinId="9" hidden="1"/>
    <cellStyle name="Gevolgde hyperlink" xfId="3315" builtinId="9" hidden="1"/>
    <cellStyle name="Gevolgde hyperlink" xfId="3317" builtinId="9" hidden="1"/>
    <cellStyle name="Gevolgde hyperlink" xfId="3319" builtinId="9" hidden="1"/>
    <cellStyle name="Gevolgde hyperlink" xfId="3321" builtinId="9" hidden="1"/>
    <cellStyle name="Gevolgde hyperlink" xfId="3323" builtinId="9" hidden="1"/>
    <cellStyle name="Gevolgde hyperlink" xfId="3325" builtinId="9" hidden="1"/>
    <cellStyle name="Goed" xfId="9" xr:uid="{00000000-0005-0000-0000-000068060000}"/>
    <cellStyle name="Goed 2" xfId="2558" xr:uid="{00000000-0005-0000-0000-000069060000}"/>
    <cellStyle name="Good" xfId="2559" xr:uid="{00000000-0005-0000-0000-00006A060000}"/>
    <cellStyle name="Heading 1" xfId="2560" xr:uid="{00000000-0005-0000-0000-00006B060000}"/>
    <cellStyle name="Heading 2" xfId="2561" xr:uid="{00000000-0005-0000-0000-00006C060000}"/>
    <cellStyle name="Heading 3" xfId="2562" xr:uid="{00000000-0005-0000-0000-00006D060000}"/>
    <cellStyle name="Heading 4" xfId="2563" xr:uid="{00000000-0005-0000-0000-00006E060000}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2" builtinId="8" hidden="1"/>
    <cellStyle name="Hyperlink" xfId="2514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320" builtinId="8" hidden="1"/>
    <cellStyle name="Hyperlink" xfId="3322" builtinId="8" hidden="1"/>
    <cellStyle name="Hyperlink" xfId="3324" builtinId="8" hidden="1"/>
    <cellStyle name="Hyperlink 2" xfId="2564" xr:uid="{00000000-0005-0000-0000-0000A70C0000}"/>
    <cellStyle name="Input" xfId="2565" xr:uid="{00000000-0005-0000-0000-0000A80C0000}"/>
    <cellStyle name="Invoer 2" xfId="2566" xr:uid="{00000000-0005-0000-0000-0000A90C0000}"/>
    <cellStyle name="Komma" xfId="10" builtinId="3"/>
    <cellStyle name="Komma 2" xfId="2567" xr:uid="{00000000-0005-0000-0000-0000AC0C0000}"/>
    <cellStyle name="Komma0" xfId="2568" xr:uid="{00000000-0005-0000-0000-0000AD0C0000}"/>
    <cellStyle name="kop" xfId="11" xr:uid="{00000000-0005-0000-0000-0000AE0C0000}"/>
    <cellStyle name="Kop 1 2" xfId="2569" xr:uid="{00000000-0005-0000-0000-0000AF0C0000}"/>
    <cellStyle name="Kop 2 2" xfId="2570" xr:uid="{00000000-0005-0000-0000-0000B00C0000}"/>
    <cellStyle name="Kop 3 2" xfId="2571" xr:uid="{00000000-0005-0000-0000-0000B10C0000}"/>
    <cellStyle name="Kop 4 2" xfId="2572" xr:uid="{00000000-0005-0000-0000-0000B20C0000}"/>
    <cellStyle name="Koppen_rekenblad" xfId="12" xr:uid="{00000000-0005-0000-0000-0000B30C0000}"/>
    <cellStyle name="koppenrekenblad2" xfId="13" xr:uid="{00000000-0005-0000-0000-0000B40C0000}"/>
    <cellStyle name="Linked Cell" xfId="2573" xr:uid="{00000000-0005-0000-0000-0000B50C0000}"/>
    <cellStyle name="m2" xfId="14" xr:uid="{00000000-0005-0000-0000-0000B60C0000}"/>
    <cellStyle name="Neutraal" xfId="15" xr:uid="{00000000-0005-0000-0000-0000B70C0000}"/>
    <cellStyle name="Neutraal 2" xfId="2574" xr:uid="{00000000-0005-0000-0000-0000B80C0000}"/>
    <cellStyle name="Neutral" xfId="2575" xr:uid="{00000000-0005-0000-0000-0000B90C0000}"/>
    <cellStyle name="Normaal 2" xfId="2511" xr:uid="{00000000-0005-0000-0000-0000BB0C0000}"/>
    <cellStyle name="Normaal 3" xfId="2516" xr:uid="{00000000-0005-0000-0000-0000BC0C0000}"/>
    <cellStyle name="Normaal 4" xfId="2576" xr:uid="{00000000-0005-0000-0000-0000BD0C0000}"/>
    <cellStyle name="Normal_ KLM-CTR(STA)-Recap.xls" xfId="16" xr:uid="{00000000-0005-0000-0000-0000BE0C0000}"/>
    <cellStyle name="Normal_AFRPPRIJS.xls" xfId="17" xr:uid="{00000000-0005-0000-0000-0000C00C0000}"/>
    <cellStyle name="Normal_ATIR-Calc-Uurtarief 2001" xfId="18" xr:uid="{00000000-0005-0000-0000-0000C10C0000}"/>
    <cellStyle name="Normal_CALCULATIEBLAD.XLS" xfId="19" xr:uid="{00000000-0005-0000-0000-0000C20C0000}"/>
    <cellStyle name="Normal_GH-Calc_perceel_1_en_2.xls" xfId="20" xr:uid="{00000000-0005-0000-0000-0000C30C0000}"/>
    <cellStyle name="Normal_GH-Calc_perceel_1_en_2.xls 2" xfId="3327" xr:uid="{506EE6C4-0FEC-3745-8C8B-2EE313FB7477}"/>
    <cellStyle name="Normal_MACHINEKST.xls" xfId="21" xr:uid="{00000000-0005-0000-0000-0000C50C0000}"/>
    <cellStyle name="Normal_schoonmaaktot.xls" xfId="22" xr:uid="{00000000-0005-0000-0000-0000C70C0000}"/>
    <cellStyle name="Normal_Uurtarieven 2000 LEVERANCIER" xfId="23" xr:uid="{00000000-0005-0000-0000-0000C80C0000}"/>
    <cellStyle name="Normal_Workbook1_AFRPPRIJS.xls" xfId="24" xr:uid="{00000000-0005-0000-0000-0000C90C0000}"/>
    <cellStyle name="Note" xfId="2577" xr:uid="{00000000-0005-0000-0000-0000CA0C0000}"/>
    <cellStyle name="Note 2" xfId="2578" xr:uid="{00000000-0005-0000-0000-0000CB0C0000}"/>
    <cellStyle name="Note_1.3-Basis ruimtestaat" xfId="2579" xr:uid="{00000000-0005-0000-0000-0000CC0C0000}"/>
    <cellStyle name="Notitie 2" xfId="2580" xr:uid="{00000000-0005-0000-0000-0000CD0C0000}"/>
    <cellStyle name="Ongedefinieerd" xfId="25" xr:uid="{00000000-0005-0000-0000-0000CE0C0000}"/>
    <cellStyle name="Ongeldig 2" xfId="2581" xr:uid="{00000000-0005-0000-0000-0000CF0C0000}"/>
    <cellStyle name="Output" xfId="2582" xr:uid="{00000000-0005-0000-0000-0000D00C0000}"/>
    <cellStyle name="Procent" xfId="26" builtinId="5"/>
    <cellStyle name="Procent 2" xfId="2517" xr:uid="{00000000-0005-0000-0000-0000D20C0000}"/>
    <cellStyle name="Procent 2 2" xfId="2583" xr:uid="{00000000-0005-0000-0000-0000D30C0000}"/>
    <cellStyle name="Procent 2 3" xfId="2584" xr:uid="{00000000-0005-0000-0000-0000D40C0000}"/>
    <cellStyle name="Procent 2 4" xfId="3330" xr:uid="{36EDFA12-488F-884E-946A-6E8E14137617}"/>
    <cellStyle name="Procent 3" xfId="2585" xr:uid="{00000000-0005-0000-0000-0000D50C0000}"/>
    <cellStyle name="Procent 3 2" xfId="2586" xr:uid="{00000000-0005-0000-0000-0000D60C0000}"/>
    <cellStyle name="Procent 4" xfId="2587" xr:uid="{00000000-0005-0000-0000-0000D70C0000}"/>
    <cellStyle name="Procent 4 2" xfId="2588" xr:uid="{00000000-0005-0000-0000-0000D80C0000}"/>
    <cellStyle name="Procent 5" xfId="2589" xr:uid="{00000000-0005-0000-0000-0000D90C0000}"/>
    <cellStyle name="Ruimtestaat_Koppen" xfId="27" xr:uid="{00000000-0005-0000-0000-0000DA0C0000}"/>
    <cellStyle name="Standaard" xfId="0" builtinId="0"/>
    <cellStyle name="Standaard 10" xfId="2590" xr:uid="{00000000-0005-0000-0000-0000DB0C0000}"/>
    <cellStyle name="Standaard 11" xfId="2591" xr:uid="{00000000-0005-0000-0000-0000DC0C0000}"/>
    <cellStyle name="Standaard 11 2" xfId="2592" xr:uid="{00000000-0005-0000-0000-0000DD0C0000}"/>
    <cellStyle name="Standaard 12" xfId="2593" xr:uid="{00000000-0005-0000-0000-0000DE0C0000}"/>
    <cellStyle name="Standaard 13" xfId="2594" xr:uid="{00000000-0005-0000-0000-0000DF0C0000}"/>
    <cellStyle name="Standaard 14" xfId="3326" xr:uid="{657A85D1-B4A8-5E43-BBDF-81C8D89D9809}"/>
    <cellStyle name="Standaard 15" xfId="3329" xr:uid="{FB2D81FC-2D8A-B644-89CF-9584FF7B0086}"/>
    <cellStyle name="Standaard 16" xfId="3328" xr:uid="{1931E60C-0645-ED49-8B48-1FF66EF630D2}"/>
    <cellStyle name="Standaard 17" xfId="3332" xr:uid="{0A909932-2E0E-4FFD-A701-CDB4175931B5}"/>
    <cellStyle name="Standaard 2" xfId="2595" xr:uid="{00000000-0005-0000-0000-0000E00C0000}"/>
    <cellStyle name="Standaard 2 2" xfId="2596" xr:uid="{00000000-0005-0000-0000-0000E10C0000}"/>
    <cellStyle name="Standaard 2_1.3a-Voorbewerking" xfId="2597" xr:uid="{00000000-0005-0000-0000-0000E20C0000}"/>
    <cellStyle name="Standaard 3" xfId="2598" xr:uid="{00000000-0005-0000-0000-0000E30C0000}"/>
    <cellStyle name="Standaard 3 2" xfId="2599" xr:uid="{00000000-0005-0000-0000-0000E40C0000}"/>
    <cellStyle name="Standaard 4" xfId="2600" xr:uid="{00000000-0005-0000-0000-0000E50C0000}"/>
    <cellStyle name="Standaard 4 2" xfId="2601" xr:uid="{00000000-0005-0000-0000-0000E60C0000}"/>
    <cellStyle name="Standaard 5" xfId="2602" xr:uid="{00000000-0005-0000-0000-0000E70C0000}"/>
    <cellStyle name="Standaard 5 2" xfId="2603" xr:uid="{00000000-0005-0000-0000-0000E80C0000}"/>
    <cellStyle name="Standaard 6" xfId="2604" xr:uid="{00000000-0005-0000-0000-0000E90C0000}"/>
    <cellStyle name="Standaard 6 2" xfId="2605" xr:uid="{00000000-0005-0000-0000-0000EA0C0000}"/>
    <cellStyle name="Standaard 7" xfId="2606" xr:uid="{00000000-0005-0000-0000-0000EB0C0000}"/>
    <cellStyle name="Standaard 7 2" xfId="2607" xr:uid="{00000000-0005-0000-0000-0000EC0C0000}"/>
    <cellStyle name="Standaard 8" xfId="2608" xr:uid="{00000000-0005-0000-0000-0000ED0C0000}"/>
    <cellStyle name="Standaard 9" xfId="2609" xr:uid="{00000000-0005-0000-0000-0000EE0C0000}"/>
    <cellStyle name="Standaard 9 2" xfId="2610" xr:uid="{00000000-0005-0000-0000-0000EF0C0000}"/>
    <cellStyle name="Standaard_Blad1" xfId="28" xr:uid="{00000000-0005-0000-0000-0000F00C0000}"/>
    <cellStyle name="Titel" xfId="29" xr:uid="{00000000-0005-0000-0000-0000F10C0000}"/>
    <cellStyle name="Titel 2" xfId="2611" xr:uid="{00000000-0005-0000-0000-0000F20C0000}"/>
    <cellStyle name="Title" xfId="2612" xr:uid="{00000000-0005-0000-0000-0000F30C0000}"/>
    <cellStyle name="Totaal" xfId="30" xr:uid="{00000000-0005-0000-0000-0000F40C0000}"/>
    <cellStyle name="Totaal 2" xfId="2613" xr:uid="{00000000-0005-0000-0000-0000F50C0000}"/>
    <cellStyle name="Total" xfId="2614" xr:uid="{00000000-0005-0000-0000-0000F60C0000}"/>
    <cellStyle name="Uitvoer 2" xfId="2615" xr:uid="{00000000-0005-0000-0000-0000F70C0000}"/>
    <cellStyle name="Valuta" xfId="31" builtinId="4"/>
    <cellStyle name="Valuta 2" xfId="2616" xr:uid="{00000000-0005-0000-0000-0000F90C0000}"/>
    <cellStyle name="Valuta 2 2" xfId="2617" xr:uid="{00000000-0005-0000-0000-0000FA0C0000}"/>
    <cellStyle name="Valuta 2 3" xfId="2618" xr:uid="{00000000-0005-0000-0000-0000FB0C0000}"/>
    <cellStyle name="Valuta 3" xfId="2619" xr:uid="{00000000-0005-0000-0000-0000FC0C0000}"/>
    <cellStyle name="Valuta 3 2" xfId="3331" xr:uid="{5453A939-70CC-5E4C-9850-594A154A3F3E}"/>
    <cellStyle name="Valuta0" xfId="2620" xr:uid="{00000000-0005-0000-0000-0000FD0C0000}"/>
    <cellStyle name="Verklarende tekst 2" xfId="2621" xr:uid="{00000000-0005-0000-0000-0000FE0C0000}"/>
    <cellStyle name="Waarschuwingstekst" xfId="32" xr:uid="{00000000-0005-0000-0000-0000FF0C0000}"/>
    <cellStyle name="Waarschuwingstekst 2" xfId="2622" xr:uid="{00000000-0005-0000-0000-0000000D0000}"/>
    <cellStyle name="Warning Text" xfId="2623" xr:uid="{00000000-0005-0000-0000-0000010D0000}"/>
  </cellStyles>
  <dxfs count="189"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b/>
        <i val="0"/>
        <strike val="0"/>
        <color theme="0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rgb="FFFBE7CE"/>
          <bgColor rgb="FF00000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CFDF9"/>
      <color rgb="FFC4BA47"/>
      <color rgb="FF54637B"/>
      <color rgb="FF445165"/>
      <color rgb="FF455266"/>
      <color rgb="FF424242"/>
      <color rgb="FF407879"/>
      <color rgb="FF78A742"/>
      <color rgb="FFA9A879"/>
      <color rgb="FFD7A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8</xdr:row>
      <xdr:rowOff>0</xdr:rowOff>
    </xdr:from>
    <xdr:to>
      <xdr:col>8</xdr:col>
      <xdr:colOff>939800</xdr:colOff>
      <xdr:row>9</xdr:row>
      <xdr:rowOff>76200</xdr:rowOff>
    </xdr:to>
    <xdr:sp macro="" textlink="">
      <xdr:nvSpPr>
        <xdr:cNvPr id="2" name="Pijl link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264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38100</xdr:colOff>
      <xdr:row>8</xdr:row>
      <xdr:rowOff>0</xdr:rowOff>
    </xdr:from>
    <xdr:to>
      <xdr:col>12</xdr:col>
      <xdr:colOff>914400</xdr:colOff>
      <xdr:row>9</xdr:row>
      <xdr:rowOff>76200</xdr:rowOff>
    </xdr:to>
    <xdr:sp macro="" textlink="">
      <xdr:nvSpPr>
        <xdr:cNvPr id="3" name="Pijl link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1582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50800</xdr:colOff>
      <xdr:row>24</xdr:row>
      <xdr:rowOff>0</xdr:rowOff>
    </xdr:from>
    <xdr:to>
      <xdr:col>8</xdr:col>
      <xdr:colOff>927100</xdr:colOff>
      <xdr:row>25</xdr:row>
      <xdr:rowOff>76200</xdr:rowOff>
    </xdr:to>
    <xdr:sp macro="" textlink="">
      <xdr:nvSpPr>
        <xdr:cNvPr id="4" name="Pijl link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2517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76200</xdr:colOff>
      <xdr:row>24</xdr:row>
      <xdr:rowOff>0</xdr:rowOff>
    </xdr:from>
    <xdr:to>
      <xdr:col>13</xdr:col>
      <xdr:colOff>0</xdr:colOff>
      <xdr:row>25</xdr:row>
      <xdr:rowOff>76200</xdr:rowOff>
    </xdr:to>
    <xdr:sp macro="" textlink="">
      <xdr:nvSpPr>
        <xdr:cNvPr id="5" name="Pijl link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116205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63500</xdr:colOff>
      <xdr:row>39</xdr:row>
      <xdr:rowOff>0</xdr:rowOff>
    </xdr:from>
    <xdr:to>
      <xdr:col>8</xdr:col>
      <xdr:colOff>939800</xdr:colOff>
      <xdr:row>40</xdr:row>
      <xdr:rowOff>114300</xdr:rowOff>
    </xdr:to>
    <xdr:sp macro="" textlink="">
      <xdr:nvSpPr>
        <xdr:cNvPr id="6" name="Pijl link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64400" y="72771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0</xdr:colOff>
      <xdr:row>0</xdr:row>
      <xdr:rowOff>12700</xdr:rowOff>
    </xdr:from>
    <xdr:to>
      <xdr:col>4</xdr:col>
      <xdr:colOff>736690</xdr:colOff>
      <xdr:row>15</xdr:row>
      <xdr:rowOff>114300</xdr:rowOff>
    </xdr:to>
    <xdr:grpSp>
      <xdr:nvGrpSpPr>
        <xdr:cNvPr id="7" name="Groeper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12700"/>
          <a:ext cx="3632290" cy="3073400"/>
          <a:chOff x="0" y="12700"/>
          <a:chExt cx="4546690" cy="2997200"/>
        </a:xfrm>
      </xdr:grpSpPr>
      <xdr:pic>
        <xdr:nvPicPr>
          <xdr:cNvPr id="8" name="Afbeelding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12700"/>
            <a:ext cx="4546690" cy="2997200"/>
          </a:xfrm>
          <a:prstGeom prst="rect">
            <a:avLst/>
          </a:prstGeom>
        </xdr:spPr>
      </xdr:pic>
      <xdr:sp macro="" textlink="">
        <xdr:nvSpPr>
          <xdr:cNvPr id="9" name="Rechthoek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>
            <a:off x="1092200" y="1290320"/>
            <a:ext cx="2552700" cy="525780"/>
          </a:xfrm>
          <a:prstGeom prst="rect">
            <a:avLst/>
          </a:prstGeom>
          <a:solidFill>
            <a:srgbClr val="FAFAF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wrap="square"/>
          <a:lstStyle/>
          <a:p>
            <a:endParaRPr lang="nl-NL"/>
          </a:p>
        </xdr:txBody>
      </xdr:sp>
    </xdr:grpSp>
    <xdr:clientData/>
  </xdr:twoCellAnchor>
  <xdr:oneCellAnchor>
    <xdr:from>
      <xdr:col>1</xdr:col>
      <xdr:colOff>508000</xdr:colOff>
      <xdr:row>6</xdr:row>
      <xdr:rowOff>127000</xdr:rowOff>
    </xdr:from>
    <xdr:ext cx="2515882" cy="933076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93800" y="1270000"/>
          <a:ext cx="2515882" cy="9330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2400">
              <a:latin typeface="Avenir Book" panose="02000503020000020003" pitchFamily="2" charset="0"/>
              <a:cs typeface="Verdana"/>
            </a:rPr>
            <a:t>Handleiding </a:t>
          </a:r>
        </a:p>
        <a:p>
          <a:r>
            <a:rPr lang="nl-NL" sz="2400">
              <a:latin typeface="Avenir Book" panose="02000503020000020003" pitchFamily="2" charset="0"/>
              <a:cs typeface="Verdana"/>
            </a:rPr>
            <a:t>calculatiemodule</a:t>
          </a:r>
        </a:p>
      </xdr:txBody>
    </xdr:sp>
    <xdr:clientData/>
  </xdr:oneCellAnchor>
  <xdr:twoCellAnchor>
    <xdr:from>
      <xdr:col>0</xdr:col>
      <xdr:colOff>622300</xdr:colOff>
      <xdr:row>30</xdr:row>
      <xdr:rowOff>190500</xdr:rowOff>
    </xdr:from>
    <xdr:to>
      <xdr:col>4</xdr:col>
      <xdr:colOff>228600</xdr:colOff>
      <xdr:row>37</xdr:row>
      <xdr:rowOff>50800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622300" y="5943600"/>
          <a:ext cx="2514600" cy="1054100"/>
        </a:xfrm>
        <a:prstGeom prst="rect">
          <a:avLst/>
        </a:prstGeom>
        <a:solidFill>
          <a:schemeClr val="bg1">
            <a:lumMod val="85000"/>
            <a:alpha val="64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200">
              <a:latin typeface="Verdana"/>
              <a:cs typeface="Verdana"/>
            </a:rPr>
            <a:t>Gearceerde stappen zijn niet van toepassing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759918</xdr:colOff>
      <xdr:row>54</xdr:row>
      <xdr:rowOff>93689</xdr:rowOff>
    </xdr:from>
    <xdr:to>
      <xdr:col>10</xdr:col>
      <xdr:colOff>305424</xdr:colOff>
      <xdr:row>58</xdr:row>
      <xdr:rowOff>62459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410D66B-4398-0D42-BD93-1BD793C7340D}"/>
            </a:ext>
          </a:extLst>
        </xdr:cNvPr>
        <xdr:cNvSpPr/>
      </xdr:nvSpPr>
      <xdr:spPr bwMode="auto">
        <a:xfrm>
          <a:off x="7411803" y="10805410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759918</xdr:colOff>
      <xdr:row>77</xdr:row>
      <xdr:rowOff>93689</xdr:rowOff>
    </xdr:from>
    <xdr:to>
      <xdr:col>10</xdr:col>
      <xdr:colOff>305424</xdr:colOff>
      <xdr:row>81</xdr:row>
      <xdr:rowOff>62459</xdr:rowOff>
    </xdr:to>
    <xdr:sp macro="" textlink="">
      <xdr:nvSpPr>
        <xdr:cNvPr id="3" name="Afgeronde rechthoek 2">
          <a:extLst>
            <a:ext uri="{FF2B5EF4-FFF2-40B4-BE49-F238E27FC236}">
              <a16:creationId xmlns:a16="http://schemas.microsoft.com/office/drawing/2014/main" id="{5A469482-48CE-A349-B865-226CA7C390FB}"/>
            </a:ext>
          </a:extLst>
        </xdr:cNvPr>
        <xdr:cNvSpPr/>
      </xdr:nvSpPr>
      <xdr:spPr bwMode="auto">
        <a:xfrm>
          <a:off x="7411803" y="11148935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155511</xdr:colOff>
      <xdr:row>57</xdr:row>
      <xdr:rowOff>114300</xdr:rowOff>
    </xdr:from>
    <xdr:to>
      <xdr:col>13</xdr:col>
      <xdr:colOff>25919</xdr:colOff>
      <xdr:row>62</xdr:row>
      <xdr:rowOff>165100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7E86FD2-5500-1240-9247-08516A7E0537}"/>
            </a:ext>
          </a:extLst>
        </xdr:cNvPr>
        <xdr:cNvSpPr/>
      </xdr:nvSpPr>
      <xdr:spPr bwMode="auto">
        <a:xfrm>
          <a:off x="2941735" y="21237769"/>
          <a:ext cx="17002449" cy="685800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K:/C:/C/Users/r.sakko/AppData/Local/Microsoft/Windows/INetCache/Content.Outlook/U4RJF6YL/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piet/Documents/%20%20ICCA/Dashboard/01.%20SPURD/02.%202018/01.%20SPURD%20gym/01.%20HSO/02.%20Contractmodule/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Victoria%20Calculatiemodel%20P2%20V1%2001%20ju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Kalender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  <sheetName val="Blad3_(3)3"/>
      <sheetName val="Blad3_(2)3"/>
      <sheetName val="Kalender_(2)2"/>
      <sheetName val="01_2552"/>
      <sheetName val="02_2552"/>
      <sheetName val="04_2552"/>
      <sheetName val="1_0a-Contractblad_Prodruimten1"/>
      <sheetName val="1_0d-Contractblad_Algemeen1"/>
      <sheetName val="1_1-Jaarprijzen1"/>
      <sheetName val="1_5_Opbouw_uurtarieven1"/>
      <sheetName val="1_1a-Inzet_uren_per_lijn1"/>
      <sheetName val="1_1a-Overzicht_uren-prijzen1"/>
      <sheetName val="1_2-Tijdseenheid_Productie1"/>
      <sheetName val="MAXIMO_VERSU_CONTRACT1"/>
      <sheetName val="1_3a-Low_Care1"/>
      <sheetName val="1_3f-Mutaties1"/>
      <sheetName val="13g-Mutaties_oud1"/>
      <sheetName val="1_3c-Plafond_en_wanden1"/>
      <sheetName val="1_3d_Vloeronderhoud_door_ED1"/>
      <sheetName val="1_6-Machine-investeringskosten1"/>
      <sheetName val="AZR_psychiatri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Blad3 (3)"/>
      <sheetName val="Blad3 (2)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Kengetal"/>
      <sheetName val="1.5 Opbouw uurtarieven"/>
      <sheetName val="1.3-Basis ruimtestaa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rugblik">
  <a:themeElements>
    <a:clrScheme name="Terugblik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Terugblik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rugblik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3:P159"/>
  <sheetViews>
    <sheetView showGridLines="0" showRowColHeaders="0" workbookViewId="0">
      <selection activeCell="S9" sqref="S9"/>
    </sheetView>
  </sheetViews>
  <sheetFormatPr baseColWidth="10" defaultColWidth="10.796875" defaultRowHeight="15"/>
  <cols>
    <col min="1" max="1" width="10.796875" style="306"/>
    <col min="2" max="2" width="14" style="306" customWidth="1"/>
    <col min="3" max="5" width="10.796875" style="306"/>
    <col min="6" max="6" width="18.796875" style="519" customWidth="1"/>
    <col min="7" max="7" width="23.19921875" style="306" customWidth="1"/>
    <col min="8" max="9" width="10.796875" style="306"/>
    <col min="10" max="10" width="23.19921875" style="306" customWidth="1"/>
    <col min="11" max="11" width="15.19921875" style="306" customWidth="1"/>
    <col min="12" max="13" width="10.796875" style="306"/>
    <col min="14" max="14" width="13.796875" style="306" customWidth="1"/>
    <col min="15" max="15" width="32.796875" style="306" customWidth="1"/>
    <col min="16" max="16384" width="10.796875" style="306"/>
  </cols>
  <sheetData>
    <row r="3" spans="6:15">
      <c r="F3" s="518" t="s">
        <v>146</v>
      </c>
      <c r="J3" s="518" t="s">
        <v>147</v>
      </c>
      <c r="N3" s="518" t="s">
        <v>148</v>
      </c>
    </row>
    <row r="4" spans="6:15" ht="13" customHeight="1">
      <c r="J4" s="519"/>
      <c r="N4" s="520"/>
    </row>
    <row r="5" spans="6:15" ht="16" customHeight="1">
      <c r="F5" s="797" t="s">
        <v>166</v>
      </c>
      <c r="G5" s="798"/>
      <c r="J5" s="797" t="s">
        <v>167</v>
      </c>
      <c r="K5" s="798"/>
      <c r="N5" s="797" t="s">
        <v>168</v>
      </c>
      <c r="O5" s="798"/>
    </row>
    <row r="6" spans="6:15" ht="16" customHeight="1">
      <c r="F6" s="799"/>
      <c r="G6" s="800"/>
      <c r="J6" s="799"/>
      <c r="K6" s="800"/>
      <c r="N6" s="799"/>
      <c r="O6" s="800"/>
    </row>
    <row r="7" spans="6:15" ht="16" customHeight="1">
      <c r="F7" s="799"/>
      <c r="G7" s="800"/>
      <c r="J7" s="799"/>
      <c r="K7" s="800"/>
      <c r="N7" s="799"/>
      <c r="O7" s="800"/>
    </row>
    <row r="8" spans="6:15" ht="16" customHeight="1">
      <c r="F8" s="799"/>
      <c r="G8" s="800"/>
      <c r="J8" s="799"/>
      <c r="K8" s="800"/>
      <c r="N8" s="799"/>
      <c r="O8" s="800"/>
    </row>
    <row r="9" spans="6:15" ht="16" customHeight="1">
      <c r="F9" s="799"/>
      <c r="G9" s="800"/>
      <c r="J9" s="799"/>
      <c r="K9" s="800"/>
      <c r="N9" s="799"/>
      <c r="O9" s="800"/>
    </row>
    <row r="10" spans="6:15" ht="16" customHeight="1">
      <c r="F10" s="799"/>
      <c r="G10" s="800"/>
      <c r="J10" s="799"/>
      <c r="K10" s="800"/>
      <c r="N10" s="799"/>
      <c r="O10" s="800"/>
    </row>
    <row r="11" spans="6:15" ht="16" customHeight="1">
      <c r="F11" s="799"/>
      <c r="G11" s="800"/>
      <c r="J11" s="799"/>
      <c r="K11" s="800"/>
      <c r="N11" s="799"/>
      <c r="O11" s="800"/>
    </row>
    <row r="12" spans="6:15" ht="16" customHeight="1">
      <c r="F12" s="799"/>
      <c r="G12" s="800"/>
      <c r="J12" s="799"/>
      <c r="K12" s="800"/>
      <c r="N12" s="799"/>
      <c r="O12" s="800"/>
    </row>
    <row r="13" spans="6:15" ht="16" customHeight="1">
      <c r="F13" s="799"/>
      <c r="G13" s="800"/>
      <c r="J13" s="799"/>
      <c r="K13" s="800"/>
      <c r="N13" s="799"/>
      <c r="O13" s="800"/>
    </row>
    <row r="14" spans="6:15" ht="16" customHeight="1">
      <c r="F14" s="799"/>
      <c r="G14" s="800"/>
      <c r="J14" s="799"/>
      <c r="K14" s="800"/>
      <c r="N14" s="799"/>
      <c r="O14" s="800"/>
    </row>
    <row r="15" spans="6:15" ht="16" customHeight="1">
      <c r="F15" s="801"/>
      <c r="G15" s="802"/>
      <c r="J15" s="801"/>
      <c r="K15" s="802"/>
      <c r="N15" s="801"/>
      <c r="O15" s="802"/>
    </row>
    <row r="19" spans="2:15">
      <c r="B19" s="306" t="s">
        <v>169</v>
      </c>
      <c r="F19" s="518" t="s">
        <v>279</v>
      </c>
      <c r="J19" s="518" t="s">
        <v>149</v>
      </c>
      <c r="N19" s="518" t="s">
        <v>150</v>
      </c>
    </row>
    <row r="20" spans="2:15">
      <c r="B20" s="306" t="s">
        <v>170</v>
      </c>
      <c r="F20" s="520"/>
      <c r="N20" s="519"/>
    </row>
    <row r="21" spans="2:15" ht="16" customHeight="1">
      <c r="F21" s="797" t="s">
        <v>382</v>
      </c>
      <c r="G21" s="798"/>
      <c r="J21" s="797" t="s">
        <v>383</v>
      </c>
      <c r="K21" s="798"/>
      <c r="N21" s="797" t="s">
        <v>336</v>
      </c>
      <c r="O21" s="798"/>
    </row>
    <row r="22" spans="2:15" ht="16" customHeight="1">
      <c r="B22" s="306" t="s">
        <v>171</v>
      </c>
      <c r="F22" s="799"/>
      <c r="G22" s="800"/>
      <c r="J22" s="799"/>
      <c r="K22" s="800"/>
      <c r="N22" s="799"/>
      <c r="O22" s="800"/>
    </row>
    <row r="23" spans="2:15" ht="16" customHeight="1">
      <c r="B23" s="306" t="s">
        <v>172</v>
      </c>
      <c r="F23" s="799"/>
      <c r="G23" s="800"/>
      <c r="J23" s="799"/>
      <c r="K23" s="800"/>
      <c r="N23" s="799"/>
      <c r="O23" s="800"/>
    </row>
    <row r="24" spans="2:15" ht="16" customHeight="1">
      <c r="B24" s="306" t="s">
        <v>173</v>
      </c>
      <c r="F24" s="799"/>
      <c r="G24" s="800"/>
      <c r="J24" s="799"/>
      <c r="K24" s="800"/>
      <c r="N24" s="799"/>
      <c r="O24" s="800"/>
    </row>
    <row r="25" spans="2:15" ht="16" customHeight="1">
      <c r="F25" s="799"/>
      <c r="G25" s="800"/>
      <c r="J25" s="799"/>
      <c r="K25" s="800"/>
      <c r="N25" s="799"/>
      <c r="O25" s="800"/>
    </row>
    <row r="26" spans="2:15" ht="16" customHeight="1" thickBot="1">
      <c r="B26" s="524"/>
      <c r="C26" s="506" t="s">
        <v>153</v>
      </c>
      <c r="F26" s="799"/>
      <c r="G26" s="800"/>
      <c r="J26" s="799"/>
      <c r="K26" s="800"/>
      <c r="N26" s="799"/>
      <c r="O26" s="800"/>
    </row>
    <row r="27" spans="2:15" ht="16" customHeight="1" thickBot="1">
      <c r="B27" s="632"/>
      <c r="C27" s="506" t="s">
        <v>384</v>
      </c>
      <c r="F27" s="799"/>
      <c r="G27" s="800"/>
      <c r="J27" s="799"/>
      <c r="K27" s="800"/>
      <c r="N27" s="799"/>
      <c r="O27" s="800"/>
    </row>
    <row r="28" spans="2:15" ht="16" customHeight="1" thickBot="1">
      <c r="B28" s="534"/>
      <c r="C28" s="506" t="s">
        <v>272</v>
      </c>
      <c r="F28" s="799"/>
      <c r="G28" s="800"/>
      <c r="J28" s="799"/>
      <c r="K28" s="800"/>
      <c r="N28" s="799"/>
      <c r="O28" s="800"/>
    </row>
    <row r="29" spans="2:15" ht="16" customHeight="1">
      <c r="B29" s="690"/>
      <c r="C29" s="506" t="s">
        <v>479</v>
      </c>
      <c r="F29" s="799"/>
      <c r="G29" s="800"/>
      <c r="J29" s="799"/>
      <c r="K29" s="800"/>
      <c r="N29" s="799"/>
      <c r="O29" s="800"/>
    </row>
    <row r="30" spans="2:15" ht="16" customHeight="1">
      <c r="F30" s="799"/>
      <c r="G30" s="800"/>
      <c r="J30" s="799"/>
      <c r="K30" s="800"/>
      <c r="N30" s="799"/>
      <c r="O30" s="800"/>
    </row>
    <row r="31" spans="2:15" ht="16" customHeight="1">
      <c r="F31" s="801"/>
      <c r="G31" s="802"/>
      <c r="J31" s="801"/>
      <c r="K31" s="802"/>
      <c r="N31" s="801"/>
      <c r="O31" s="802"/>
    </row>
    <row r="34" spans="2:16">
      <c r="F34" s="518" t="s">
        <v>151</v>
      </c>
      <c r="J34" s="518" t="s">
        <v>381</v>
      </c>
      <c r="N34" s="518" t="s">
        <v>152</v>
      </c>
    </row>
    <row r="35" spans="2:16">
      <c r="F35" s="306"/>
      <c r="M35" s="566"/>
      <c r="N35" s="520"/>
      <c r="P35" s="566"/>
    </row>
    <row r="36" spans="2:16" ht="13" customHeight="1">
      <c r="F36" s="812" t="s">
        <v>337</v>
      </c>
      <c r="G36" s="813"/>
      <c r="J36" s="812" t="s">
        <v>335</v>
      </c>
      <c r="K36" s="813"/>
      <c r="M36" s="566"/>
      <c r="N36" s="797" t="s">
        <v>262</v>
      </c>
      <c r="O36" s="798"/>
      <c r="P36" s="566"/>
    </row>
    <row r="37" spans="2:16" ht="15" customHeight="1">
      <c r="F37" s="814"/>
      <c r="G37" s="815"/>
      <c r="J37" s="814"/>
      <c r="K37" s="815"/>
      <c r="M37" s="566"/>
      <c r="N37" s="799"/>
      <c r="O37" s="800"/>
      <c r="P37" s="566"/>
    </row>
    <row r="38" spans="2:16" ht="16" customHeight="1" thickBot="1">
      <c r="F38" s="814"/>
      <c r="G38" s="815"/>
      <c r="J38" s="814"/>
      <c r="K38" s="815"/>
      <c r="M38" s="566"/>
      <c r="N38" s="799"/>
      <c r="O38" s="800"/>
      <c r="P38" s="566"/>
    </row>
    <row r="39" spans="2:16" ht="15" customHeight="1">
      <c r="B39" s="803" t="s">
        <v>347</v>
      </c>
      <c r="C39" s="804"/>
      <c r="D39" s="805"/>
      <c r="F39" s="814"/>
      <c r="G39" s="815"/>
      <c r="J39" s="814"/>
      <c r="K39" s="815"/>
      <c r="M39" s="566"/>
      <c r="N39" s="799"/>
      <c r="O39" s="800"/>
      <c r="P39" s="566"/>
    </row>
    <row r="40" spans="2:16" ht="15" customHeight="1">
      <c r="B40" s="806"/>
      <c r="C40" s="807"/>
      <c r="D40" s="808"/>
      <c r="F40" s="814"/>
      <c r="G40" s="815"/>
      <c r="J40" s="814"/>
      <c r="K40" s="815"/>
      <c r="M40" s="566"/>
      <c r="N40" s="799"/>
      <c r="O40" s="800"/>
      <c r="P40" s="566"/>
    </row>
    <row r="41" spans="2:16" ht="15" customHeight="1">
      <c r="B41" s="806"/>
      <c r="C41" s="807"/>
      <c r="D41" s="808"/>
      <c r="F41" s="814"/>
      <c r="G41" s="815"/>
      <c r="J41" s="814"/>
      <c r="K41" s="815"/>
      <c r="M41" s="566"/>
      <c r="N41" s="799"/>
      <c r="O41" s="800"/>
      <c r="P41" s="566"/>
    </row>
    <row r="42" spans="2:16" ht="15" customHeight="1">
      <c r="B42" s="806"/>
      <c r="C42" s="807"/>
      <c r="D42" s="808"/>
      <c r="F42" s="814"/>
      <c r="G42" s="815"/>
      <c r="J42" s="814"/>
      <c r="K42" s="815"/>
      <c r="M42" s="566"/>
      <c r="N42" s="799"/>
      <c r="O42" s="800"/>
      <c r="P42" s="566"/>
    </row>
    <row r="43" spans="2:16" ht="15" customHeight="1">
      <c r="B43" s="806"/>
      <c r="C43" s="807"/>
      <c r="D43" s="808"/>
      <c r="F43" s="814"/>
      <c r="G43" s="815"/>
      <c r="J43" s="814"/>
      <c r="K43" s="815"/>
      <c r="N43" s="799"/>
      <c r="O43" s="800"/>
    </row>
    <row r="44" spans="2:16" ht="15" customHeight="1">
      <c r="B44" s="806"/>
      <c r="C44" s="807"/>
      <c r="D44" s="808"/>
      <c r="F44" s="814"/>
      <c r="G44" s="815"/>
      <c r="J44" s="814"/>
      <c r="K44" s="815"/>
      <c r="N44" s="799"/>
      <c r="O44" s="800"/>
    </row>
    <row r="45" spans="2:16" ht="15" customHeight="1">
      <c r="B45" s="806"/>
      <c r="C45" s="807"/>
      <c r="D45" s="808"/>
      <c r="F45" s="814"/>
      <c r="G45" s="815"/>
      <c r="J45" s="814"/>
      <c r="K45" s="815"/>
      <c r="N45" s="799"/>
      <c r="O45" s="800"/>
    </row>
    <row r="46" spans="2:16" ht="15" customHeight="1">
      <c r="B46" s="806"/>
      <c r="C46" s="807"/>
      <c r="D46" s="808"/>
      <c r="F46" s="816"/>
      <c r="G46" s="817"/>
      <c r="J46" s="816"/>
      <c r="K46" s="817"/>
      <c r="N46" s="801"/>
      <c r="O46" s="802"/>
    </row>
    <row r="47" spans="2:16">
      <c r="B47" s="806"/>
      <c r="C47" s="807"/>
      <c r="D47" s="808"/>
    </row>
    <row r="48" spans="2:16">
      <c r="B48" s="806"/>
      <c r="C48" s="807"/>
      <c r="D48" s="808"/>
    </row>
    <row r="49" spans="2:9">
      <c r="B49" s="806"/>
      <c r="C49" s="807"/>
      <c r="D49" s="808"/>
      <c r="F49" s="306"/>
    </row>
    <row r="50" spans="2:9" ht="17">
      <c r="B50" s="806"/>
      <c r="C50" s="807"/>
      <c r="D50" s="808"/>
      <c r="F50" s="518" t="s">
        <v>174</v>
      </c>
      <c r="I50" s="521" t="s">
        <v>43</v>
      </c>
    </row>
    <row r="51" spans="2:9" ht="18" thickBot="1">
      <c r="B51" s="809"/>
      <c r="C51" s="810"/>
      <c r="D51" s="811"/>
      <c r="F51" s="306"/>
      <c r="I51" s="522" t="s">
        <v>231</v>
      </c>
    </row>
    <row r="52" spans="2:9" ht="17" customHeight="1">
      <c r="F52" s="797" t="s">
        <v>175</v>
      </c>
      <c r="G52" s="798"/>
      <c r="I52" s="522"/>
    </row>
    <row r="53" spans="2:9" ht="17">
      <c r="F53" s="799"/>
      <c r="G53" s="800"/>
      <c r="I53" s="522" t="s">
        <v>176</v>
      </c>
    </row>
    <row r="54" spans="2:9" ht="17">
      <c r="F54" s="799"/>
      <c r="G54" s="800"/>
      <c r="I54" s="522"/>
    </row>
    <row r="55" spans="2:9" ht="17">
      <c r="F55" s="799"/>
      <c r="G55" s="800"/>
      <c r="I55" s="522"/>
    </row>
    <row r="56" spans="2:9">
      <c r="F56" s="799"/>
      <c r="G56" s="800"/>
    </row>
    <row r="57" spans="2:9" ht="15" customHeight="1">
      <c r="F57" s="799"/>
      <c r="G57" s="800"/>
    </row>
    <row r="58" spans="2:9" ht="17">
      <c r="F58" s="799"/>
      <c r="G58" s="800"/>
      <c r="I58" s="522"/>
    </row>
    <row r="59" spans="2:9" ht="15" customHeight="1">
      <c r="F59" s="799"/>
      <c r="G59" s="800"/>
    </row>
    <row r="60" spans="2:9" ht="15" customHeight="1">
      <c r="F60" s="799"/>
      <c r="G60" s="800"/>
      <c r="I60" s="520"/>
    </row>
    <row r="61" spans="2:9" ht="15" customHeight="1">
      <c r="F61" s="799"/>
      <c r="G61" s="800"/>
    </row>
    <row r="62" spans="2:9" ht="15" customHeight="1">
      <c r="F62" s="801"/>
      <c r="G62" s="802"/>
    </row>
    <row r="63" spans="2:9" ht="13" customHeight="1">
      <c r="F63" s="520"/>
    </row>
    <row r="64" spans="2:9">
      <c r="F64" s="520"/>
    </row>
    <row r="65" spans="6:6">
      <c r="F65" s="520"/>
    </row>
    <row r="66" spans="6:6">
      <c r="F66" s="520"/>
    </row>
    <row r="67" spans="6:6">
      <c r="F67" s="520"/>
    </row>
    <row r="68" spans="6:6">
      <c r="F68" s="520"/>
    </row>
    <row r="77" spans="6:6">
      <c r="F77" s="520"/>
    </row>
    <row r="78" spans="6:6">
      <c r="F78" s="520"/>
    </row>
    <row r="79" spans="6:6">
      <c r="F79" s="520"/>
    </row>
    <row r="80" spans="6:6">
      <c r="F80" s="520"/>
    </row>
    <row r="81" spans="6:6">
      <c r="F81" s="520"/>
    </row>
    <row r="82" spans="6:6">
      <c r="F82" s="520"/>
    </row>
    <row r="83" spans="6:6">
      <c r="F83" s="520"/>
    </row>
    <row r="84" spans="6:6">
      <c r="F84" s="520"/>
    </row>
    <row r="85" spans="6:6">
      <c r="F85" s="520"/>
    </row>
    <row r="86" spans="6:6">
      <c r="F86" s="520"/>
    </row>
    <row r="87" spans="6:6">
      <c r="F87" s="520"/>
    </row>
    <row r="88" spans="6:6">
      <c r="F88" s="520"/>
    </row>
    <row r="89" spans="6:6">
      <c r="F89" s="520"/>
    </row>
    <row r="90" spans="6:6">
      <c r="F90" s="520"/>
    </row>
    <row r="91" spans="6:6">
      <c r="F91" s="520"/>
    </row>
    <row r="92" spans="6:6">
      <c r="F92" s="520"/>
    </row>
    <row r="93" spans="6:6">
      <c r="F93" s="520"/>
    </row>
    <row r="94" spans="6:6">
      <c r="F94" s="520"/>
    </row>
    <row r="95" spans="6:6">
      <c r="F95" s="520"/>
    </row>
    <row r="96" spans="6:6">
      <c r="F96" s="520"/>
    </row>
    <row r="97" spans="6:6" ht="13" customHeight="1">
      <c r="F97" s="520"/>
    </row>
    <row r="98" spans="6:6">
      <c r="F98" s="520"/>
    </row>
    <row r="99" spans="6:6">
      <c r="F99" s="520"/>
    </row>
    <row r="100" spans="6:6">
      <c r="F100" s="520"/>
    </row>
    <row r="101" spans="6:6">
      <c r="F101" s="520"/>
    </row>
    <row r="102" spans="6:6">
      <c r="F102" s="520"/>
    </row>
    <row r="103" spans="6:6">
      <c r="F103" s="520"/>
    </row>
    <row r="104" spans="6:6">
      <c r="F104" s="520"/>
    </row>
    <row r="105" spans="6:6">
      <c r="F105" s="520"/>
    </row>
    <row r="106" spans="6:6">
      <c r="F106" s="520"/>
    </row>
    <row r="107" spans="6:6">
      <c r="F107" s="520"/>
    </row>
    <row r="108" spans="6:6">
      <c r="F108" s="520"/>
    </row>
    <row r="109" spans="6:6">
      <c r="F109" s="520"/>
    </row>
    <row r="110" spans="6:6">
      <c r="F110" s="520"/>
    </row>
    <row r="111" spans="6:6">
      <c r="F111" s="520"/>
    </row>
    <row r="112" spans="6:6">
      <c r="F112" s="520"/>
    </row>
    <row r="113" spans="6:6">
      <c r="F113" s="520"/>
    </row>
    <row r="114" spans="6:6">
      <c r="F114" s="520"/>
    </row>
    <row r="115" spans="6:6">
      <c r="F115" s="520"/>
    </row>
    <row r="116" spans="6:6">
      <c r="F116" s="520"/>
    </row>
    <row r="117" spans="6:6">
      <c r="F117" s="520"/>
    </row>
    <row r="118" spans="6:6">
      <c r="F118" s="520"/>
    </row>
    <row r="119" spans="6:6">
      <c r="F119" s="520"/>
    </row>
    <row r="120" spans="6:6">
      <c r="F120" s="520"/>
    </row>
    <row r="121" spans="6:6">
      <c r="F121" s="520"/>
    </row>
    <row r="122" spans="6:6">
      <c r="F122" s="520"/>
    </row>
    <row r="123" spans="6:6">
      <c r="F123" s="520"/>
    </row>
    <row r="152" spans="6:6">
      <c r="F152" s="520"/>
    </row>
    <row r="153" spans="6:6">
      <c r="F153" s="520"/>
    </row>
    <row r="154" spans="6:6">
      <c r="F154" s="520"/>
    </row>
    <row r="155" spans="6:6">
      <c r="F155" s="520"/>
    </row>
    <row r="156" spans="6:6">
      <c r="F156" s="520"/>
    </row>
    <row r="157" spans="6:6">
      <c r="F157" s="520"/>
    </row>
    <row r="158" spans="6:6">
      <c r="F158" s="520"/>
    </row>
    <row r="159" spans="6:6">
      <c r="F159" s="520"/>
    </row>
  </sheetData>
  <mergeCells count="11">
    <mergeCell ref="F52:G62"/>
    <mergeCell ref="B39:D51"/>
    <mergeCell ref="F5:G15"/>
    <mergeCell ref="J5:K15"/>
    <mergeCell ref="N5:O15"/>
    <mergeCell ref="F21:G31"/>
    <mergeCell ref="J21:K31"/>
    <mergeCell ref="N21:O31"/>
    <mergeCell ref="F36:G46"/>
    <mergeCell ref="J36:K46"/>
    <mergeCell ref="N36:O46"/>
  </mergeCells>
  <pageMargins left="0.75" right="0.75" top="1" bottom="1" header="0.5" footer="0.5"/>
  <pageSetup paperSize="9" scale="94" orientation="portrait" horizontalDpi="4294967292" verticalDpi="4294967292"/>
  <rowBreaks count="2" manualBreakCount="2">
    <brk id="45" min="5" max="7" man="1"/>
    <brk id="93" min="5" max="7" man="1"/>
  </rowBreaks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5:J94"/>
  <sheetViews>
    <sheetView showGridLines="0" showRowColHeaders="0" topLeftCell="A23" zoomScaleNormal="100" workbookViewId="0">
      <selection activeCell="S9" sqref="S9"/>
    </sheetView>
  </sheetViews>
  <sheetFormatPr baseColWidth="10" defaultColWidth="0" defaultRowHeight="13"/>
  <cols>
    <col min="1" max="2" width="10.796875" style="1" customWidth="1"/>
    <col min="3" max="3" width="26.19921875" style="1" bestFit="1" customWidth="1"/>
    <col min="4" max="4" width="19.59765625" style="1" customWidth="1"/>
    <col min="5" max="5" width="33.19921875" style="1" customWidth="1"/>
    <col min="6" max="8" width="19.59765625" style="1" customWidth="1"/>
    <col min="9" max="9" width="3.796875" style="1" customWidth="1"/>
    <col min="10" max="10" width="10.796875" style="1" customWidth="1"/>
    <col min="11" max="16384" width="10.796875" style="1" hidden="1"/>
  </cols>
  <sheetData>
    <row r="5" spans="3:9">
      <c r="D5" s="692"/>
      <c r="E5" s="8" t="s">
        <v>153</v>
      </c>
    </row>
    <row r="8" spans="3:9" ht="14" thickBot="1"/>
    <row r="9" spans="3:9" ht="21" thickTop="1">
      <c r="C9" s="592"/>
      <c r="D9" s="593"/>
      <c r="E9" s="594"/>
      <c r="F9" s="593"/>
      <c r="G9" s="593"/>
      <c r="H9" s="593"/>
      <c r="I9" s="595"/>
    </row>
    <row r="10" spans="3:9" ht="20">
      <c r="C10" s="596"/>
      <c r="E10" s="21" t="s">
        <v>133</v>
      </c>
      <c r="I10" s="597"/>
    </row>
    <row r="11" spans="3:9" ht="20">
      <c r="C11" s="596"/>
      <c r="E11" s="21"/>
      <c r="I11" s="597"/>
    </row>
    <row r="12" spans="3:9" ht="20">
      <c r="C12" s="596"/>
      <c r="E12" s="21" t="s">
        <v>134</v>
      </c>
      <c r="I12" s="597"/>
    </row>
    <row r="13" spans="3:9" ht="20">
      <c r="C13" s="596"/>
      <c r="E13" s="21" t="s">
        <v>137</v>
      </c>
      <c r="I13" s="597"/>
    </row>
    <row r="14" spans="3:9" ht="20">
      <c r="C14" s="596"/>
      <c r="E14" s="21" t="s">
        <v>41</v>
      </c>
      <c r="I14" s="597"/>
    </row>
    <row r="15" spans="3:9">
      <c r="C15" s="596"/>
      <c r="I15" s="597"/>
    </row>
    <row r="16" spans="3:9" ht="20">
      <c r="C16" s="596"/>
      <c r="E16" s="586" t="s">
        <v>1064</v>
      </c>
      <c r="I16" s="597"/>
    </row>
    <row r="17" spans="3:9">
      <c r="C17" s="596"/>
      <c r="I17" s="597"/>
    </row>
    <row r="18" spans="3:9">
      <c r="C18" s="596"/>
      <c r="I18" s="597"/>
    </row>
    <row r="19" spans="3:9" ht="18">
      <c r="C19" s="596"/>
      <c r="D19" s="2"/>
      <c r="E19" s="693" t="s">
        <v>486</v>
      </c>
      <c r="F19" s="2"/>
      <c r="G19" s="2"/>
      <c r="I19" s="597"/>
    </row>
    <row r="20" spans="3:9">
      <c r="C20" s="596"/>
      <c r="I20" s="597"/>
    </row>
    <row r="21" spans="3:9">
      <c r="C21" s="596"/>
      <c r="I21" s="597"/>
    </row>
    <row r="22" spans="3:9" ht="16">
      <c r="C22" s="596"/>
      <c r="D22" s="22" t="s">
        <v>6</v>
      </c>
      <c r="E22" s="587">
        <v>46388</v>
      </c>
      <c r="F22" s="588"/>
      <c r="G22" s="588"/>
      <c r="I22" s="597"/>
    </row>
    <row r="23" spans="3:9" ht="16">
      <c r="C23" s="596"/>
      <c r="D23" s="22"/>
      <c r="E23" s="589"/>
      <c r="F23" s="588"/>
      <c r="G23" s="588"/>
      <c r="I23" s="597"/>
    </row>
    <row r="24" spans="3:9" ht="16">
      <c r="C24" s="596"/>
      <c r="D24" s="22" t="s">
        <v>114</v>
      </c>
      <c r="E24" s="590" t="s">
        <v>1080</v>
      </c>
      <c r="F24" s="588"/>
      <c r="G24" s="588"/>
      <c r="I24" s="597"/>
    </row>
    <row r="25" spans="3:9" ht="16">
      <c r="C25" s="596"/>
      <c r="D25" s="22"/>
      <c r="E25" s="589"/>
      <c r="F25" s="588"/>
      <c r="G25" s="588"/>
      <c r="I25" s="597"/>
    </row>
    <row r="26" spans="3:9" ht="17">
      <c r="C26" s="596"/>
      <c r="D26" s="23" t="s">
        <v>145</v>
      </c>
      <c r="E26" s="591" t="str">
        <f ca="1">REPLACE(LEFT(CELL("bestandsnaam",A1),SEARCH("]",CELL("bestandsnaam",A1))-6),1,SEARCH("[",CELL("bestandsnaam",A1)),"")</f>
        <v>Calculatiemodule Opspoor Perceel 2 V1.1 | 01-jan-27 Wijziging bijgehouden</v>
      </c>
      <c r="F26" s="588"/>
      <c r="G26" s="588"/>
      <c r="I26" s="597"/>
    </row>
    <row r="27" spans="3:9">
      <c r="C27" s="596"/>
      <c r="I27" s="597"/>
    </row>
    <row r="28" spans="3:9">
      <c r="C28" s="596"/>
      <c r="I28" s="597"/>
    </row>
    <row r="29" spans="3:9" ht="14" thickBot="1">
      <c r="C29" s="598"/>
      <c r="D29" s="599"/>
      <c r="E29" s="599"/>
      <c r="F29" s="599"/>
      <c r="G29" s="599"/>
      <c r="H29" s="599"/>
      <c r="I29" s="600"/>
    </row>
    <row r="30" spans="3:9" ht="15" thickTop="1" thickBot="1"/>
    <row r="31" spans="3:9" ht="14" thickTop="1">
      <c r="C31" s="592"/>
      <c r="D31" s="593"/>
      <c r="E31" s="593"/>
      <c r="F31" s="593"/>
      <c r="G31" s="593"/>
      <c r="H31" s="593"/>
      <c r="I31" s="595"/>
    </row>
    <row r="32" spans="3:9">
      <c r="C32" s="706" t="s">
        <v>348</v>
      </c>
      <c r="D32" s="601"/>
      <c r="E32" s="601" t="s">
        <v>1079</v>
      </c>
      <c r="F32" s="602"/>
      <c r="I32" s="597"/>
    </row>
    <row r="33" spans="2:9" ht="13" customHeight="1">
      <c r="C33" s="596"/>
      <c r="H33" s="818" t="s">
        <v>243</v>
      </c>
      <c r="I33" s="597"/>
    </row>
    <row r="34" spans="2:9">
      <c r="C34" s="603"/>
      <c r="D34" s="585"/>
      <c r="E34" s="585"/>
      <c r="F34" s="585"/>
      <c r="G34" s="585"/>
      <c r="H34" s="819"/>
      <c r="I34" s="597"/>
    </row>
    <row r="35" spans="2:9">
      <c r="C35" s="604"/>
      <c r="D35" s="605"/>
      <c r="H35" s="820"/>
      <c r="I35" s="597"/>
    </row>
    <row r="36" spans="2:9">
      <c r="C36" s="596"/>
      <c r="I36" s="597"/>
    </row>
    <row r="37" spans="2:9">
      <c r="B37" s="597"/>
      <c r="I37" s="597"/>
    </row>
    <row r="38" spans="2:9">
      <c r="B38" s="597"/>
      <c r="I38" s="597"/>
    </row>
    <row r="39" spans="2:9">
      <c r="B39" s="597"/>
      <c r="I39" s="597"/>
    </row>
    <row r="40" spans="2:9">
      <c r="B40" s="597"/>
      <c r="I40" s="597"/>
    </row>
    <row r="41" spans="2:9">
      <c r="B41" s="597"/>
      <c r="I41" s="597"/>
    </row>
    <row r="42" spans="2:9">
      <c r="B42" s="597"/>
      <c r="I42" s="597"/>
    </row>
    <row r="43" spans="2:9">
      <c r="B43" s="597"/>
      <c r="I43" s="597"/>
    </row>
    <row r="44" spans="2:9">
      <c r="B44" s="597"/>
      <c r="I44" s="597"/>
    </row>
    <row r="45" spans="2:9">
      <c r="B45" s="597"/>
      <c r="I45" s="597"/>
    </row>
    <row r="46" spans="2:9">
      <c r="B46" s="597"/>
      <c r="I46" s="597"/>
    </row>
    <row r="47" spans="2:9">
      <c r="B47" s="597"/>
      <c r="I47" s="597"/>
    </row>
    <row r="48" spans="2:9">
      <c r="B48" s="597"/>
      <c r="I48" s="597"/>
    </row>
    <row r="49" spans="2:9">
      <c r="B49" s="597"/>
      <c r="I49" s="597"/>
    </row>
    <row r="50" spans="2:9">
      <c r="B50" s="597"/>
      <c r="I50" s="597"/>
    </row>
    <row r="51" spans="2:9">
      <c r="B51" s="597"/>
      <c r="I51" s="597"/>
    </row>
    <row r="52" spans="2:9">
      <c r="B52" s="597"/>
      <c r="I52" s="597"/>
    </row>
    <row r="53" spans="2:9">
      <c r="B53" s="597"/>
      <c r="I53" s="597"/>
    </row>
    <row r="54" spans="2:9">
      <c r="B54" s="597"/>
      <c r="I54" s="597"/>
    </row>
    <row r="55" spans="2:9">
      <c r="B55" s="597"/>
      <c r="I55" s="597"/>
    </row>
    <row r="56" spans="2:9">
      <c r="B56" s="597"/>
      <c r="I56" s="597"/>
    </row>
    <row r="57" spans="2:9">
      <c r="B57" s="597"/>
      <c r="I57" s="597"/>
    </row>
    <row r="58" spans="2:9">
      <c r="B58" s="597"/>
      <c r="I58" s="597"/>
    </row>
    <row r="59" spans="2:9">
      <c r="B59" s="597"/>
      <c r="I59" s="597"/>
    </row>
    <row r="60" spans="2:9">
      <c r="B60" s="597"/>
      <c r="I60" s="597"/>
    </row>
    <row r="61" spans="2:9">
      <c r="B61" s="597"/>
      <c r="I61" s="597"/>
    </row>
    <row r="62" spans="2:9">
      <c r="B62" s="597"/>
      <c r="I62" s="597"/>
    </row>
    <row r="63" spans="2:9">
      <c r="B63" s="597"/>
      <c r="I63" s="597"/>
    </row>
    <row r="64" spans="2:9">
      <c r="B64" s="597"/>
      <c r="I64" s="597"/>
    </row>
    <row r="65" spans="2:9">
      <c r="B65" s="597"/>
      <c r="I65" s="597"/>
    </row>
    <row r="66" spans="2:9">
      <c r="B66" s="597"/>
      <c r="I66" s="597"/>
    </row>
    <row r="67" spans="2:9">
      <c r="B67" s="597"/>
      <c r="I67" s="597"/>
    </row>
    <row r="68" spans="2:9">
      <c r="B68" s="597"/>
      <c r="I68" s="597"/>
    </row>
    <row r="69" spans="2:9">
      <c r="B69" s="597"/>
      <c r="I69" s="597"/>
    </row>
    <row r="70" spans="2:9">
      <c r="B70" s="597"/>
      <c r="I70" s="597"/>
    </row>
    <row r="71" spans="2:9">
      <c r="B71" s="597"/>
      <c r="I71" s="597"/>
    </row>
    <row r="72" spans="2:9">
      <c r="B72" s="597"/>
      <c r="I72" s="597"/>
    </row>
    <row r="73" spans="2:9">
      <c r="B73" s="597"/>
      <c r="I73" s="597"/>
    </row>
    <row r="74" spans="2:9">
      <c r="B74" s="597"/>
      <c r="I74" s="597"/>
    </row>
    <row r="75" spans="2:9">
      <c r="B75" s="597"/>
      <c r="I75" s="597"/>
    </row>
    <row r="76" spans="2:9">
      <c r="B76" s="597"/>
      <c r="I76" s="597"/>
    </row>
    <row r="77" spans="2:9">
      <c r="B77" s="597"/>
      <c r="I77" s="597"/>
    </row>
    <row r="78" spans="2:9">
      <c r="B78" s="597"/>
      <c r="I78" s="597"/>
    </row>
    <row r="79" spans="2:9">
      <c r="B79" s="597"/>
      <c r="I79" s="597"/>
    </row>
    <row r="80" spans="2:9">
      <c r="B80" s="597"/>
      <c r="I80" s="597"/>
    </row>
    <row r="81" spans="2:9">
      <c r="B81" s="597"/>
      <c r="I81" s="597"/>
    </row>
    <row r="82" spans="2:9">
      <c r="C82" s="596"/>
      <c r="I82" s="597"/>
    </row>
    <row r="83" spans="2:9">
      <c r="C83" s="596"/>
      <c r="I83" s="597"/>
    </row>
    <row r="84" spans="2:9">
      <c r="C84" s="596"/>
      <c r="I84" s="597"/>
    </row>
    <row r="85" spans="2:9">
      <c r="C85" s="596"/>
      <c r="I85" s="597"/>
    </row>
    <row r="86" spans="2:9">
      <c r="C86" s="596"/>
      <c r="I86" s="597"/>
    </row>
    <row r="87" spans="2:9">
      <c r="C87" s="596"/>
      <c r="I87" s="597"/>
    </row>
    <row r="88" spans="2:9">
      <c r="C88" s="596"/>
      <c r="I88" s="597"/>
    </row>
    <row r="89" spans="2:9">
      <c r="C89" s="596"/>
      <c r="I89" s="597"/>
    </row>
    <row r="90" spans="2:9">
      <c r="C90" s="596"/>
      <c r="I90" s="597"/>
    </row>
    <row r="91" spans="2:9">
      <c r="C91" s="596"/>
      <c r="I91" s="597"/>
    </row>
    <row r="92" spans="2:9">
      <c r="C92" s="596"/>
      <c r="I92" s="597"/>
    </row>
    <row r="93" spans="2:9" ht="14" thickBot="1">
      <c r="C93" s="598"/>
      <c r="D93" s="599"/>
      <c r="E93" s="599"/>
      <c r="F93" s="599"/>
      <c r="G93" s="599"/>
      <c r="H93" s="599"/>
      <c r="I93" s="600"/>
    </row>
    <row r="94" spans="2:9" ht="14" thickTop="1"/>
  </sheetData>
  <mergeCells count="1">
    <mergeCell ref="H33:H35"/>
  </mergeCells>
  <conditionalFormatting sqref="D5">
    <cfRule type="cellIs" dxfId="187" priority="19" operator="greaterThan">
      <formula>0</formula>
    </cfRule>
  </conditionalFormatting>
  <pageMargins left="0.75000000000000011" right="0.75000000000000011" top="1" bottom="1" header="0.5" footer="0.5"/>
  <pageSetup paperSize="9" scale="86" orientation="portrait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>
    <pageSetUpPr fitToPage="1"/>
  </sheetPr>
  <dimension ref="A1:IV65618"/>
  <sheetViews>
    <sheetView showGridLines="0" showRowColHeaders="0" showZeros="0" showOutlineSymbols="0" zoomScaleNormal="100" zoomScaleSheetLayoutView="75" zoomScalePageLayoutView="120" workbookViewId="0">
      <pane ySplit="12" topLeftCell="A41" activePane="bottomLeft" state="frozenSplit"/>
      <selection activeCell="S9" sqref="S9"/>
      <selection pane="bottomLeft" activeCell="G52" sqref="G52"/>
    </sheetView>
  </sheetViews>
  <sheetFormatPr baseColWidth="10" defaultColWidth="10.796875" defaultRowHeight="15" zeroHeight="1"/>
  <cols>
    <col min="1" max="1" width="14.19921875" style="6" customWidth="1"/>
    <col min="2" max="2" width="15.19921875" style="30" customWidth="1"/>
    <col min="3" max="3" width="16.796875" style="30" customWidth="1"/>
    <col min="4" max="4" width="46" style="49" customWidth="1"/>
    <col min="5" max="5" width="18" style="30" customWidth="1"/>
    <col min="6" max="8" width="18.796875" style="30" customWidth="1"/>
    <col min="9" max="9" width="19.19921875" style="30" customWidth="1"/>
    <col min="10" max="10" width="23" style="30" customWidth="1"/>
    <col min="11" max="11" width="5.59765625" style="33" customWidth="1"/>
    <col min="12" max="12" width="11.796875" style="3" hidden="1" customWidth="1"/>
    <col min="13" max="13" width="14.19921875" style="3" hidden="1" customWidth="1"/>
    <col min="14" max="14" width="18.3984375" style="3" hidden="1" customWidth="1"/>
    <col min="15" max="15" width="11.796875" style="3" hidden="1" customWidth="1"/>
    <col min="16" max="18" width="10.796875" style="3" hidden="1" customWidth="1"/>
    <col min="19" max="19" width="20.19921875" style="3" hidden="1" customWidth="1"/>
    <col min="20" max="21" width="10.796875" style="3" hidden="1" customWidth="1"/>
    <col min="22" max="23" width="23.19921875" style="3" hidden="1" customWidth="1"/>
    <col min="24" max="28" width="10.796875" style="3" hidden="1" customWidth="1"/>
    <col min="29" max="256" width="10.796875" style="3" customWidth="1"/>
    <col min="257" max="16384" width="10.796875" style="3"/>
  </cols>
  <sheetData>
    <row r="1" spans="1:22" ht="9" customHeight="1" thickBot="1">
      <c r="H1" s="99"/>
      <c r="I1" s="99"/>
      <c r="J1" s="99"/>
      <c r="K1" s="100"/>
    </row>
    <row r="2" spans="1:22" ht="8" customHeight="1">
      <c r="D2" s="101"/>
      <c r="E2" s="102"/>
      <c r="F2" s="102"/>
      <c r="G2" s="102"/>
      <c r="H2" s="99"/>
      <c r="I2" s="99"/>
      <c r="J2" s="99"/>
      <c r="K2" s="100"/>
    </row>
    <row r="3" spans="1:22" hidden="1">
      <c r="H3" s="99"/>
      <c r="I3" s="99"/>
      <c r="J3" s="99"/>
      <c r="K3" s="100"/>
    </row>
    <row r="4" spans="1:22" ht="6" customHeight="1">
      <c r="D4" s="31"/>
      <c r="E4" s="32"/>
    </row>
    <row r="5" spans="1:22" s="24" customFormat="1" ht="17">
      <c r="A5" s="505" t="s">
        <v>161</v>
      </c>
      <c r="B5" s="171"/>
      <c r="C5" s="34"/>
      <c r="D5" s="89" t="s">
        <v>263</v>
      </c>
      <c r="E5" s="90" t="s">
        <v>164</v>
      </c>
      <c r="F5" s="35"/>
      <c r="G5" s="35"/>
      <c r="H5" s="36"/>
      <c r="I5" s="35"/>
      <c r="J5" s="35"/>
      <c r="K5" s="37"/>
    </row>
    <row r="6" spans="1:22" s="24" customFormat="1" ht="16" customHeight="1" thickBot="1">
      <c r="A6" s="524"/>
      <c r="B6" s="506" t="s">
        <v>153</v>
      </c>
      <c r="C6" s="34"/>
      <c r="D6" s="89" t="s">
        <v>264</v>
      </c>
      <c r="E6" s="38" t="s">
        <v>487</v>
      </c>
      <c r="F6" s="35"/>
      <c r="G6" s="35"/>
      <c r="H6" s="39"/>
      <c r="I6" s="39"/>
      <c r="J6" s="39"/>
      <c r="K6" s="37"/>
    </row>
    <row r="7" spans="1:22" s="24" customFormat="1" ht="16" customHeight="1" thickBot="1">
      <c r="A7" s="632"/>
      <c r="B7" s="506" t="s">
        <v>384</v>
      </c>
      <c r="C7" s="34"/>
      <c r="D7" s="89" t="s">
        <v>265</v>
      </c>
      <c r="E7" s="38" t="s">
        <v>488</v>
      </c>
      <c r="F7" s="35"/>
      <c r="G7" s="35"/>
      <c r="H7" s="39"/>
      <c r="I7" s="39"/>
      <c r="J7" s="39"/>
      <c r="K7" s="37"/>
    </row>
    <row r="8" spans="1:22" s="24" customFormat="1" ht="16" customHeight="1" thickBot="1">
      <c r="A8" s="534"/>
      <c r="B8" s="506" t="s">
        <v>272</v>
      </c>
      <c r="C8" s="34"/>
      <c r="D8" s="89" t="s">
        <v>266</v>
      </c>
      <c r="E8" s="40" t="str">
        <f>Voorblad!$E$24</f>
        <v>1501-102-2026</v>
      </c>
      <c r="F8" s="35"/>
      <c r="G8" s="35"/>
      <c r="H8" s="39"/>
      <c r="I8" s="39"/>
      <c r="J8" s="39"/>
      <c r="K8" s="37"/>
    </row>
    <row r="9" spans="1:22" s="24" customFormat="1" ht="17">
      <c r="A9" s="690"/>
      <c r="B9" s="506" t="s">
        <v>479</v>
      </c>
      <c r="C9" s="335"/>
      <c r="D9" s="89" t="s">
        <v>267</v>
      </c>
      <c r="E9" s="41" t="str">
        <f ca="1">Voorblad!$E$26</f>
        <v>Calculatiemodule Opspoor Perceel 2 V1.1 | 01-jan-27 Wijziging bijgehouden</v>
      </c>
      <c r="F9" s="35"/>
      <c r="G9" s="35"/>
      <c r="H9" s="35"/>
      <c r="K9" s="37"/>
    </row>
    <row r="10" spans="1:22" s="24" customFormat="1" ht="17">
      <c r="C10" s="335"/>
      <c r="D10" s="89" t="s">
        <v>268</v>
      </c>
      <c r="E10" s="91" t="str">
        <f>Voorblad!$E$19</f>
        <v>Naam organisatie</v>
      </c>
      <c r="F10" s="35"/>
      <c r="G10" s="34"/>
      <c r="H10" s="34"/>
      <c r="K10" s="37"/>
    </row>
    <row r="11" spans="1:22" s="24" customFormat="1" ht="17">
      <c r="C11" s="337"/>
      <c r="D11" s="89" t="s">
        <v>269</v>
      </c>
      <c r="E11" s="45">
        <f>Voorblad!E22</f>
        <v>46388</v>
      </c>
      <c r="F11" s="35"/>
      <c r="G11" s="34"/>
      <c r="H11" s="34"/>
      <c r="K11" s="37"/>
    </row>
    <row r="12" spans="1:22" s="24" customFormat="1" ht="17">
      <c r="C12" s="335"/>
      <c r="D12" s="46"/>
      <c r="E12" s="34"/>
      <c r="F12" s="34"/>
      <c r="G12" s="34"/>
      <c r="H12" s="34"/>
      <c r="I12" s="34"/>
      <c r="J12" s="34"/>
      <c r="K12" s="37"/>
    </row>
    <row r="13" spans="1:22" s="24" customFormat="1" ht="18" thickBot="1">
      <c r="A13" s="6"/>
      <c r="B13" s="34"/>
      <c r="C13" s="34"/>
      <c r="D13" s="116" t="s">
        <v>106</v>
      </c>
      <c r="E13" s="34"/>
      <c r="F13" s="34"/>
      <c r="G13" s="47"/>
      <c r="H13" s="47"/>
      <c r="I13" s="47"/>
      <c r="J13" s="48"/>
      <c r="K13" s="37"/>
    </row>
    <row r="14" spans="1:22" ht="17" thickTop="1">
      <c r="A14" s="821" t="s">
        <v>385</v>
      </c>
      <c r="B14" s="822"/>
      <c r="R14" s="24"/>
      <c r="S14" s="24"/>
      <c r="T14" s="24"/>
      <c r="U14" s="24"/>
      <c r="V14" s="24"/>
    </row>
    <row r="15" spans="1:22" s="20" customFormat="1" ht="62" customHeight="1">
      <c r="A15" s="823"/>
      <c r="B15" s="824"/>
      <c r="C15" s="50"/>
      <c r="D15" s="92" t="s">
        <v>297</v>
      </c>
      <c r="E15" s="93" t="s">
        <v>298</v>
      </c>
      <c r="F15" s="94" t="s">
        <v>299</v>
      </c>
      <c r="G15" s="94" t="s">
        <v>303</v>
      </c>
      <c r="H15" s="94" t="s">
        <v>300</v>
      </c>
      <c r="I15" s="94" t="s">
        <v>301</v>
      </c>
      <c r="J15" s="94" t="s">
        <v>302</v>
      </c>
      <c r="K15" s="51"/>
      <c r="R15" s="24"/>
      <c r="S15" s="24"/>
      <c r="T15" s="24"/>
      <c r="U15" s="24"/>
      <c r="V15" s="24"/>
    </row>
    <row r="16" spans="1:22" s="20" customFormat="1" ht="16">
      <c r="A16" s="823"/>
      <c r="B16" s="824"/>
      <c r="C16" s="50"/>
      <c r="D16" s="98"/>
      <c r="E16" s="96"/>
      <c r="F16" s="97"/>
      <c r="G16" s="97"/>
      <c r="H16" s="97"/>
      <c r="I16" s="97"/>
      <c r="J16" s="97"/>
      <c r="K16" s="51"/>
      <c r="R16" s="24"/>
      <c r="S16" s="24"/>
      <c r="T16" s="24"/>
      <c r="U16" s="24"/>
      <c r="V16" s="24"/>
    </row>
    <row r="17" spans="1:256" s="20" customFormat="1" ht="17" thickBot="1">
      <c r="A17" s="825"/>
      <c r="B17" s="826"/>
      <c r="C17" s="50"/>
      <c r="D17" s="95"/>
      <c r="E17" s="96"/>
      <c r="F17" s="97"/>
      <c r="G17" s="97"/>
      <c r="H17" s="97"/>
      <c r="I17" s="97"/>
      <c r="J17" s="97"/>
      <c r="K17" s="51"/>
      <c r="R17" s="24"/>
      <c r="S17" s="24"/>
      <c r="T17" s="24"/>
      <c r="U17" s="24"/>
      <c r="V17" s="24"/>
    </row>
    <row r="18" spans="1:256" ht="21" customHeight="1" thickTop="1">
      <c r="C18" s="50"/>
      <c r="D18" s="106" t="s">
        <v>162</v>
      </c>
      <c r="E18" s="52"/>
      <c r="F18" s="52"/>
      <c r="G18" s="53"/>
      <c r="H18" s="53"/>
      <c r="I18" s="53"/>
      <c r="J18" s="53"/>
      <c r="R18" s="24"/>
      <c r="S18" s="24"/>
      <c r="T18" s="24"/>
      <c r="U18" s="24"/>
      <c r="V18" s="24"/>
    </row>
    <row r="19" spans="1:256" ht="16">
      <c r="A19" s="26"/>
      <c r="C19" s="50"/>
      <c r="D19" s="107"/>
      <c r="J19" s="54"/>
      <c r="R19" s="24"/>
      <c r="S19" s="24"/>
      <c r="T19" s="24"/>
      <c r="U19" s="24"/>
      <c r="V19" s="24"/>
    </row>
    <row r="20" spans="1:256" ht="16">
      <c r="C20" s="50"/>
      <c r="D20" s="691" t="s">
        <v>251</v>
      </c>
      <c r="E20" s="483"/>
      <c r="F20" s="55">
        <f>H20/G20</f>
        <v>0</v>
      </c>
      <c r="G20" s="56">
        <v>200</v>
      </c>
      <c r="H20" s="57">
        <f>$H$25*E20</f>
        <v>0</v>
      </c>
      <c r="I20" s="58">
        <f>HLOOKUP(D20,'1.4-Opbouw uurtarieven'!$M$16:$R$65,44,FALSE)</f>
        <v>0</v>
      </c>
      <c r="J20" s="59">
        <f>I20*H20</f>
        <v>0</v>
      </c>
      <c r="R20" s="24"/>
      <c r="S20" s="24"/>
      <c r="T20" s="24"/>
      <c r="U20" s="24"/>
      <c r="V20" s="24"/>
      <c r="W20" s="3" t="e">
        <f>R20/I20-1</f>
        <v>#DIV/0!</v>
      </c>
    </row>
    <row r="21" spans="1:256" ht="16">
      <c r="A21" s="26"/>
      <c r="C21" s="50"/>
      <c r="D21" s="107"/>
      <c r="E21" s="60"/>
      <c r="F21" s="61"/>
      <c r="H21" s="62"/>
      <c r="J21" s="54"/>
      <c r="R21" s="24"/>
      <c r="S21" s="24"/>
      <c r="T21" s="24"/>
      <c r="U21" s="24"/>
      <c r="V21" s="24"/>
    </row>
    <row r="22" spans="1:256" ht="16">
      <c r="B22" s="42" t="s">
        <v>161</v>
      </c>
      <c r="C22" s="50"/>
      <c r="D22" s="691" t="s">
        <v>251</v>
      </c>
      <c r="E22" s="483"/>
      <c r="F22" s="55">
        <f>H22/G22</f>
        <v>0</v>
      </c>
      <c r="G22" s="56">
        <v>200</v>
      </c>
      <c r="H22" s="57">
        <f>$H$25*E22</f>
        <v>0</v>
      </c>
      <c r="I22" s="58">
        <f>HLOOKUP(D22,'1.4-Opbouw uurtarieven'!$M$16:$R$65,44,FALSE)</f>
        <v>0</v>
      </c>
      <c r="J22" s="59">
        <f>I22*H22</f>
        <v>0</v>
      </c>
      <c r="R22" s="24"/>
      <c r="S22" s="24"/>
      <c r="T22" s="24"/>
      <c r="U22" s="24"/>
      <c r="V22" s="24"/>
    </row>
    <row r="23" spans="1:256" ht="16">
      <c r="C23" s="50"/>
      <c r="D23" s="108"/>
      <c r="E23" s="63"/>
      <c r="F23" s="64"/>
      <c r="G23" s="31"/>
      <c r="H23" s="65"/>
      <c r="I23" s="31"/>
      <c r="J23" s="31"/>
      <c r="K23" s="66"/>
      <c r="L23" s="25"/>
      <c r="M23" s="25"/>
      <c r="N23" s="25"/>
      <c r="O23" s="25"/>
      <c r="P23" s="25"/>
      <c r="Q23" s="25"/>
      <c r="R23" s="24"/>
      <c r="S23" s="24"/>
      <c r="T23" s="24"/>
      <c r="U23" s="24"/>
      <c r="V23" s="2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pans="1:256" ht="16">
      <c r="C24" s="50"/>
      <c r="D24" s="691" t="s">
        <v>251</v>
      </c>
      <c r="E24" s="483"/>
      <c r="F24" s="55">
        <f>H24/G24</f>
        <v>0</v>
      </c>
      <c r="G24" s="56">
        <v>200</v>
      </c>
      <c r="H24" s="57">
        <f>$H$25*E24</f>
        <v>0</v>
      </c>
      <c r="I24" s="58">
        <f>HLOOKUP(D24,'1.4-Opbouw uurtarieven'!$M$16:$R$65,44,FALSE)</f>
        <v>0</v>
      </c>
      <c r="J24" s="59">
        <f>I24*H24</f>
        <v>0</v>
      </c>
      <c r="R24" s="24"/>
      <c r="S24" s="24"/>
      <c r="T24" s="24"/>
      <c r="U24" s="24"/>
      <c r="V24" s="24"/>
    </row>
    <row r="25" spans="1:256" ht="20" customHeight="1">
      <c r="C25" s="50"/>
      <c r="D25" s="109" t="str">
        <f>IF(E25&gt;100%,"Mag niet hoger zijn dan 100%","")</f>
        <v/>
      </c>
      <c r="E25" s="68">
        <f>SUM(E20:E24)</f>
        <v>0</v>
      </c>
      <c r="F25" s="103">
        <f>SUM(F20:F24)</f>
        <v>0</v>
      </c>
      <c r="G25" s="70"/>
      <c r="H25" s="104">
        <f>SUM('1.3-Basis ruimtestaat'!Q:R)</f>
        <v>0</v>
      </c>
      <c r="I25" s="70" t="s">
        <v>259</v>
      </c>
      <c r="J25" s="105">
        <f>SUM(J20:J24)</f>
        <v>0</v>
      </c>
      <c r="L25" s="27">
        <f>IF(H25=0,0,J25/H25)</f>
        <v>0</v>
      </c>
      <c r="N25" s="28">
        <f>IF(E25&gt;100,"Is hoger dan 100%",0)</f>
        <v>0</v>
      </c>
      <c r="R25" s="24"/>
      <c r="S25" s="24"/>
      <c r="T25" s="24"/>
      <c r="U25" s="24"/>
      <c r="V25" s="24"/>
    </row>
    <row r="26" spans="1:256" ht="16">
      <c r="C26" s="50"/>
      <c r="D26" s="110"/>
      <c r="E26" s="73"/>
      <c r="F26" s="69"/>
      <c r="G26" s="53"/>
      <c r="H26" s="71"/>
      <c r="I26" s="74"/>
      <c r="J26" s="72"/>
      <c r="L26" s="5"/>
      <c r="R26" s="24"/>
      <c r="S26" s="24"/>
      <c r="T26" s="24"/>
      <c r="U26" s="24"/>
      <c r="V26" s="24"/>
    </row>
    <row r="27" spans="1:256" ht="16">
      <c r="C27" s="50"/>
      <c r="D27" s="110"/>
      <c r="E27" s="73"/>
      <c r="F27" s="69"/>
      <c r="G27" s="53"/>
      <c r="H27" s="71"/>
      <c r="I27" s="74"/>
      <c r="J27" s="75"/>
      <c r="L27" s="5"/>
      <c r="R27" s="24"/>
      <c r="S27" s="24"/>
      <c r="T27" s="24"/>
      <c r="U27" s="24"/>
      <c r="V27" s="24"/>
    </row>
    <row r="28" spans="1:256" ht="16">
      <c r="C28" s="50"/>
      <c r="D28" s="110" t="s">
        <v>163</v>
      </c>
      <c r="F28" s="61"/>
      <c r="G28" s="53"/>
      <c r="H28" s="65"/>
      <c r="I28" s="53"/>
      <c r="J28" s="53"/>
      <c r="L28" s="4"/>
      <c r="R28" s="24"/>
      <c r="S28" s="24"/>
      <c r="T28" s="24"/>
      <c r="U28" s="24"/>
      <c r="V28" s="24"/>
    </row>
    <row r="29" spans="1:256" ht="16">
      <c r="C29" s="50"/>
      <c r="D29" s="107"/>
      <c r="F29" s="61"/>
      <c r="H29" s="62"/>
      <c r="J29" s="54"/>
      <c r="L29" s="5"/>
      <c r="R29" s="24"/>
      <c r="S29" s="24"/>
      <c r="T29" s="24"/>
      <c r="U29" s="24"/>
      <c r="V29" s="24"/>
    </row>
    <row r="30" spans="1:256" ht="16">
      <c r="C30" s="50"/>
      <c r="D30" s="691" t="s">
        <v>250</v>
      </c>
      <c r="E30" s="483"/>
      <c r="F30" s="55">
        <f>H30/G30</f>
        <v>0</v>
      </c>
      <c r="G30" s="56">
        <v>200</v>
      </c>
      <c r="H30" s="57">
        <f>$H$25*E30</f>
        <v>0</v>
      </c>
      <c r="I30" s="58">
        <f>HLOOKUP(D30,'1.4-Opbouw uurtarieven'!$S$16:$V$65,44,FALSE)</f>
        <v>0</v>
      </c>
      <c r="J30" s="59">
        <f>I30*H30</f>
        <v>0</v>
      </c>
      <c r="R30" s="24"/>
      <c r="S30" s="24"/>
      <c r="T30" s="24"/>
      <c r="U30" s="24"/>
      <c r="V30" s="24"/>
      <c r="W30" s="3" t="e">
        <f>R30/I30-1</f>
        <v>#DIV/0!</v>
      </c>
    </row>
    <row r="31" spans="1:256" ht="16">
      <c r="C31" s="50"/>
      <c r="D31" s="111"/>
      <c r="E31" s="60"/>
      <c r="F31" s="55"/>
      <c r="G31" s="56"/>
      <c r="H31" s="57"/>
      <c r="I31" s="58"/>
      <c r="J31" s="76"/>
      <c r="R31" s="24"/>
      <c r="S31" s="24"/>
      <c r="T31" s="24"/>
      <c r="U31" s="24"/>
      <c r="V31" s="24"/>
    </row>
    <row r="32" spans="1:256" ht="16">
      <c r="B32" s="42" t="s">
        <v>161</v>
      </c>
      <c r="C32" s="50"/>
      <c r="D32" s="691" t="s">
        <v>250</v>
      </c>
      <c r="E32" s="483">
        <v>0</v>
      </c>
      <c r="F32" s="55">
        <f>H32/G32</f>
        <v>0</v>
      </c>
      <c r="G32" s="56">
        <v>200</v>
      </c>
      <c r="H32" s="57">
        <f>$H$25*E32</f>
        <v>0</v>
      </c>
      <c r="I32" s="58">
        <f>HLOOKUP(D32,'1.4-Opbouw uurtarieven'!$S$16:$V$65,44,FALSE)</f>
        <v>0</v>
      </c>
      <c r="J32" s="59">
        <f>I32*H32</f>
        <v>0</v>
      </c>
      <c r="R32" s="24"/>
      <c r="S32" s="24"/>
      <c r="T32" s="24"/>
      <c r="U32" s="24"/>
      <c r="V32" s="24"/>
    </row>
    <row r="33" spans="1:256" ht="16">
      <c r="C33" s="50"/>
      <c r="D33" s="111"/>
      <c r="E33" s="60"/>
      <c r="F33" s="55"/>
      <c r="G33" s="56"/>
      <c r="H33" s="57"/>
      <c r="I33" s="58"/>
      <c r="J33" s="76"/>
      <c r="R33" s="24"/>
      <c r="S33" s="24"/>
      <c r="T33" s="24"/>
      <c r="U33" s="24"/>
      <c r="V33" s="24"/>
    </row>
    <row r="34" spans="1:256" ht="16">
      <c r="C34" s="50"/>
      <c r="D34" s="691" t="s">
        <v>250</v>
      </c>
      <c r="E34" s="483"/>
      <c r="F34" s="67">
        <f>H34/G34</f>
        <v>0</v>
      </c>
      <c r="G34" s="56">
        <v>200</v>
      </c>
      <c r="H34" s="77">
        <f>$H$25*E34</f>
        <v>0</v>
      </c>
      <c r="I34" s="58">
        <f>HLOOKUP(D34,'1.4-Opbouw uurtarieven'!$S$16:$V$65,44,FALSE)</f>
        <v>0</v>
      </c>
      <c r="J34" s="59">
        <f>I34*H34</f>
        <v>0</v>
      </c>
      <c r="R34" s="24"/>
      <c r="S34" s="24"/>
      <c r="T34" s="24"/>
      <c r="U34" s="24"/>
      <c r="V34" s="24"/>
    </row>
    <row r="35" spans="1:256" ht="16">
      <c r="C35" s="50"/>
      <c r="D35" s="111"/>
      <c r="E35" s="68">
        <f>SUM(E30:E34)</f>
        <v>0</v>
      </c>
      <c r="F35" s="69">
        <f>SUM(F30:F34)</f>
        <v>0</v>
      </c>
      <c r="G35" s="53"/>
      <c r="H35" s="71">
        <f>SUM(H30:H34)</f>
        <v>0</v>
      </c>
      <c r="I35" s="70" t="s">
        <v>260</v>
      </c>
      <c r="J35" s="72">
        <f>SUM(J28:J34)</f>
        <v>0</v>
      </c>
      <c r="K35" s="31"/>
      <c r="L35" s="27">
        <f>IF(H35=0,0,J35/H35)</f>
        <v>0</v>
      </c>
      <c r="N35" s="27">
        <f>J35+J25</f>
        <v>0</v>
      </c>
      <c r="O35" s="25"/>
      <c r="P35" s="25"/>
      <c r="Q35" s="25"/>
      <c r="R35" s="24"/>
      <c r="S35" s="24"/>
      <c r="T35" s="24"/>
      <c r="U35" s="24"/>
      <c r="V35" s="24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</row>
    <row r="36" spans="1:256" ht="16">
      <c r="C36" s="50"/>
      <c r="D36" s="110"/>
      <c r="E36" s="73"/>
      <c r="F36" s="78"/>
      <c r="G36" s="53"/>
      <c r="H36" s="78"/>
      <c r="I36" s="52"/>
      <c r="J36" s="79"/>
      <c r="L36" s="5"/>
      <c r="R36" s="24"/>
      <c r="S36" s="24"/>
      <c r="T36" s="24"/>
      <c r="U36" s="24"/>
      <c r="V36" s="24"/>
    </row>
    <row r="37" spans="1:256" ht="16">
      <c r="C37" s="50"/>
      <c r="D37" s="110"/>
      <c r="E37" s="73"/>
      <c r="F37" s="78"/>
      <c r="G37" s="53"/>
      <c r="H37" s="78"/>
      <c r="I37" s="78"/>
      <c r="J37" s="72"/>
      <c r="L37" s="27">
        <f>IF(H25=0,0,N35/H25)</f>
        <v>0</v>
      </c>
      <c r="R37" s="24"/>
      <c r="S37" s="24"/>
      <c r="T37" s="24"/>
      <c r="U37" s="24"/>
      <c r="V37" s="24"/>
    </row>
    <row r="38" spans="1:256" ht="16">
      <c r="C38" s="50"/>
      <c r="D38" s="110"/>
      <c r="E38" s="73"/>
      <c r="F38" s="78"/>
      <c r="G38" s="53"/>
      <c r="H38" s="78"/>
      <c r="I38" s="78"/>
      <c r="J38" s="72"/>
      <c r="L38" s="5"/>
      <c r="R38" s="24"/>
      <c r="S38" s="24"/>
      <c r="T38" s="24"/>
      <c r="U38" s="24"/>
      <c r="V38" s="24"/>
    </row>
    <row r="39" spans="1:256" ht="16">
      <c r="C39" s="50"/>
      <c r="D39" s="110"/>
      <c r="E39" s="73"/>
      <c r="F39" s="78"/>
      <c r="G39" s="53"/>
      <c r="H39" s="78"/>
      <c r="I39" s="70" t="s">
        <v>294</v>
      </c>
      <c r="J39" s="72">
        <f>J35+J25</f>
        <v>0</v>
      </c>
      <c r="L39" s="5"/>
      <c r="R39" s="24"/>
      <c r="S39" s="24"/>
      <c r="T39" s="24"/>
      <c r="U39" s="24"/>
      <c r="V39" s="24"/>
    </row>
    <row r="40" spans="1:256" ht="16">
      <c r="C40" s="50"/>
      <c r="D40" s="108"/>
      <c r="E40" s="63"/>
      <c r="F40" s="64"/>
      <c r="G40" s="31"/>
      <c r="H40" s="65"/>
      <c r="I40" s="31"/>
      <c r="J40" s="31"/>
      <c r="K40" s="66"/>
      <c r="L40" s="25"/>
      <c r="M40" s="25"/>
      <c r="N40" s="25"/>
      <c r="O40" s="25"/>
      <c r="P40" s="25"/>
      <c r="Q40" s="25"/>
      <c r="R40" s="24"/>
      <c r="S40" s="24"/>
      <c r="T40" s="24"/>
      <c r="U40" s="24"/>
      <c r="V40" s="2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  <c r="HT40" s="25"/>
      <c r="HU40" s="25"/>
      <c r="HV40" s="25"/>
      <c r="HW40" s="25"/>
      <c r="HX40" s="25"/>
      <c r="HY40" s="25"/>
      <c r="HZ40" s="25"/>
      <c r="IA40" s="25"/>
      <c r="IB40" s="25"/>
      <c r="IC40" s="25"/>
      <c r="ID40" s="25"/>
      <c r="IE40" s="25"/>
      <c r="IF40" s="25"/>
      <c r="IG40" s="25"/>
      <c r="IH40" s="25"/>
      <c r="II40" s="25"/>
      <c r="IJ40" s="25"/>
      <c r="IK40" s="25"/>
      <c r="IL40" s="25"/>
      <c r="IM40" s="25"/>
      <c r="IN40" s="25"/>
      <c r="IO40" s="25"/>
      <c r="IP40" s="25"/>
      <c r="IQ40" s="25"/>
      <c r="IR40" s="25"/>
      <c r="IS40" s="25"/>
      <c r="IT40" s="25"/>
      <c r="IU40" s="25"/>
      <c r="IV40" s="25"/>
    </row>
    <row r="41" spans="1:256" ht="16">
      <c r="C41" s="50"/>
      <c r="D41" s="110"/>
      <c r="E41" s="80"/>
      <c r="F41" s="78"/>
      <c r="G41" s="53"/>
      <c r="H41" s="53"/>
      <c r="I41" s="78"/>
      <c r="J41" s="74"/>
      <c r="L41" s="5"/>
      <c r="R41" s="24"/>
      <c r="S41" s="24"/>
      <c r="T41" s="24"/>
      <c r="U41" s="24"/>
      <c r="V41" s="24"/>
    </row>
    <row r="42" spans="1:256" ht="17">
      <c r="C42" s="50"/>
      <c r="D42" s="117" t="s">
        <v>1077</v>
      </c>
      <c r="E42" s="80"/>
      <c r="F42" s="78"/>
      <c r="G42" s="53"/>
      <c r="H42" s="78"/>
      <c r="I42" s="52"/>
      <c r="J42" s="72"/>
      <c r="L42" s="5"/>
      <c r="R42" s="24"/>
      <c r="S42" s="24"/>
      <c r="T42" s="24"/>
      <c r="U42" s="24"/>
      <c r="V42" s="24"/>
    </row>
    <row r="43" spans="1:256" ht="16">
      <c r="C43" s="50"/>
      <c r="D43" s="110"/>
      <c r="E43" s="80"/>
      <c r="F43" s="78"/>
      <c r="G43" s="53"/>
      <c r="H43" s="78"/>
      <c r="I43" s="52"/>
      <c r="J43" s="79"/>
      <c r="R43" s="24"/>
      <c r="S43" s="24"/>
      <c r="T43" s="24"/>
      <c r="U43" s="24"/>
      <c r="V43" s="24"/>
    </row>
    <row r="44" spans="1:256" ht="16">
      <c r="C44" s="50"/>
      <c r="D44" s="110"/>
      <c r="E44" s="80"/>
      <c r="F44" s="78"/>
      <c r="G44" s="53"/>
      <c r="I44" s="121"/>
      <c r="J44" s="72"/>
      <c r="L44" s="29"/>
      <c r="R44" s="24"/>
      <c r="S44" s="24"/>
      <c r="T44" s="24"/>
      <c r="U44" s="24"/>
      <c r="V44" s="24"/>
    </row>
    <row r="45" spans="1:256" ht="16">
      <c r="C45" s="50"/>
      <c r="D45" s="110"/>
      <c r="E45" s="80"/>
      <c r="F45" s="78"/>
      <c r="G45" s="53"/>
      <c r="H45" s="78"/>
      <c r="I45" s="52"/>
      <c r="J45" s="79"/>
      <c r="R45" s="24"/>
      <c r="S45" s="24"/>
      <c r="T45" s="24"/>
      <c r="U45" s="24"/>
      <c r="V45" s="24"/>
    </row>
    <row r="46" spans="1:256" s="24" customFormat="1" ht="17">
      <c r="A46" s="6"/>
      <c r="B46" s="30"/>
      <c r="C46" s="50"/>
      <c r="D46" s="116" t="s">
        <v>124</v>
      </c>
      <c r="E46" s="47"/>
      <c r="F46" s="47"/>
      <c r="G46" s="47"/>
      <c r="H46" s="47"/>
      <c r="I46" s="47"/>
      <c r="J46" s="48"/>
      <c r="K46" s="37"/>
    </row>
    <row r="47" spans="1:256">
      <c r="A47" s="790"/>
      <c r="C47" s="50"/>
      <c r="D47" s="110"/>
      <c r="E47" s="52"/>
      <c r="F47" s="81"/>
      <c r="G47" s="82"/>
      <c r="H47" s="81"/>
      <c r="I47" s="52"/>
      <c r="J47" s="52"/>
    </row>
    <row r="48" spans="1:256" ht="17">
      <c r="A48" s="790"/>
      <c r="B48" s="34"/>
      <c r="C48" s="50"/>
      <c r="D48" s="110"/>
      <c r="E48" s="52"/>
      <c r="G48" s="82" t="s">
        <v>375</v>
      </c>
      <c r="H48" s="81" t="s">
        <v>376</v>
      </c>
      <c r="I48" s="81" t="s">
        <v>377</v>
      </c>
      <c r="J48" s="52"/>
      <c r="L48" s="5"/>
    </row>
    <row r="49" spans="1:19">
      <c r="A49" s="790"/>
      <c r="C49" s="50"/>
      <c r="D49" s="606"/>
      <c r="E49" s="52"/>
      <c r="G49" s="840"/>
      <c r="H49" s="840"/>
      <c r="I49" s="840"/>
      <c r="J49" s="76">
        <f>I49*H49*G49</f>
        <v>0</v>
      </c>
      <c r="L49" s="5"/>
    </row>
    <row r="50" spans="1:19">
      <c r="A50" s="790"/>
      <c r="C50" s="50"/>
      <c r="D50" s="607"/>
      <c r="E50" s="52"/>
      <c r="G50" s="840"/>
      <c r="H50" s="840"/>
      <c r="I50" s="840"/>
      <c r="J50" s="76">
        <f>I50*H50*G50</f>
        <v>0</v>
      </c>
      <c r="L50" s="29"/>
    </row>
    <row r="51" spans="1:19">
      <c r="A51" s="791"/>
      <c r="C51" s="50"/>
      <c r="D51" s="607"/>
      <c r="E51" s="52"/>
      <c r="G51" s="840"/>
      <c r="H51" s="840"/>
      <c r="I51" s="840"/>
      <c r="J51" s="76">
        <f>I51*H51*G51</f>
        <v>0</v>
      </c>
      <c r="L51" s="27"/>
      <c r="M51" s="4"/>
      <c r="N51" s="5"/>
      <c r="O51" s="4"/>
    </row>
    <row r="52" spans="1:19">
      <c r="A52" s="791"/>
      <c r="C52" s="50"/>
      <c r="D52" s="608"/>
      <c r="E52" s="52"/>
      <c r="G52" s="840"/>
      <c r="H52" s="840"/>
      <c r="I52" s="840"/>
      <c r="J52" s="76">
        <f>I52*H52*G52</f>
        <v>0</v>
      </c>
      <c r="L52" s="27">
        <f>IF(H25=0,0,J44/H25)</f>
        <v>0</v>
      </c>
      <c r="M52" s="4"/>
      <c r="N52" s="5"/>
      <c r="O52" s="4"/>
    </row>
    <row r="53" spans="1:19">
      <c r="A53" s="791"/>
      <c r="C53" s="50"/>
      <c r="D53" s="108"/>
      <c r="E53" s="52"/>
      <c r="J53" s="76"/>
      <c r="L53" s="27"/>
      <c r="M53" s="4"/>
      <c r="N53" s="5"/>
      <c r="O53" s="4"/>
    </row>
    <row r="54" spans="1:19">
      <c r="A54" s="791"/>
      <c r="C54" s="50"/>
      <c r="D54" s="108"/>
      <c r="E54" s="52"/>
      <c r="G54" s="83"/>
      <c r="H54" s="83"/>
      <c r="I54" s="83"/>
      <c r="J54" s="83"/>
      <c r="L54" s="27"/>
      <c r="M54" s="4"/>
      <c r="N54" s="5"/>
      <c r="O54" s="4"/>
    </row>
    <row r="55" spans="1:19">
      <c r="A55" s="791"/>
      <c r="C55" s="50"/>
      <c r="D55" s="112"/>
      <c r="E55" s="52"/>
      <c r="F55" s="52"/>
      <c r="G55" s="52"/>
      <c r="H55" s="52"/>
      <c r="I55" s="52"/>
      <c r="J55" s="52"/>
    </row>
    <row r="56" spans="1:19" ht="23" customHeight="1">
      <c r="A56" s="791"/>
      <c r="C56" s="50"/>
      <c r="D56" s="113"/>
      <c r="G56" s="118" t="s">
        <v>4</v>
      </c>
      <c r="H56" s="119"/>
      <c r="I56" s="120"/>
      <c r="J56" s="631">
        <f>SUM(J39:J55)</f>
        <v>0</v>
      </c>
      <c r="M56" s="4"/>
      <c r="O56" s="5"/>
      <c r="S56" s="780"/>
    </row>
    <row r="57" spans="1:19" ht="17" customHeight="1">
      <c r="A57" s="790"/>
      <c r="C57" s="50"/>
      <c r="D57" s="114"/>
      <c r="G57" s="49" t="s">
        <v>5</v>
      </c>
      <c r="I57" s="84">
        <v>0.21</v>
      </c>
      <c r="J57" s="85">
        <f>I57*J56</f>
        <v>0</v>
      </c>
    </row>
    <row r="58" spans="1:19" ht="17" customHeight="1">
      <c r="A58" s="790"/>
      <c r="C58" s="50"/>
      <c r="D58" s="114"/>
      <c r="G58" s="49" t="s">
        <v>94</v>
      </c>
      <c r="J58" s="76">
        <f>J57+J56</f>
        <v>0</v>
      </c>
      <c r="M58" s="4"/>
      <c r="N58" s="5"/>
      <c r="O58" s="5"/>
    </row>
    <row r="59" spans="1:19">
      <c r="A59" s="790"/>
      <c r="C59" s="50"/>
      <c r="D59" s="112"/>
      <c r="E59" s="52"/>
      <c r="F59" s="52"/>
      <c r="G59" s="52"/>
      <c r="H59" s="52"/>
      <c r="I59" s="52"/>
      <c r="J59" s="76"/>
    </row>
    <row r="60" spans="1:19">
      <c r="A60" s="790"/>
      <c r="C60" s="50"/>
      <c r="D60" s="112"/>
      <c r="E60" s="52"/>
      <c r="F60" s="52"/>
      <c r="G60" s="52"/>
      <c r="H60" s="52"/>
      <c r="I60" s="52"/>
      <c r="J60" s="76"/>
    </row>
    <row r="61" spans="1:19">
      <c r="A61" s="790"/>
      <c r="C61" s="50"/>
      <c r="D61" s="112"/>
      <c r="E61" s="52"/>
      <c r="F61" s="52"/>
      <c r="G61" s="52"/>
      <c r="H61" s="52"/>
      <c r="I61" s="52"/>
      <c r="J61" s="76"/>
    </row>
    <row r="62" spans="1:19" ht="16" thickBot="1">
      <c r="C62" s="50"/>
      <c r="D62" s="112"/>
      <c r="E62" s="52"/>
      <c r="F62" s="52"/>
      <c r="G62" s="52"/>
      <c r="H62" s="52"/>
      <c r="I62" s="52"/>
      <c r="J62" s="76"/>
    </row>
    <row r="63" spans="1:19" ht="23" customHeight="1" thickBot="1">
      <c r="A63" s="32"/>
      <c r="C63" s="50"/>
      <c r="D63" s="115" t="s">
        <v>340</v>
      </c>
      <c r="E63" s="115"/>
      <c r="F63" s="88">
        <f>IF(J39=0,0,J39/H25)</f>
        <v>0</v>
      </c>
      <c r="G63" s="630" t="s">
        <v>380</v>
      </c>
      <c r="H63" s="52"/>
      <c r="I63" s="52"/>
      <c r="J63" s="76"/>
    </row>
    <row r="64" spans="1:19">
      <c r="C64" s="50"/>
      <c r="D64" s="112"/>
      <c r="E64" s="52"/>
      <c r="F64" s="52"/>
      <c r="G64" s="52"/>
      <c r="H64" s="52"/>
      <c r="I64" s="52"/>
      <c r="J64" s="76"/>
    </row>
    <row r="65" spans="1:11">
      <c r="C65" s="50"/>
      <c r="D65" s="114"/>
      <c r="J65" s="629"/>
    </row>
    <row r="66" spans="1:11" ht="17">
      <c r="C66" s="50"/>
      <c r="D66" s="116" t="s">
        <v>295</v>
      </c>
    </row>
    <row r="67" spans="1:11">
      <c r="C67" s="50"/>
      <c r="D67" s="114"/>
    </row>
    <row r="68" spans="1:11" s="20" customFormat="1" ht="62" customHeight="1">
      <c r="A68" s="6"/>
      <c r="B68" s="30"/>
      <c r="C68" s="50"/>
      <c r="D68" s="92"/>
      <c r="E68" s="92"/>
      <c r="F68" s="93" t="s">
        <v>305</v>
      </c>
      <c r="G68" s="94" t="s">
        <v>326</v>
      </c>
      <c r="H68" s="94" t="s">
        <v>306</v>
      </c>
      <c r="I68" s="94"/>
      <c r="J68" s="94" t="s">
        <v>302</v>
      </c>
      <c r="K68" s="51"/>
    </row>
    <row r="69" spans="1:11" s="20" customFormat="1">
      <c r="A69" s="6"/>
      <c r="B69" s="30"/>
      <c r="C69" s="50"/>
      <c r="D69" s="98"/>
      <c r="E69" s="96"/>
      <c r="F69" s="97"/>
      <c r="G69" s="97"/>
      <c r="H69" s="97"/>
      <c r="I69" s="97"/>
      <c r="J69" s="97"/>
      <c r="K69" s="51"/>
    </row>
    <row r="70" spans="1:11">
      <c r="B70" s="50"/>
      <c r="C70" s="50"/>
      <c r="D70" s="114"/>
    </row>
    <row r="71" spans="1:11">
      <c r="B71" s="50"/>
      <c r="C71" s="50"/>
      <c r="D71" s="114"/>
      <c r="F71" s="86">
        <f>SUM('1.8-Glasbewassing'!F15:F212)</f>
        <v>4288.3999999999987</v>
      </c>
      <c r="J71" s="87">
        <f>SUM('1.8-Glasbewassing'!Y:Y)</f>
        <v>0</v>
      </c>
    </row>
    <row r="72" spans="1:11">
      <c r="C72" s="50"/>
      <c r="D72" s="114"/>
      <c r="G72" s="86">
        <f>SUM('1.8-Glasbewassing'!G15:G213)</f>
        <v>4309.8999999999996</v>
      </c>
      <c r="J72" s="87">
        <f>SUM('1.8-Glasbewassing'!Z:Z)</f>
        <v>0</v>
      </c>
    </row>
    <row r="73" spans="1:11">
      <c r="C73" s="50"/>
      <c r="D73" s="114"/>
      <c r="H73" s="86">
        <f>SUM('1.8-Glasbewassing'!H15:H214)</f>
        <v>2315.3300000000004</v>
      </c>
      <c r="J73" s="87">
        <f>SUM('1.8-Glasbewassing'!AA:AA)</f>
        <v>0</v>
      </c>
    </row>
    <row r="74" spans="1:11">
      <c r="C74" s="50"/>
      <c r="D74" s="114"/>
    </row>
    <row r="75" spans="1:11">
      <c r="C75" s="50"/>
      <c r="D75" s="114"/>
      <c r="E75" s="3"/>
      <c r="G75" s="32" t="s">
        <v>307</v>
      </c>
      <c r="J75" s="87">
        <f>SUM('1.8-Glasbewassing'!S:S)</f>
        <v>0</v>
      </c>
    </row>
    <row r="76" spans="1:11">
      <c r="C76" s="50"/>
      <c r="D76" s="114"/>
      <c r="H76" s="86"/>
      <c r="J76" s="3"/>
    </row>
    <row r="77" spans="1:11">
      <c r="C77" s="50"/>
      <c r="D77" s="114"/>
    </row>
    <row r="78" spans="1:11">
      <c r="C78" s="50"/>
      <c r="D78" s="114"/>
    </row>
    <row r="79" spans="1:11" ht="23" customHeight="1">
      <c r="C79" s="50"/>
      <c r="D79" s="114"/>
      <c r="G79" s="118" t="s">
        <v>4</v>
      </c>
      <c r="H79" s="119"/>
      <c r="I79" s="120"/>
      <c r="J79" s="631">
        <f>SUM(J71:J78)</f>
        <v>0</v>
      </c>
    </row>
    <row r="80" spans="1:11">
      <c r="C80" s="50"/>
      <c r="D80" s="114"/>
      <c r="G80" s="49" t="s">
        <v>5</v>
      </c>
      <c r="I80" s="84">
        <v>0.21</v>
      </c>
      <c r="J80" s="85">
        <f>I80*J79</f>
        <v>0</v>
      </c>
    </row>
    <row r="81" spans="3:11">
      <c r="C81" s="50"/>
      <c r="D81" s="114"/>
      <c r="G81" s="49" t="s">
        <v>94</v>
      </c>
      <c r="J81" s="76">
        <f>J80+J79</f>
        <v>0</v>
      </c>
    </row>
    <row r="82" spans="3:11">
      <c r="C82" s="50"/>
      <c r="D82" s="114"/>
    </row>
    <row r="83" spans="3:11">
      <c r="C83" s="50"/>
      <c r="D83" s="107"/>
    </row>
    <row r="84" spans="3:11" ht="16" thickBot="1">
      <c r="C84" s="50"/>
      <c r="D84" s="3"/>
    </row>
    <row r="85" spans="3:11">
      <c r="C85" s="50"/>
      <c r="D85" s="184"/>
      <c r="E85" s="102"/>
      <c r="F85" s="102"/>
      <c r="G85" s="102"/>
      <c r="H85" s="102"/>
      <c r="I85" s="102"/>
      <c r="J85" s="102"/>
      <c r="K85" s="185"/>
    </row>
    <row r="86" spans="3:11">
      <c r="C86" s="50"/>
    </row>
    <row r="87" spans="3:11">
      <c r="C87" s="50"/>
    </row>
    <row r="88" spans="3:11">
      <c r="C88" s="50"/>
    </row>
    <row r="89" spans="3:11">
      <c r="C89" s="50"/>
    </row>
    <row r="90" spans="3:11">
      <c r="C90" s="50"/>
    </row>
    <row r="91" spans="3:11">
      <c r="C91" s="50"/>
    </row>
    <row r="92" spans="3:11">
      <c r="C92" s="50"/>
    </row>
    <row r="93" spans="3:11">
      <c r="C93" s="50"/>
    </row>
    <row r="94" spans="3:11">
      <c r="C94" s="50"/>
    </row>
    <row r="95" spans="3:11">
      <c r="C95" s="50"/>
    </row>
    <row r="96" spans="3:11">
      <c r="C96" s="50"/>
    </row>
    <row r="97" spans="3:3">
      <c r="C97" s="50"/>
    </row>
    <row r="98" spans="3:3">
      <c r="C98" s="50"/>
    </row>
    <row r="99" spans="3:3">
      <c r="C99" s="50"/>
    </row>
    <row r="100" spans="3:3">
      <c r="C100" s="50"/>
    </row>
    <row r="101" spans="3:3">
      <c r="C101" s="50"/>
    </row>
    <row r="102" spans="3:3">
      <c r="C102" s="50"/>
    </row>
    <row r="103" spans="3:3">
      <c r="C103" s="50"/>
    </row>
    <row r="104" spans="3:3">
      <c r="C104" s="50"/>
    </row>
    <row r="105" spans="3:3">
      <c r="C105" s="50"/>
    </row>
    <row r="106" spans="3:3">
      <c r="C106" s="50"/>
    </row>
    <row r="107" spans="3:3">
      <c r="C107" s="50"/>
    </row>
    <row r="108" spans="3:3">
      <c r="C108" s="50"/>
    </row>
    <row r="109" spans="3:3">
      <c r="C109" s="50"/>
    </row>
    <row r="110" spans="3:3">
      <c r="C110" s="50"/>
    </row>
    <row r="111" spans="3:3">
      <c r="C111" s="50"/>
    </row>
    <row r="112" spans="3:3">
      <c r="C112" s="50"/>
    </row>
    <row r="113" spans="3:3">
      <c r="C113" s="50"/>
    </row>
    <row r="114" spans="3:3">
      <c r="C114" s="50"/>
    </row>
    <row r="115" spans="3:3">
      <c r="C115" s="50"/>
    </row>
    <row r="116" spans="3:3">
      <c r="C116" s="50"/>
    </row>
    <row r="117" spans="3:3">
      <c r="C117" s="50"/>
    </row>
    <row r="118" spans="3:3">
      <c r="C118" s="50"/>
    </row>
    <row r="119" spans="3:3">
      <c r="C119" s="50"/>
    </row>
    <row r="120" spans="3:3">
      <c r="C120" s="50"/>
    </row>
    <row r="121" spans="3:3">
      <c r="C121" s="50"/>
    </row>
    <row r="122" spans="3:3">
      <c r="C122" s="50"/>
    </row>
    <row r="123" spans="3:3">
      <c r="C123" s="50"/>
    </row>
    <row r="124" spans="3:3">
      <c r="C124" s="50"/>
    </row>
    <row r="125" spans="3:3">
      <c r="C125" s="50"/>
    </row>
    <row r="126" spans="3:3">
      <c r="C126" s="50"/>
    </row>
    <row r="127" spans="3:3">
      <c r="C127" s="50"/>
    </row>
    <row r="128" spans="3:3">
      <c r="C128" s="50"/>
    </row>
    <row r="129" spans="3:3">
      <c r="C129" s="50"/>
    </row>
    <row r="130" spans="3:3">
      <c r="C130" s="50"/>
    </row>
    <row r="131" spans="3:3">
      <c r="C131" s="50"/>
    </row>
    <row r="132" spans="3:3">
      <c r="C132" s="50"/>
    </row>
    <row r="133" spans="3:3">
      <c r="C133" s="50"/>
    </row>
    <row r="134" spans="3:3">
      <c r="C134" s="50"/>
    </row>
    <row r="135" spans="3:3">
      <c r="C135" s="50"/>
    </row>
    <row r="136" spans="3:3">
      <c r="C136" s="50"/>
    </row>
    <row r="137" spans="3:3">
      <c r="C137" s="50"/>
    </row>
    <row r="138" spans="3:3">
      <c r="C138" s="50"/>
    </row>
    <row r="139" spans="3:3">
      <c r="C139" s="50"/>
    </row>
    <row r="140" spans="3:3">
      <c r="C140" s="50"/>
    </row>
    <row r="141" spans="3:3">
      <c r="C141" s="50"/>
    </row>
    <row r="142" spans="3:3">
      <c r="C142" s="50"/>
    </row>
    <row r="143" spans="3:3">
      <c r="C143" s="50"/>
    </row>
    <row r="144" spans="3:3">
      <c r="C144" s="50"/>
    </row>
    <row r="145" spans="3:3">
      <c r="C145" s="50"/>
    </row>
    <row r="146" spans="3:3">
      <c r="C146" s="50"/>
    </row>
    <row r="147" spans="3:3">
      <c r="C147" s="50"/>
    </row>
    <row r="148" spans="3:3">
      <c r="C148" s="50"/>
    </row>
    <row r="149" spans="3:3">
      <c r="C149" s="50"/>
    </row>
    <row r="150" spans="3:3">
      <c r="C150" s="50"/>
    </row>
    <row r="151" spans="3:3">
      <c r="C151" s="50"/>
    </row>
    <row r="152" spans="3:3">
      <c r="C152" s="50"/>
    </row>
    <row r="153" spans="3:3">
      <c r="C153" s="50"/>
    </row>
    <row r="154" spans="3:3">
      <c r="C154" s="50"/>
    </row>
    <row r="155" spans="3:3">
      <c r="C155" s="50"/>
    </row>
    <row r="156" spans="3:3">
      <c r="C156" s="50"/>
    </row>
    <row r="157" spans="3:3">
      <c r="C157" s="50"/>
    </row>
    <row r="158" spans="3:3">
      <c r="C158" s="50"/>
    </row>
    <row r="159" spans="3:3">
      <c r="C159" s="50"/>
    </row>
    <row r="160" spans="3:3">
      <c r="C160" s="50"/>
    </row>
    <row r="161" spans="3:3">
      <c r="C161" s="50"/>
    </row>
    <row r="162" spans="3:3">
      <c r="C162" s="50"/>
    </row>
    <row r="163" spans="3:3">
      <c r="C163" s="50"/>
    </row>
    <row r="164" spans="3:3">
      <c r="C164" s="50"/>
    </row>
    <row r="165" spans="3:3">
      <c r="C165" s="50"/>
    </row>
    <row r="166" spans="3:3">
      <c r="C166" s="50"/>
    </row>
    <row r="167" spans="3:3">
      <c r="C167" s="50"/>
    </row>
    <row r="168" spans="3:3">
      <c r="C168" s="50"/>
    </row>
    <row r="169" spans="3:3">
      <c r="C169" s="50"/>
    </row>
    <row r="170" spans="3:3">
      <c r="C170" s="50"/>
    </row>
    <row r="171" spans="3:3">
      <c r="C171" s="50"/>
    </row>
    <row r="172" spans="3:3">
      <c r="C172" s="50"/>
    </row>
    <row r="173" spans="3:3">
      <c r="C173" s="50"/>
    </row>
    <row r="174" spans="3:3">
      <c r="C174" s="50"/>
    </row>
    <row r="175" spans="3:3">
      <c r="C175" s="50"/>
    </row>
    <row r="176" spans="3:3">
      <c r="C176" s="50"/>
    </row>
    <row r="177" spans="3:3">
      <c r="C177" s="50"/>
    </row>
    <row r="178" spans="3:3">
      <c r="C178" s="50"/>
    </row>
    <row r="179" spans="3:3">
      <c r="C179" s="50"/>
    </row>
    <row r="180" spans="3:3">
      <c r="C180" s="50"/>
    </row>
    <row r="181" spans="3:3">
      <c r="C181" s="50"/>
    </row>
    <row r="182" spans="3:3">
      <c r="C182" s="50"/>
    </row>
    <row r="183" spans="3:3">
      <c r="C183" s="50"/>
    </row>
    <row r="184" spans="3:3">
      <c r="C184" s="50"/>
    </row>
    <row r="185" spans="3:3">
      <c r="C185" s="50"/>
    </row>
    <row r="186" spans="3:3">
      <c r="C186" s="50"/>
    </row>
    <row r="187" spans="3:3">
      <c r="C187" s="50"/>
    </row>
    <row r="188" spans="3:3">
      <c r="C188" s="50"/>
    </row>
    <row r="189" spans="3:3">
      <c r="C189" s="50"/>
    </row>
    <row r="190" spans="3:3">
      <c r="C190" s="50"/>
    </row>
    <row r="191" spans="3:3">
      <c r="C191" s="50"/>
    </row>
    <row r="192" spans="3:3">
      <c r="C192" s="50"/>
    </row>
    <row r="193" spans="3:3">
      <c r="C193" s="50"/>
    </row>
    <row r="194" spans="3:3">
      <c r="C194" s="50"/>
    </row>
    <row r="195" spans="3:3">
      <c r="C195" s="50"/>
    </row>
    <row r="196" spans="3:3">
      <c r="C196" s="50"/>
    </row>
    <row r="197" spans="3:3">
      <c r="C197" s="50"/>
    </row>
    <row r="198" spans="3:3">
      <c r="C198" s="50"/>
    </row>
    <row r="199" spans="3:3">
      <c r="C199" s="50"/>
    </row>
    <row r="200" spans="3:3">
      <c r="C200" s="50"/>
    </row>
    <row r="201" spans="3:3">
      <c r="C201" s="50"/>
    </row>
    <row r="202" spans="3:3">
      <c r="C202" s="50"/>
    </row>
    <row r="203" spans="3:3">
      <c r="C203" s="50"/>
    </row>
    <row r="204" spans="3:3">
      <c r="C204" s="50"/>
    </row>
    <row r="205" spans="3:3">
      <c r="C205" s="50"/>
    </row>
    <row r="206" spans="3:3">
      <c r="C206" s="50"/>
    </row>
    <row r="207" spans="3:3">
      <c r="C207" s="50"/>
    </row>
    <row r="208" spans="3:3">
      <c r="C208" s="50"/>
    </row>
    <row r="209" spans="3:3">
      <c r="C209" s="50"/>
    </row>
    <row r="210" spans="3:3">
      <c r="C210" s="50"/>
    </row>
    <row r="211" spans="3:3">
      <c r="C211" s="50"/>
    </row>
    <row r="212" spans="3:3">
      <c r="C212" s="50"/>
    </row>
    <row r="213" spans="3:3">
      <c r="C213" s="50"/>
    </row>
    <row r="214" spans="3:3">
      <c r="C214" s="50"/>
    </row>
    <row r="215" spans="3:3">
      <c r="C215" s="50"/>
    </row>
    <row r="216" spans="3:3">
      <c r="C216" s="50"/>
    </row>
    <row r="217" spans="3:3">
      <c r="C217" s="50"/>
    </row>
    <row r="218" spans="3:3">
      <c r="C218" s="50"/>
    </row>
    <row r="219" spans="3:3">
      <c r="C219" s="50"/>
    </row>
    <row r="220" spans="3:3">
      <c r="C220" s="50"/>
    </row>
    <row r="221" spans="3:3">
      <c r="C221" s="50"/>
    </row>
    <row r="222" spans="3:3">
      <c r="C222" s="50"/>
    </row>
    <row r="223" spans="3:3"/>
    <row r="224" spans="3:3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</sheetData>
  <mergeCells count="1">
    <mergeCell ref="A14:B17"/>
  </mergeCells>
  <phoneticPr fontId="9"/>
  <conditionalFormatting sqref="B22">
    <cfRule type="cellIs" dxfId="186" priority="125" operator="greaterThan">
      <formula>0</formula>
    </cfRule>
  </conditionalFormatting>
  <conditionalFormatting sqref="B32">
    <cfRule type="cellIs" dxfId="185" priority="113" operator="greaterThan">
      <formula>0</formula>
    </cfRule>
  </conditionalFormatting>
  <conditionalFormatting sqref="D56">
    <cfRule type="cellIs" dxfId="184" priority="75" operator="greaterThan">
      <formula>0</formula>
    </cfRule>
  </conditionalFormatting>
  <conditionalFormatting sqref="E20">
    <cfRule type="cellIs" dxfId="183" priority="4" operator="greaterThan">
      <formula>0</formula>
    </cfRule>
  </conditionalFormatting>
  <conditionalFormatting sqref="E22">
    <cfRule type="cellIs" dxfId="182" priority="5" operator="greaterThan">
      <formula>0</formula>
    </cfRule>
  </conditionalFormatting>
  <conditionalFormatting sqref="E24">
    <cfRule type="cellIs" dxfId="181" priority="52" operator="greaterThan">
      <formula>0</formula>
    </cfRule>
  </conditionalFormatting>
  <conditionalFormatting sqref="E25:E27 E36:E39">
    <cfRule type="cellIs" dxfId="180" priority="260" stopIfTrue="1" operator="greaterThan">
      <formula>1</formula>
    </cfRule>
  </conditionalFormatting>
  <conditionalFormatting sqref="E30">
    <cfRule type="cellIs" dxfId="179" priority="3" operator="greaterThan">
      <formula>0</formula>
    </cfRule>
  </conditionalFormatting>
  <conditionalFormatting sqref="E32">
    <cfRule type="cellIs" dxfId="178" priority="49" operator="greaterThan">
      <formula>0</formula>
    </cfRule>
  </conditionalFormatting>
  <conditionalFormatting sqref="E34">
    <cfRule type="cellIs" dxfId="177" priority="40" operator="greaterThan">
      <formula>0</formula>
    </cfRule>
  </conditionalFormatting>
  <conditionalFormatting sqref="J20">
    <cfRule type="cellIs" dxfId="175" priority="177" operator="greaterThan">
      <formula>0</formula>
    </cfRule>
  </conditionalFormatting>
  <conditionalFormatting sqref="J22">
    <cfRule type="cellIs" dxfId="174" priority="45" operator="greaterThan">
      <formula>0</formula>
    </cfRule>
  </conditionalFormatting>
  <conditionalFormatting sqref="J24:J27">
    <cfRule type="cellIs" dxfId="173" priority="44" operator="greaterThan">
      <formula>0</formula>
    </cfRule>
  </conditionalFormatting>
  <conditionalFormatting sqref="J30">
    <cfRule type="cellIs" dxfId="172" priority="169" operator="greaterThan">
      <formula>0</formula>
    </cfRule>
  </conditionalFormatting>
  <conditionalFormatting sqref="J32">
    <cfRule type="cellIs" dxfId="171" priority="48" operator="greaterThan">
      <formula>0</formula>
    </cfRule>
  </conditionalFormatting>
  <conditionalFormatting sqref="J34:J35">
    <cfRule type="cellIs" dxfId="170" priority="165" operator="greaterThan">
      <formula>0</formula>
    </cfRule>
  </conditionalFormatting>
  <conditionalFormatting sqref="J37:J39">
    <cfRule type="cellIs" dxfId="169" priority="64" operator="greaterThan">
      <formula>0</formula>
    </cfRule>
  </conditionalFormatting>
  <conditionalFormatting sqref="J42">
    <cfRule type="cellIs" dxfId="168" priority="180" operator="greaterThan">
      <formula>0</formula>
    </cfRule>
  </conditionalFormatting>
  <conditionalFormatting sqref="J44">
    <cfRule type="cellIs" dxfId="167" priority="182" operator="greaterThan">
      <formula>0</formula>
    </cfRule>
  </conditionalFormatting>
  <conditionalFormatting sqref="J56">
    <cfRule type="cellIs" dxfId="166" priority="181" operator="greaterThan">
      <formula>0</formula>
    </cfRule>
  </conditionalFormatting>
  <conditionalFormatting sqref="J79">
    <cfRule type="cellIs" dxfId="165" priority="46" operator="greaterThan">
      <formula>0</formula>
    </cfRule>
  </conditionalFormatting>
  <conditionalFormatting sqref="G49:I52">
    <cfRule type="cellIs" dxfId="6" priority="1" operator="greaterThan">
      <formula>0</formula>
    </cfRule>
  </conditionalFormatting>
  <dataValidations xWindow="213" yWindow="580" count="4">
    <dataValidation allowBlank="1" showInputMessage="1" showErrorMessage="1" promptTitle="Toelichting" prompt="Vul in deze gekleurde cellen de gevraagde informatie in (percentages inzet medewerkers). Let op: Het totale percentage mag niet hoger zijn dan 100%_x000d_" sqref="A5" xr:uid="{00000000-0002-0000-0200-000000000000}"/>
    <dataValidation allowBlank="1" showInputMessage="1" showErrorMessage="1" promptTitle="Toelichting" prompt="Nadat de categorie medewerkers en uurtarieven in het tablad 1.5 Opbouw uurtarieven zijn samengesteld, selecteer de cel met de tekst &quot;Selecteer categorie medewerker&quot;. Maak een keuze uit de lijst, het samengestelde uurtarief wordt automatisch ingevoerd." sqref="B32 B22" xr:uid="{00000000-0002-0000-0200-000001000000}"/>
    <dataValidation type="list" allowBlank="1" showInputMessage="1" showErrorMessage="1" sqref="D22 D24 D20" xr:uid="{3F7F4EDC-1284-FC43-9FE1-F1EF5578FC7B}">
      <formula1>tariefSMO</formula1>
    </dataValidation>
    <dataValidation type="list" allowBlank="1" showInputMessage="1" showErrorMessage="1" sqref="D34 D32 D30" xr:uid="{49307662-B4F3-AF47-9BC2-8FD31A467F51}">
      <formula1>tariefTZ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7" orientation="portrait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pageSetUpPr fitToPage="1"/>
  </sheetPr>
  <dimension ref="A1:Y747"/>
  <sheetViews>
    <sheetView showGridLines="0" showRowColHeaders="0" showZeros="0" showOutlineSymbols="0" topLeftCell="A53" zoomScale="124" zoomScaleNormal="124" zoomScaleSheetLayoutView="94" workbookViewId="0">
      <selection activeCell="D68" sqref="D68"/>
    </sheetView>
  </sheetViews>
  <sheetFormatPr baseColWidth="10" defaultColWidth="0" defaultRowHeight="15" zeroHeight="1"/>
  <cols>
    <col min="1" max="1" width="8.19921875" style="680" customWidth="1"/>
    <col min="2" max="2" width="39.19921875" style="43" bestFit="1" customWidth="1"/>
    <col min="3" max="3" width="30.3984375" style="43" customWidth="1"/>
    <col min="4" max="4" width="23.59765625" style="43" customWidth="1"/>
    <col min="5" max="5" width="22.19921875" style="43" customWidth="1"/>
    <col min="6" max="6" width="22.796875" style="43" customWidth="1"/>
    <col min="7" max="7" width="23.19921875" style="43" customWidth="1"/>
    <col min="8" max="9" width="23.59765625" style="43" customWidth="1"/>
    <col min="10" max="10" width="23.3984375" style="43" customWidth="1"/>
    <col min="11" max="11" width="20" style="43" customWidth="1"/>
    <col min="12" max="12" width="19.19921875" style="43" customWidth="1"/>
    <col min="13" max="13" width="31.19921875" style="43" customWidth="1"/>
    <col min="14" max="14" width="6.796875" style="43" customWidth="1"/>
    <col min="15" max="15" width="10.3984375" style="43" hidden="1" customWidth="1"/>
    <col min="16" max="16" width="8.59765625" style="122" hidden="1" customWidth="1"/>
    <col min="17" max="17" width="19" style="43" hidden="1" customWidth="1"/>
    <col min="18" max="18" width="8.796875" style="43" hidden="1" customWidth="1"/>
    <col min="19" max="19" width="11" style="43" hidden="1" customWidth="1"/>
    <col min="20" max="20" width="19" style="43" hidden="1" customWidth="1"/>
    <col min="21" max="21" width="9" style="43" hidden="1" customWidth="1"/>
    <col min="22" max="25" width="22.3984375" style="43" hidden="1" customWidth="1"/>
    <col min="26" max="16384" width="0" style="43" hidden="1"/>
  </cols>
  <sheetData>
    <row r="1" spans="1:20" ht="9" customHeight="1" thickBot="1">
      <c r="B1" s="49"/>
      <c r="C1" s="49"/>
      <c r="D1" s="49"/>
      <c r="E1" s="49"/>
      <c r="F1" s="49"/>
      <c r="G1" s="49"/>
      <c r="H1" s="49"/>
      <c r="I1" s="30"/>
      <c r="J1" s="99"/>
      <c r="K1" s="99"/>
      <c r="L1" s="99"/>
      <c r="M1" s="100"/>
      <c r="N1" s="100"/>
    </row>
    <row r="2" spans="1:20" ht="9" customHeight="1">
      <c r="B2" s="101"/>
      <c r="C2" s="101"/>
      <c r="D2" s="101"/>
      <c r="E2" s="101"/>
      <c r="F2" s="101"/>
      <c r="G2" s="101"/>
      <c r="H2" s="101"/>
      <c r="I2" s="102"/>
      <c r="J2" s="99"/>
      <c r="K2" s="99"/>
      <c r="L2" s="99"/>
      <c r="M2" s="100"/>
      <c r="N2" s="100"/>
    </row>
    <row r="3" spans="1:20" ht="17">
      <c r="B3" s="168" t="s">
        <v>27</v>
      </c>
      <c r="C3" s="169" t="s">
        <v>28</v>
      </c>
      <c r="D3" s="34"/>
    </row>
    <row r="4" spans="1:20" ht="17">
      <c r="B4" s="123" t="s">
        <v>85</v>
      </c>
      <c r="C4" s="38" t="str">
        <f>Voorblad!$E$16</f>
        <v>Stichting Opspoor</v>
      </c>
      <c r="D4" s="34"/>
    </row>
    <row r="5" spans="1:20" ht="17">
      <c r="B5" s="123" t="s">
        <v>33</v>
      </c>
      <c r="C5" s="38" t="str">
        <f>'1.0-Contractblad'!$E$7</f>
        <v>Purmerend e.o.</v>
      </c>
      <c r="D5" s="34"/>
    </row>
    <row r="6" spans="1:20" ht="16" customHeight="1">
      <c r="B6" s="123" t="s">
        <v>114</v>
      </c>
      <c r="C6" s="40" t="str">
        <f>Voorblad!$E$24</f>
        <v>1501-102-2026</v>
      </c>
      <c r="D6" s="34"/>
      <c r="F6" s="785" t="s">
        <v>161</v>
      </c>
      <c r="G6" s="39"/>
      <c r="H6" s="39"/>
      <c r="I6" s="39"/>
      <c r="J6" s="39"/>
      <c r="K6" s="124"/>
    </row>
    <row r="7" spans="1:20" ht="16" customHeight="1">
      <c r="B7" s="123" t="s">
        <v>145</v>
      </c>
      <c r="C7" s="41" t="str">
        <f ca="1">Voorblad!$E$26</f>
        <v>Calculatiemodule Opspoor Perceel 2 V1.1 | 01-jan-27 Wijziging bijgehouden</v>
      </c>
      <c r="D7" s="34"/>
      <c r="F7" s="125"/>
      <c r="G7" s="39"/>
      <c r="H7" s="39"/>
      <c r="I7" s="39"/>
      <c r="J7" s="39"/>
    </row>
    <row r="8" spans="1:20" ht="16" customHeight="1">
      <c r="B8" s="168" t="s">
        <v>83</v>
      </c>
      <c r="C8" s="170" t="str">
        <f>Voorblad!$E$19</f>
        <v>Naam organisatie</v>
      </c>
      <c r="D8" s="126"/>
      <c r="G8" s="39"/>
      <c r="H8" s="39"/>
      <c r="I8" s="39"/>
      <c r="J8" s="39"/>
    </row>
    <row r="9" spans="1:20" ht="17">
      <c r="B9" s="123" t="s">
        <v>6</v>
      </c>
      <c r="C9" s="45">
        <f>Voorblad!$E$22</f>
        <v>46388</v>
      </c>
    </row>
    <row r="10" spans="1:20" ht="17">
      <c r="B10" s="123"/>
      <c r="C10" s="45"/>
    </row>
    <row r="11" spans="1:20" s="171" customFormat="1" ht="48" customHeight="1">
      <c r="A11" s="681"/>
      <c r="B11" s="172" t="s">
        <v>108</v>
      </c>
      <c r="C11" s="92" t="s">
        <v>309</v>
      </c>
      <c r="D11" s="173" t="s">
        <v>310</v>
      </c>
      <c r="E11" s="174" t="s">
        <v>311</v>
      </c>
      <c r="F11" s="174" t="s">
        <v>312</v>
      </c>
      <c r="G11" s="175" t="s">
        <v>313</v>
      </c>
      <c r="H11" s="92" t="s">
        <v>314</v>
      </c>
      <c r="I11" s="92" t="s">
        <v>247</v>
      </c>
      <c r="J11" s="92" t="s">
        <v>315</v>
      </c>
      <c r="K11" s="92" t="s">
        <v>248</v>
      </c>
      <c r="L11" s="92" t="s">
        <v>249</v>
      </c>
      <c r="M11" s="92" t="s">
        <v>316</v>
      </c>
      <c r="N11" s="176"/>
      <c r="Q11" s="92"/>
    </row>
    <row r="12" spans="1:20" s="171" customFormat="1">
      <c r="A12" s="682"/>
      <c r="B12" s="183"/>
      <c r="C12" s="95"/>
      <c r="D12" s="179"/>
      <c r="E12" s="180"/>
      <c r="F12" s="180"/>
      <c r="G12" s="181"/>
      <c r="H12" s="95"/>
      <c r="I12" s="95"/>
      <c r="J12" s="95"/>
      <c r="K12" s="95"/>
      <c r="L12" s="95"/>
      <c r="M12" s="95"/>
      <c r="N12" s="182"/>
      <c r="Q12" s="95"/>
    </row>
    <row r="13" spans="1:20" s="138" customFormat="1" ht="20" customHeight="1">
      <c r="A13" s="683">
        <f t="shared" ref="A13:A31" si="0">G13</f>
        <v>2</v>
      </c>
      <c r="B13" s="43" t="s">
        <v>720</v>
      </c>
      <c r="C13" s="127" t="s">
        <v>790</v>
      </c>
      <c r="D13" s="43" t="s">
        <v>701</v>
      </c>
      <c r="E13" s="128">
        <f ca="1">SUMIF('1.3-Basis ruimtestaat'!E:K,'1.1a-Jaarprijzen'!B13,'1.3-Basis ruimtestaat'!K:K)</f>
        <v>1725.1412034346665</v>
      </c>
      <c r="F13" s="128">
        <f ca="1">SUMIF('1.3-Basis ruimtestaat'!E:L,'1.1a-Jaarprijzen'!B13,'1.3-Basis ruimtestaat'!L:L)</f>
        <v>37.765999999999998</v>
      </c>
      <c r="G13" s="129">
        <v>2</v>
      </c>
      <c r="H13" s="130">
        <f>SUMIF('1.3-Basis ruimtestaat'!E:E,'1.1a-Jaarprijzen'!B13,'1.3-Basis ruimtestaat'!Q:Q)</f>
        <v>0</v>
      </c>
      <c r="I13" s="130">
        <f>SUMIF('1.3-Basis ruimtestaat'!E:E,'1.1a-Jaarprijzen'!B13,'1.3-Basis ruimtestaat'!R:R)</f>
        <v>0</v>
      </c>
      <c r="J13" s="43"/>
      <c r="K13" s="132">
        <f>(H13+I13)*'1.0-Contractblad'!$E$35</f>
        <v>0</v>
      </c>
      <c r="L13" s="133">
        <f>SUMIF('1.8-Glasbewassing'!D:D,'1.1a-Jaarprijzen'!B13,'1.8-Glasbewassing'!I:I)</f>
        <v>1363.25</v>
      </c>
      <c r="M13" s="134">
        <f>IF(H13=0,0,SUMIF('1.3-Basis ruimtestaat'!E:E,'1.1a-Jaarprijzen'!B13,'1.3-Basis ruimtestaat'!Z:Z)/SUM(H13+I13))</f>
        <v>0</v>
      </c>
      <c r="N13" s="135"/>
      <c r="O13" s="515"/>
      <c r="P13" s="122"/>
      <c r="Q13" s="136"/>
      <c r="R13" s="137"/>
      <c r="S13" s="137"/>
      <c r="T13" s="43"/>
    </row>
    <row r="14" spans="1:20" s="138" customFormat="1" ht="20" customHeight="1">
      <c r="A14" s="683">
        <f t="shared" si="0"/>
        <v>2</v>
      </c>
      <c r="B14" s="43" t="s">
        <v>740</v>
      </c>
      <c r="C14" s="127" t="s">
        <v>791</v>
      </c>
      <c r="D14" s="43" t="s">
        <v>701</v>
      </c>
      <c r="E14" s="128">
        <f ca="1">SUMIF('1.3-Basis ruimtestaat'!E:K,'1.1a-Jaarprijzen'!B14,'1.3-Basis ruimtestaat'!K:K)</f>
        <v>1965.9775000000002</v>
      </c>
      <c r="F14" s="128">
        <f ca="1">SUMIF('1.3-Basis ruimtestaat'!E:L,'1.1a-Jaarprijzen'!B14,'1.3-Basis ruimtestaat'!L:L)</f>
        <v>169.01249999999996</v>
      </c>
      <c r="G14" s="129">
        <v>2</v>
      </c>
      <c r="H14" s="130">
        <f>SUMIF('1.3-Basis ruimtestaat'!E:E,'1.1a-Jaarprijzen'!B14,'1.3-Basis ruimtestaat'!Q:Q)</f>
        <v>0</v>
      </c>
      <c r="I14" s="130">
        <f>SUMIF('1.3-Basis ruimtestaat'!E:E,'1.1a-Jaarprijzen'!B14,'1.3-Basis ruimtestaat'!R:R)</f>
        <v>0</v>
      </c>
      <c r="J14" s="43"/>
      <c r="K14" s="132">
        <f>(H14+I14)*'1.0-Contractblad'!$E$35</f>
        <v>0</v>
      </c>
      <c r="L14" s="133">
        <f>SUMIF('1.8-Glasbewassing'!D:D,'1.1a-Jaarprijzen'!B14,'1.8-Glasbewassing'!I:I)</f>
        <v>1169.1799999999998</v>
      </c>
      <c r="M14" s="134">
        <f>IF(H14=0,0,SUMIF('1.3-Basis ruimtestaat'!E:E,'1.1a-Jaarprijzen'!B14,'1.3-Basis ruimtestaat'!Z:Z)/SUM(H14+I14))</f>
        <v>0</v>
      </c>
      <c r="N14" s="135"/>
      <c r="O14" s="43"/>
      <c r="P14" s="122"/>
      <c r="Q14" s="136"/>
      <c r="R14" s="137"/>
      <c r="S14" s="137"/>
      <c r="T14" s="43"/>
    </row>
    <row r="15" spans="1:20" s="138" customFormat="1" ht="20" customHeight="1">
      <c r="A15" s="683">
        <f t="shared" si="0"/>
        <v>2</v>
      </c>
      <c r="B15" s="43" t="s">
        <v>792</v>
      </c>
      <c r="C15" s="127" t="s">
        <v>896</v>
      </c>
      <c r="D15" s="43" t="s">
        <v>897</v>
      </c>
      <c r="E15" s="128">
        <f ca="1">SUMIF('1.3-Basis ruimtestaat'!E:K,'1.1a-Jaarprijzen'!B15,'1.3-Basis ruimtestaat'!K:K)</f>
        <v>821.09999999999991</v>
      </c>
      <c r="F15" s="128">
        <f ca="1">SUMIF('1.3-Basis ruimtestaat'!E:L,'1.1a-Jaarprijzen'!B15,'1.3-Basis ruimtestaat'!L:L)</f>
        <v>189.20000000000002</v>
      </c>
      <c r="G15" s="129">
        <v>2</v>
      </c>
      <c r="H15" s="130">
        <f>SUMIF('1.3-Basis ruimtestaat'!E:E,'1.1a-Jaarprijzen'!B15,'1.3-Basis ruimtestaat'!Q:Q)</f>
        <v>0</v>
      </c>
      <c r="I15" s="130">
        <f>SUMIF('1.3-Basis ruimtestaat'!E:E,'1.1a-Jaarprijzen'!B15,'1.3-Basis ruimtestaat'!R:R)</f>
        <v>0</v>
      </c>
      <c r="J15" s="43"/>
      <c r="K15" s="132">
        <f>(H15+I15)*'1.0-Contractblad'!$E$35</f>
        <v>0</v>
      </c>
      <c r="L15" s="133">
        <f>SUMIF('1.8-Glasbewassing'!D:D,'1.1a-Jaarprijzen'!B15,'1.8-Glasbewassing'!I:I)</f>
        <v>721</v>
      </c>
      <c r="M15" s="134">
        <f>IF(H15=0,0,SUMIF('1.3-Basis ruimtestaat'!E:E,'1.1a-Jaarprijzen'!B15,'1.3-Basis ruimtestaat'!Z:Z)/SUM(H15+I15))</f>
        <v>0</v>
      </c>
      <c r="N15" s="135"/>
      <c r="O15" s="43"/>
      <c r="P15" s="122"/>
      <c r="Q15" s="136"/>
      <c r="R15" s="137"/>
      <c r="S15" s="137"/>
      <c r="T15" s="43"/>
    </row>
    <row r="16" spans="1:20" s="138" customFormat="1" ht="20" customHeight="1">
      <c r="A16" s="683">
        <f t="shared" ref="A16" si="1">G16</f>
        <v>2</v>
      </c>
      <c r="B16" s="43" t="s">
        <v>1063</v>
      </c>
      <c r="C16" s="127" t="s">
        <v>896</v>
      </c>
      <c r="D16" s="43" t="s">
        <v>897</v>
      </c>
      <c r="E16" s="128">
        <f ca="1">SUMIF('1.3-Basis ruimtestaat'!E:K,'1.1a-Jaarprijzen'!B16,'1.3-Basis ruimtestaat'!K:K)</f>
        <v>210.7</v>
      </c>
      <c r="F16" s="128">
        <f ca="1">SUMIF('1.3-Basis ruimtestaat'!E:L,'1.1a-Jaarprijzen'!B16,'1.3-Basis ruimtestaat'!L:L)</f>
        <v>0</v>
      </c>
      <c r="G16" s="129">
        <v>2</v>
      </c>
      <c r="H16" s="130">
        <f>SUMIF('1.3-Basis ruimtestaat'!E:E,'1.1a-Jaarprijzen'!B16,'1.3-Basis ruimtestaat'!Q:Q)</f>
        <v>0</v>
      </c>
      <c r="I16" s="130">
        <f>SUMIF('1.3-Basis ruimtestaat'!E:E,'1.1a-Jaarprijzen'!B16,'1.3-Basis ruimtestaat'!R:R)</f>
        <v>0</v>
      </c>
      <c r="J16" s="43"/>
      <c r="K16" s="132">
        <f>(H16+I16)*'1.0-Contractblad'!$E$35</f>
        <v>0</v>
      </c>
      <c r="L16" s="133">
        <f>SUMIF('1.8-Glasbewassing'!D:D,'1.1a-Jaarprijzen'!B16,'1.8-Glasbewassing'!I:I)</f>
        <v>0</v>
      </c>
      <c r="M16" s="134">
        <f>IF(H16=0,0,SUMIF('1.3-Basis ruimtestaat'!E:E,'1.1a-Jaarprijzen'!B16,'1.3-Basis ruimtestaat'!Z:Z)/SUM(H16+I16))</f>
        <v>0</v>
      </c>
      <c r="N16" s="135"/>
      <c r="O16" s="43"/>
      <c r="P16" s="122"/>
      <c r="Q16" s="136"/>
      <c r="R16" s="137"/>
      <c r="S16" s="137"/>
      <c r="T16" s="43"/>
    </row>
    <row r="17" spans="1:20" ht="20" customHeight="1">
      <c r="A17" s="683">
        <f t="shared" si="0"/>
        <v>2</v>
      </c>
      <c r="B17" s="43" t="s">
        <v>808</v>
      </c>
      <c r="C17" s="127" t="s">
        <v>898</v>
      </c>
      <c r="D17" s="43" t="s">
        <v>899</v>
      </c>
      <c r="E17" s="128">
        <f ca="1">SUMIF('1.3-Basis ruimtestaat'!E:K,'1.1a-Jaarprijzen'!B17,'1.3-Basis ruimtestaat'!K:K)</f>
        <v>1487</v>
      </c>
      <c r="F17" s="128">
        <f ca="1">SUMIF('1.3-Basis ruimtestaat'!E:L,'1.1a-Jaarprijzen'!B17,'1.3-Basis ruimtestaat'!L:L)</f>
        <v>325</v>
      </c>
      <c r="G17" s="129">
        <v>2</v>
      </c>
      <c r="H17" s="130">
        <f>SUMIF('1.3-Basis ruimtestaat'!E:E,'1.1a-Jaarprijzen'!B17,'1.3-Basis ruimtestaat'!Q:Q)</f>
        <v>0</v>
      </c>
      <c r="I17" s="130">
        <f>SUMIF('1.3-Basis ruimtestaat'!E:E,'1.1a-Jaarprijzen'!B17,'1.3-Basis ruimtestaat'!R:R)</f>
        <v>0</v>
      </c>
      <c r="K17" s="132">
        <f>(H17+I17)*'1.0-Contractblad'!$E$35</f>
        <v>0</v>
      </c>
      <c r="L17" s="133">
        <f>SUMIF('1.8-Glasbewassing'!D:D,'1.1a-Jaarprijzen'!B17,'1.8-Glasbewassing'!I:I)</f>
        <v>1178</v>
      </c>
      <c r="M17" s="134">
        <f>IF(H17=0,0,SUMIF('1.3-Basis ruimtestaat'!E:E,'1.1a-Jaarprijzen'!B17,'1.3-Basis ruimtestaat'!Z:Z)/SUM(H17+I17))</f>
        <v>0</v>
      </c>
      <c r="N17" s="135"/>
      <c r="Q17" s="136"/>
      <c r="R17" s="137"/>
      <c r="S17" s="137"/>
    </row>
    <row r="18" spans="1:20" s="138" customFormat="1" ht="20" customHeight="1">
      <c r="A18" s="683">
        <f t="shared" si="0"/>
        <v>2</v>
      </c>
      <c r="B18" s="43" t="s">
        <v>830</v>
      </c>
      <c r="C18" s="127" t="s">
        <v>900</v>
      </c>
      <c r="D18" s="43" t="s">
        <v>901</v>
      </c>
      <c r="E18" s="128">
        <f ca="1">SUMIF('1.3-Basis ruimtestaat'!E:K,'1.1a-Jaarprijzen'!B18,'1.3-Basis ruimtestaat'!K:K)</f>
        <v>390.1</v>
      </c>
      <c r="F18" s="128">
        <f ca="1">SUMIF('1.3-Basis ruimtestaat'!E:L,'1.1a-Jaarprijzen'!B18,'1.3-Basis ruimtestaat'!L:L)</f>
        <v>0</v>
      </c>
      <c r="G18" s="129">
        <v>2</v>
      </c>
      <c r="H18" s="130">
        <f>SUMIF('1.3-Basis ruimtestaat'!E:E,'1.1a-Jaarprijzen'!B18,'1.3-Basis ruimtestaat'!Q:Q)</f>
        <v>0</v>
      </c>
      <c r="I18" s="130">
        <f>SUMIF('1.3-Basis ruimtestaat'!E:E,'1.1a-Jaarprijzen'!B18,'1.3-Basis ruimtestaat'!R:R)</f>
        <v>0</v>
      </c>
      <c r="J18" s="43"/>
      <c r="K18" s="132">
        <f>(H18+I18)*'1.0-Contractblad'!$E$35</f>
        <v>0</v>
      </c>
      <c r="L18" s="133">
        <f>SUMIF('1.8-Glasbewassing'!D:D,'1.1a-Jaarprijzen'!B18,'1.8-Glasbewassing'!I:I)</f>
        <v>258</v>
      </c>
      <c r="M18" s="134">
        <f>IF(H18=0,0,SUMIF('1.3-Basis ruimtestaat'!E:E,'1.1a-Jaarprijzen'!B18,'1.3-Basis ruimtestaat'!Z:Z)/SUM(H18+I18))</f>
        <v>0</v>
      </c>
      <c r="N18" s="135"/>
      <c r="O18" s="43"/>
      <c r="P18" s="122"/>
      <c r="Q18" s="136"/>
      <c r="R18" s="137"/>
      <c r="S18" s="137"/>
      <c r="T18" s="43"/>
    </row>
    <row r="19" spans="1:20" s="138" customFormat="1" ht="20" customHeight="1">
      <c r="A19" s="683">
        <f t="shared" si="0"/>
        <v>2</v>
      </c>
      <c r="B19" s="717" t="s">
        <v>859</v>
      </c>
      <c r="C19" s="717" t="s">
        <v>902</v>
      </c>
      <c r="D19" s="717" t="s">
        <v>897</v>
      </c>
      <c r="E19" s="128">
        <f ca="1">SUMIF('1.3-Basis ruimtestaat'!E:K,'1.1a-Jaarprijzen'!B19,'1.3-Basis ruimtestaat'!K:K)</f>
        <v>1195</v>
      </c>
      <c r="F19" s="128">
        <f ca="1">SUMIF('1.3-Basis ruimtestaat'!E:L,'1.1a-Jaarprijzen'!B19,'1.3-Basis ruimtestaat'!L:L)</f>
        <v>0</v>
      </c>
      <c r="G19" s="129">
        <v>2</v>
      </c>
      <c r="H19" s="130">
        <f>SUMIF('1.3-Basis ruimtestaat'!E:E,'1.1a-Jaarprijzen'!B19,'1.3-Basis ruimtestaat'!Q:Q)</f>
        <v>0</v>
      </c>
      <c r="I19" s="130">
        <f>SUMIF('1.3-Basis ruimtestaat'!E:E,'1.1a-Jaarprijzen'!B19,'1.3-Basis ruimtestaat'!R:R)</f>
        <v>0</v>
      </c>
      <c r="J19" s="43"/>
      <c r="K19" s="132">
        <f>(H19+I19)*'1.0-Contractblad'!$E$35</f>
        <v>0</v>
      </c>
      <c r="L19" s="133">
        <f>SUMIF('1.8-Glasbewassing'!D:D,'1.1a-Jaarprijzen'!B19,'1.8-Glasbewassing'!I:I)</f>
        <v>674</v>
      </c>
      <c r="M19" s="134">
        <f>IF(H19=0,0,SUMIF('1.3-Basis ruimtestaat'!E:E,'1.1a-Jaarprijzen'!B19,'1.3-Basis ruimtestaat'!Z:Z)/SUM(H19+I19))</f>
        <v>0</v>
      </c>
      <c r="N19" s="135"/>
      <c r="O19" s="43"/>
      <c r="P19" s="122"/>
      <c r="Q19" s="136"/>
      <c r="R19" s="137"/>
      <c r="S19" s="137"/>
      <c r="T19" s="43"/>
    </row>
    <row r="20" spans="1:20" ht="20" customHeight="1">
      <c r="A20" s="683">
        <f t="shared" si="0"/>
        <v>2</v>
      </c>
      <c r="B20" s="717" t="s">
        <v>866</v>
      </c>
      <c r="C20" s="717" t="s">
        <v>903</v>
      </c>
      <c r="D20" s="717" t="s">
        <v>701</v>
      </c>
      <c r="E20" s="128">
        <f ca="1">SUMIF('1.3-Basis ruimtestaat'!E:K,'1.1a-Jaarprijzen'!B20,'1.3-Basis ruimtestaat'!K:K)</f>
        <v>2117.3999999999996</v>
      </c>
      <c r="F20" s="128">
        <f ca="1">SUMIF('1.3-Basis ruimtestaat'!E:L,'1.1a-Jaarprijzen'!B20,'1.3-Basis ruimtestaat'!L:L)</f>
        <v>44</v>
      </c>
      <c r="G20" s="129">
        <v>2</v>
      </c>
      <c r="H20" s="130">
        <f>SUMIF('1.3-Basis ruimtestaat'!E:E,'1.1a-Jaarprijzen'!B20,'1.3-Basis ruimtestaat'!Q:Q)</f>
        <v>0</v>
      </c>
      <c r="I20" s="130">
        <f>SUMIF('1.3-Basis ruimtestaat'!E:E,'1.1a-Jaarprijzen'!B20,'1.3-Basis ruimtestaat'!R:R)</f>
        <v>0</v>
      </c>
      <c r="K20" s="132">
        <f>(H20+I20)*'1.0-Contractblad'!$E$35</f>
        <v>0</v>
      </c>
      <c r="L20" s="133">
        <f>SUMIF('1.8-Glasbewassing'!D:D,'1.1a-Jaarprijzen'!B20,'1.8-Glasbewassing'!I:I)</f>
        <v>1138.8</v>
      </c>
      <c r="M20" s="134">
        <f>IF(H20=0,0,SUMIF('1.3-Basis ruimtestaat'!E:E,'1.1a-Jaarprijzen'!B20,'1.3-Basis ruimtestaat'!Z:Z)/SUM(H20+I20))</f>
        <v>0</v>
      </c>
      <c r="N20" s="135"/>
      <c r="Q20" s="136"/>
      <c r="R20" s="137"/>
      <c r="S20" s="137"/>
    </row>
    <row r="21" spans="1:20" s="138" customFormat="1" ht="20" customHeight="1">
      <c r="A21" s="683">
        <f t="shared" si="0"/>
        <v>2</v>
      </c>
      <c r="B21" s="717" t="s">
        <v>1076</v>
      </c>
      <c r="C21" s="718" t="s">
        <v>904</v>
      </c>
      <c r="D21" s="717" t="s">
        <v>701</v>
      </c>
      <c r="E21" s="128">
        <f ca="1">SUMIF('1.3-Basis ruimtestaat'!E:K,'1.1a-Jaarprijzen'!B21,'1.3-Basis ruimtestaat'!K:K)</f>
        <v>1437.8005997297685</v>
      </c>
      <c r="F21" s="128">
        <f ca="1">SUMIF('1.3-Basis ruimtestaat'!E:L,'1.1a-Jaarprijzen'!B21,'1.3-Basis ruimtestaat'!L:L)</f>
        <v>73.14</v>
      </c>
      <c r="G21" s="129">
        <v>2</v>
      </c>
      <c r="H21" s="130">
        <f>SUMIF('1.3-Basis ruimtestaat'!E:E,'1.1a-Jaarprijzen'!B21,'1.3-Basis ruimtestaat'!Q:Q)</f>
        <v>0</v>
      </c>
      <c r="I21" s="130">
        <f>SUMIF('1.3-Basis ruimtestaat'!E:E,'1.1a-Jaarprijzen'!B21,'1.3-Basis ruimtestaat'!R:R)</f>
        <v>0</v>
      </c>
      <c r="J21" s="43"/>
      <c r="K21" s="132">
        <f>(H21+I21)*'1.0-Contractblad'!$E$35</f>
        <v>0</v>
      </c>
      <c r="L21" s="133">
        <f>SUMIF('1.8-Glasbewassing'!D:D,'1.1a-Jaarprijzen'!B21,'1.8-Glasbewassing'!I:I)</f>
        <v>618.70000000000005</v>
      </c>
      <c r="M21" s="134">
        <f>IF(H21=0,0,SUMIF('1.3-Basis ruimtestaat'!E:E,'1.1a-Jaarprijzen'!B21,'1.3-Basis ruimtestaat'!Z:Z)/SUM(H21+I21))</f>
        <v>0</v>
      </c>
      <c r="N21" s="135"/>
      <c r="O21" s="43"/>
      <c r="P21" s="122"/>
      <c r="Q21" s="136"/>
      <c r="R21" s="137"/>
      <c r="S21" s="137"/>
      <c r="T21" s="43"/>
    </row>
    <row r="22" spans="1:20" s="138" customFormat="1" ht="20" customHeight="1">
      <c r="A22" s="683">
        <f t="shared" si="0"/>
        <v>2</v>
      </c>
      <c r="B22" s="717" t="s">
        <v>883</v>
      </c>
      <c r="C22" s="718" t="s">
        <v>905</v>
      </c>
      <c r="D22" s="717" t="s">
        <v>701</v>
      </c>
      <c r="E22" s="128">
        <f ca="1">SUMIF('1.3-Basis ruimtestaat'!E:K,'1.1a-Jaarprijzen'!B22,'1.3-Basis ruimtestaat'!K:K)</f>
        <v>970</v>
      </c>
      <c r="F22" s="128">
        <f ca="1">SUMIF('1.3-Basis ruimtestaat'!E:L,'1.1a-Jaarprijzen'!B22,'1.3-Basis ruimtestaat'!L:L)</f>
        <v>15</v>
      </c>
      <c r="G22" s="129">
        <v>2</v>
      </c>
      <c r="H22" s="130">
        <f>SUMIF('1.3-Basis ruimtestaat'!E:E,'1.1a-Jaarprijzen'!B22,'1.3-Basis ruimtestaat'!Q:Q)</f>
        <v>0</v>
      </c>
      <c r="I22" s="130">
        <f>SUMIF('1.3-Basis ruimtestaat'!E:E,'1.1a-Jaarprijzen'!B22,'1.3-Basis ruimtestaat'!R:R)</f>
        <v>0</v>
      </c>
      <c r="J22" s="43"/>
      <c r="K22" s="132">
        <f>(H22+I22)*'1.0-Contractblad'!$E$35</f>
        <v>0</v>
      </c>
      <c r="L22" s="133">
        <f>SUMIF('1.8-Glasbewassing'!D:D,'1.1a-Jaarprijzen'!B22,'1.8-Glasbewassing'!I:I)</f>
        <v>553.29999999999995</v>
      </c>
      <c r="M22" s="134">
        <f>IF(H22=0,0,SUMIF('1.3-Basis ruimtestaat'!E:E,'1.1a-Jaarprijzen'!B22,'1.3-Basis ruimtestaat'!Z:Z)/SUM(H22+I22))</f>
        <v>0</v>
      </c>
      <c r="N22" s="135"/>
      <c r="O22" s="43"/>
      <c r="P22" s="122"/>
      <c r="Q22" s="136"/>
      <c r="R22" s="137"/>
      <c r="S22" s="137"/>
      <c r="T22" s="43"/>
    </row>
    <row r="23" spans="1:20" ht="20" customHeight="1">
      <c r="A23" s="683">
        <f t="shared" si="0"/>
        <v>2</v>
      </c>
      <c r="B23" s="717" t="s">
        <v>889</v>
      </c>
      <c r="C23" s="718" t="s">
        <v>906</v>
      </c>
      <c r="D23" s="717" t="s">
        <v>701</v>
      </c>
      <c r="E23" s="128">
        <f ca="1">SUMIF('1.3-Basis ruimtestaat'!E:K,'1.1a-Jaarprijzen'!B23,'1.3-Basis ruimtestaat'!K:K)</f>
        <v>1187.2480982020429</v>
      </c>
      <c r="F23" s="128">
        <f ca="1">SUMIF('1.3-Basis ruimtestaat'!E:L,'1.1a-Jaarprijzen'!B23,'1.3-Basis ruimtestaat'!L:L)</f>
        <v>36.76</v>
      </c>
      <c r="G23" s="129">
        <v>2</v>
      </c>
      <c r="H23" s="130">
        <f>SUMIF('1.3-Basis ruimtestaat'!E:E,'1.1a-Jaarprijzen'!B23,'1.3-Basis ruimtestaat'!Q:Q)</f>
        <v>0</v>
      </c>
      <c r="I23" s="130">
        <f>SUMIF('1.3-Basis ruimtestaat'!E:E,'1.1a-Jaarprijzen'!B23,'1.3-Basis ruimtestaat'!R:R)</f>
        <v>0</v>
      </c>
      <c r="K23" s="132">
        <f>(H23+I23)*'1.0-Contractblad'!$E$35</f>
        <v>0</v>
      </c>
      <c r="L23" s="133">
        <f>SUMIF('1.8-Glasbewassing'!D:D,'1.1a-Jaarprijzen'!B23,'1.8-Glasbewassing'!I:I)</f>
        <v>440.5</v>
      </c>
      <c r="M23" s="134">
        <f>IF(H23=0,0,SUMIF('1.3-Basis ruimtestaat'!E:E,'1.1a-Jaarprijzen'!B23,'1.3-Basis ruimtestaat'!Z:Z)/SUM(H23+I23))</f>
        <v>0</v>
      </c>
      <c r="N23" s="135"/>
      <c r="Q23" s="136"/>
      <c r="R23" s="137"/>
      <c r="S23" s="137"/>
    </row>
    <row r="24" spans="1:20" s="138" customFormat="1" ht="20" customHeight="1">
      <c r="A24" s="683">
        <f t="shared" si="0"/>
        <v>2</v>
      </c>
      <c r="B24" s="717" t="s">
        <v>907</v>
      </c>
      <c r="C24" s="718" t="s">
        <v>935</v>
      </c>
      <c r="D24" s="717" t="s">
        <v>701</v>
      </c>
      <c r="E24" s="128">
        <f ca="1">SUMIF('1.3-Basis ruimtestaat'!E:K,'1.1a-Jaarprijzen'!B24,'1.3-Basis ruimtestaat'!K:K)</f>
        <v>1647.5600000000002</v>
      </c>
      <c r="F24" s="128">
        <f ca="1">SUMIF('1.3-Basis ruimtestaat'!E:L,'1.1a-Jaarprijzen'!B24,'1.3-Basis ruimtestaat'!L:L)</f>
        <v>60.969999999999985</v>
      </c>
      <c r="G24" s="129">
        <v>2</v>
      </c>
      <c r="H24" s="130">
        <f>SUMIF('1.3-Basis ruimtestaat'!E:E,'1.1a-Jaarprijzen'!B24,'1.3-Basis ruimtestaat'!Q:Q)</f>
        <v>0</v>
      </c>
      <c r="I24" s="130">
        <f>SUMIF('1.3-Basis ruimtestaat'!E:E,'1.1a-Jaarprijzen'!B24,'1.3-Basis ruimtestaat'!R:R)</f>
        <v>0</v>
      </c>
      <c r="J24" s="43"/>
      <c r="K24" s="132">
        <f>(H24+I24)*'1.0-Contractblad'!$E$35</f>
        <v>0</v>
      </c>
      <c r="L24" s="133">
        <f>SUMIF('1.8-Glasbewassing'!D:D,'1.1a-Jaarprijzen'!B24,'1.8-Glasbewassing'!I:I)</f>
        <v>999.1</v>
      </c>
      <c r="M24" s="134">
        <f>IF(H24=0,0,SUMIF('1.3-Basis ruimtestaat'!E:E,'1.1a-Jaarprijzen'!B24,'1.3-Basis ruimtestaat'!Z:Z)/SUM(H24+I24))</f>
        <v>0</v>
      </c>
      <c r="N24" s="135"/>
      <c r="O24" s="43"/>
      <c r="P24" s="122"/>
      <c r="Q24" s="136"/>
      <c r="R24" s="137"/>
      <c r="S24" s="137"/>
      <c r="T24" s="43"/>
    </row>
    <row r="25" spans="1:20" s="138" customFormat="1" ht="20" customHeight="1">
      <c r="A25" s="683">
        <f t="shared" si="0"/>
        <v>2</v>
      </c>
      <c r="B25" s="717" t="s">
        <v>928</v>
      </c>
      <c r="C25" s="718" t="s">
        <v>936</v>
      </c>
      <c r="D25" s="717" t="s">
        <v>701</v>
      </c>
      <c r="E25" s="128">
        <f ca="1">SUMIF('1.3-Basis ruimtestaat'!E:K,'1.1a-Jaarprijzen'!B25,'1.3-Basis ruimtestaat'!K:K)</f>
        <v>643.05000000000007</v>
      </c>
      <c r="F25" s="128">
        <f ca="1">SUMIF('1.3-Basis ruimtestaat'!E:L,'1.1a-Jaarprijzen'!B25,'1.3-Basis ruimtestaat'!L:L)</f>
        <v>10.6</v>
      </c>
      <c r="G25" s="129">
        <v>2</v>
      </c>
      <c r="H25" s="130">
        <f>SUMIF('1.3-Basis ruimtestaat'!E:E,'1.1a-Jaarprijzen'!B25,'1.3-Basis ruimtestaat'!Q:Q)</f>
        <v>0</v>
      </c>
      <c r="I25" s="130">
        <f>SUMIF('1.3-Basis ruimtestaat'!E:E,'1.1a-Jaarprijzen'!B25,'1.3-Basis ruimtestaat'!R:R)</f>
        <v>0</v>
      </c>
      <c r="J25" s="43"/>
      <c r="K25" s="132">
        <f>(H25+I25)*'1.0-Contractblad'!$E$35</f>
        <v>0</v>
      </c>
      <c r="L25" s="133">
        <f>SUMIF('1.8-Glasbewassing'!D:D,'1.1a-Jaarprijzen'!B25,'1.8-Glasbewassing'!I:I)</f>
        <v>381.3</v>
      </c>
      <c r="M25" s="134">
        <f>IF(H25=0,0,SUMIF('1.3-Basis ruimtestaat'!E:E,'1.1a-Jaarprijzen'!B25,'1.3-Basis ruimtestaat'!Z:Z)/SUM(H25+I25))</f>
        <v>0</v>
      </c>
      <c r="N25" s="135"/>
      <c r="O25" s="43"/>
      <c r="P25" s="122"/>
      <c r="Q25" s="136"/>
      <c r="R25" s="137"/>
      <c r="S25" s="137"/>
      <c r="T25" s="43"/>
    </row>
    <row r="26" spans="1:20" s="138" customFormat="1" ht="20" customHeight="1">
      <c r="A26" s="683">
        <f t="shared" si="0"/>
        <v>2</v>
      </c>
      <c r="B26" s="717" t="s">
        <v>941</v>
      </c>
      <c r="C26" s="718" t="s">
        <v>1016</v>
      </c>
      <c r="D26" s="717" t="s">
        <v>701</v>
      </c>
      <c r="E26" s="128">
        <f ca="1">SUMIF('1.3-Basis ruimtestaat'!E:K,'1.1a-Jaarprijzen'!B26,'1.3-Basis ruimtestaat'!K:K)</f>
        <v>758.88000000000011</v>
      </c>
      <c r="F26" s="128">
        <f ca="1">SUMIF('1.3-Basis ruimtestaat'!E:L,'1.1a-Jaarprijzen'!B26,'1.3-Basis ruimtestaat'!L:L)</f>
        <v>24.990000000000002</v>
      </c>
      <c r="G26" s="129">
        <v>2</v>
      </c>
      <c r="H26" s="130">
        <f>SUMIF('1.3-Basis ruimtestaat'!E:E,'1.1a-Jaarprijzen'!B26,'1.3-Basis ruimtestaat'!Q:Q)</f>
        <v>0</v>
      </c>
      <c r="I26" s="130">
        <f>SUMIF('1.3-Basis ruimtestaat'!E:E,'1.1a-Jaarprijzen'!B26,'1.3-Basis ruimtestaat'!R:R)</f>
        <v>0</v>
      </c>
      <c r="J26" s="43"/>
      <c r="K26" s="132">
        <f>(H26+I26)*'1.0-Contractblad'!$E$35</f>
        <v>0</v>
      </c>
      <c r="L26" s="133">
        <f>SUMIF('1.8-Glasbewassing'!D:D,'1.1a-Jaarprijzen'!B26,'1.8-Glasbewassing'!I:I)</f>
        <v>565.4</v>
      </c>
      <c r="M26" s="134">
        <f>IF(H26=0,0,SUMIF('1.3-Basis ruimtestaat'!E:E,'1.1a-Jaarprijzen'!B26,'1.3-Basis ruimtestaat'!Z:Z)/SUM(H26+I26))</f>
        <v>0</v>
      </c>
      <c r="N26" s="135"/>
      <c r="O26" s="43"/>
      <c r="P26" s="122"/>
      <c r="Q26" s="136"/>
      <c r="R26" s="137"/>
      <c r="S26" s="137"/>
      <c r="T26" s="43"/>
    </row>
    <row r="27" spans="1:20" ht="20" customHeight="1">
      <c r="A27" s="683">
        <f t="shared" si="0"/>
        <v>2</v>
      </c>
      <c r="B27" s="717" t="s">
        <v>947</v>
      </c>
      <c r="C27" s="718" t="s">
        <v>1016</v>
      </c>
      <c r="D27" s="717" t="s">
        <v>701</v>
      </c>
      <c r="E27" s="128">
        <f ca="1">SUMIF('1.3-Basis ruimtestaat'!E:K,'1.1a-Jaarprijzen'!B27,'1.3-Basis ruimtestaat'!K:K)</f>
        <v>865.51</v>
      </c>
      <c r="F27" s="128">
        <f ca="1">SUMIF('1.3-Basis ruimtestaat'!E:L,'1.1a-Jaarprijzen'!B27,'1.3-Basis ruimtestaat'!L:L)</f>
        <v>25.1</v>
      </c>
      <c r="G27" s="129">
        <v>2</v>
      </c>
      <c r="H27" s="130">
        <f>SUMIF('1.3-Basis ruimtestaat'!E:E,'1.1a-Jaarprijzen'!B27,'1.3-Basis ruimtestaat'!Q:Q)</f>
        <v>0</v>
      </c>
      <c r="I27" s="130">
        <f>SUMIF('1.3-Basis ruimtestaat'!E:E,'1.1a-Jaarprijzen'!B27,'1.3-Basis ruimtestaat'!R:R)</f>
        <v>0</v>
      </c>
      <c r="K27" s="132">
        <f>(H27+I27)*'1.0-Contractblad'!$E$35</f>
        <v>0</v>
      </c>
      <c r="L27" s="133">
        <f>SUMIF('1.8-Glasbewassing'!D:D,'1.1a-Jaarprijzen'!B27,'1.8-Glasbewassing'!I:I)</f>
        <v>320.60000000000002</v>
      </c>
      <c r="M27" s="134">
        <f>IF(H27=0,0,SUMIF('1.3-Basis ruimtestaat'!E:E,'1.1a-Jaarprijzen'!B27,'1.3-Basis ruimtestaat'!Z:Z)/SUM(H27+I27))</f>
        <v>0</v>
      </c>
      <c r="N27" s="135"/>
      <c r="Q27" s="136"/>
      <c r="R27" s="137"/>
      <c r="S27" s="137"/>
    </row>
    <row r="28" spans="1:20" ht="20" customHeight="1">
      <c r="A28" s="683">
        <f t="shared" si="0"/>
        <v>2</v>
      </c>
      <c r="B28" s="717" t="s">
        <v>971</v>
      </c>
      <c r="C28" s="718" t="s">
        <v>1016</v>
      </c>
      <c r="D28" s="717" t="s">
        <v>701</v>
      </c>
      <c r="E28" s="128">
        <f ca="1">SUMIF('1.3-Basis ruimtestaat'!E:K,'1.1a-Jaarprijzen'!B28,'1.3-Basis ruimtestaat'!K:K)</f>
        <v>847.48000000000013</v>
      </c>
      <c r="F28" s="128">
        <f ca="1">SUMIF('1.3-Basis ruimtestaat'!E:L,'1.1a-Jaarprijzen'!B28,'1.3-Basis ruimtestaat'!L:L)</f>
        <v>67.929999999999993</v>
      </c>
      <c r="G28" s="129">
        <v>2</v>
      </c>
      <c r="H28" s="130">
        <f>SUMIF('1.3-Basis ruimtestaat'!E:E,'1.1a-Jaarprijzen'!B28,'1.3-Basis ruimtestaat'!Q:Q)</f>
        <v>0</v>
      </c>
      <c r="I28" s="130">
        <f>SUMIF('1.3-Basis ruimtestaat'!E:E,'1.1a-Jaarprijzen'!B28,'1.3-Basis ruimtestaat'!R:R)</f>
        <v>0</v>
      </c>
      <c r="K28" s="132">
        <f>(H28+I28)*'1.0-Contractblad'!$E$35</f>
        <v>0</v>
      </c>
      <c r="L28" s="133">
        <f>SUMIF('1.8-Glasbewassing'!D:D,'1.1a-Jaarprijzen'!B28,'1.8-Glasbewassing'!I:I)</f>
        <v>325.8</v>
      </c>
      <c r="M28" s="134">
        <f>IF(H28=0,0,SUMIF('1.3-Basis ruimtestaat'!E:E,'1.1a-Jaarprijzen'!B28,'1.3-Basis ruimtestaat'!Z:Z)/SUM(H28+I28))</f>
        <v>0</v>
      </c>
      <c r="N28" s="135"/>
      <c r="Q28" s="136"/>
      <c r="R28" s="137"/>
      <c r="S28" s="137"/>
    </row>
    <row r="29" spans="1:20" ht="20" customHeight="1">
      <c r="A29" s="683">
        <f t="shared" si="0"/>
        <v>2</v>
      </c>
      <c r="B29" s="717" t="s">
        <v>1000</v>
      </c>
      <c r="C29" s="718" t="s">
        <v>1016</v>
      </c>
      <c r="D29" s="717" t="s">
        <v>701</v>
      </c>
      <c r="E29" s="128">
        <f ca="1">SUMIF('1.3-Basis ruimtestaat'!E:K,'1.1a-Jaarprijzen'!B29,'1.3-Basis ruimtestaat'!K:K)</f>
        <v>315.36</v>
      </c>
      <c r="F29" s="128">
        <f ca="1">SUMIF('1.3-Basis ruimtestaat'!E:L,'1.1a-Jaarprijzen'!B29,'1.3-Basis ruimtestaat'!L:L)</f>
        <v>85.44</v>
      </c>
      <c r="G29" s="129">
        <v>2</v>
      </c>
      <c r="H29" s="130">
        <f>SUMIF('1.3-Basis ruimtestaat'!E:E,'1.1a-Jaarprijzen'!B29,'1.3-Basis ruimtestaat'!Q:Q)</f>
        <v>0</v>
      </c>
      <c r="I29" s="130">
        <f>SUMIF('1.3-Basis ruimtestaat'!E:E,'1.1a-Jaarprijzen'!B29,'1.3-Basis ruimtestaat'!R:R)</f>
        <v>0</v>
      </c>
      <c r="K29" s="132">
        <f>(H29+I29)*'1.0-Contractblad'!$E$35</f>
        <v>0</v>
      </c>
      <c r="L29" s="133">
        <f>SUMIF('1.8-Glasbewassing'!D:D,'1.1a-Jaarprijzen'!B29,'1.8-Glasbewassing'!I:I)</f>
        <v>0</v>
      </c>
      <c r="M29" s="134">
        <f>IF(H29=0,0,SUMIF('1.3-Basis ruimtestaat'!E:E,'1.1a-Jaarprijzen'!B29,'1.3-Basis ruimtestaat'!Z:Z)/SUM(H29+I29))</f>
        <v>0</v>
      </c>
      <c r="N29" s="135"/>
      <c r="Q29" s="136"/>
      <c r="R29" s="137"/>
      <c r="S29" s="137"/>
    </row>
    <row r="30" spans="1:20" s="138" customFormat="1" ht="20" customHeight="1">
      <c r="A30" s="683">
        <f t="shared" si="0"/>
        <v>2</v>
      </c>
      <c r="B30" s="717" t="s">
        <v>957</v>
      </c>
      <c r="C30" s="718" t="s">
        <v>1016</v>
      </c>
      <c r="D30" s="717" t="s">
        <v>701</v>
      </c>
      <c r="E30" s="128">
        <f ca="1">SUMIF('1.3-Basis ruimtestaat'!E:K,'1.1a-Jaarprijzen'!B30,'1.3-Basis ruimtestaat'!K:K)</f>
        <v>429.15708333333328</v>
      </c>
      <c r="F30" s="128">
        <f ca="1">SUMIF('1.3-Basis ruimtestaat'!E:L,'1.1a-Jaarprijzen'!B30,'1.3-Basis ruimtestaat'!L:L)</f>
        <v>43.740000000000009</v>
      </c>
      <c r="G30" s="129">
        <v>2</v>
      </c>
      <c r="H30" s="130">
        <f>SUMIF('1.3-Basis ruimtestaat'!E:E,'1.1a-Jaarprijzen'!B30,'1.3-Basis ruimtestaat'!Q:Q)</f>
        <v>0</v>
      </c>
      <c r="I30" s="130">
        <f>SUMIF('1.3-Basis ruimtestaat'!E:E,'1.1a-Jaarprijzen'!B30,'1.3-Basis ruimtestaat'!R:R)</f>
        <v>0</v>
      </c>
      <c r="J30" s="43"/>
      <c r="K30" s="132">
        <f>(H30+I30)*'1.0-Contractblad'!$E$35</f>
        <v>0</v>
      </c>
      <c r="L30" s="133">
        <f>SUMIF('1.8-Glasbewassing'!D:D,'1.1a-Jaarprijzen'!B30,'1.8-Glasbewassing'!I:I)</f>
        <v>206.70000000000002</v>
      </c>
      <c r="M30" s="134">
        <f>IF(H30=0,0,SUMIF('1.3-Basis ruimtestaat'!E:E,'1.1a-Jaarprijzen'!B30,'1.3-Basis ruimtestaat'!Z:Z)/SUM(H30+I30))</f>
        <v>0</v>
      </c>
      <c r="N30" s="135"/>
      <c r="O30" s="43"/>
      <c r="P30" s="122"/>
      <c r="Q30" s="136"/>
      <c r="R30" s="137"/>
      <c r="S30" s="137"/>
      <c r="T30" s="43"/>
    </row>
    <row r="31" spans="1:20" ht="20" customHeight="1">
      <c r="A31" s="683">
        <f t="shared" si="0"/>
        <v>0</v>
      </c>
      <c r="E31" s="128"/>
      <c r="F31" s="128"/>
      <c r="G31" s="128"/>
      <c r="H31" s="128"/>
      <c r="I31" s="130"/>
      <c r="J31" s="130"/>
      <c r="K31" s="130"/>
      <c r="L31" s="132"/>
      <c r="M31" s="134">
        <f>IF(H31=0,0,SUMIF('1.3-Basis ruimtestaat'!E:E,'1.1a-Jaarprijzen'!B31,'1.3-Basis ruimtestaat'!Z:Z)/SUM(H31+I31))</f>
        <v>0</v>
      </c>
      <c r="N31" s="140"/>
      <c r="O31" s="141"/>
    </row>
    <row r="32" spans="1:20" hidden="1">
      <c r="A32" s="684"/>
      <c r="E32" s="128"/>
      <c r="F32" s="128"/>
      <c r="G32" s="128"/>
      <c r="H32" s="128"/>
      <c r="I32" s="130"/>
      <c r="J32" s="130"/>
      <c r="K32" s="130"/>
      <c r="L32" s="132"/>
      <c r="M32" s="139"/>
      <c r="N32" s="140"/>
      <c r="O32" s="141"/>
    </row>
    <row r="33" spans="1:21" hidden="1">
      <c r="A33" s="684"/>
      <c r="B33" s="142"/>
      <c r="E33" s="137"/>
      <c r="F33" s="137"/>
      <c r="H33" s="143">
        <f>'1.0-Contractblad'!$L$25</f>
        <v>0</v>
      </c>
      <c r="I33" s="143">
        <f>H33</f>
        <v>0</v>
      </c>
      <c r="J33" s="143"/>
      <c r="K33" s="143"/>
      <c r="L33" s="143">
        <f>'1.0-Contractblad'!$L$35</f>
        <v>0</v>
      </c>
      <c r="M33" s="144"/>
      <c r="N33" s="144"/>
    </row>
    <row r="34" spans="1:21">
      <c r="A34" s="684" t="s">
        <v>257</v>
      </c>
      <c r="B34" s="142"/>
      <c r="D34" s="145"/>
      <c r="E34" s="146"/>
      <c r="F34" s="146"/>
      <c r="G34" s="145"/>
      <c r="H34" s="145"/>
    </row>
    <row r="35" spans="1:21" s="177" customFormat="1" ht="32">
      <c r="A35" s="685" t="s">
        <v>257</v>
      </c>
      <c r="B35" s="172" t="s">
        <v>108</v>
      </c>
      <c r="C35" s="92" t="s">
        <v>309</v>
      </c>
      <c r="D35" s="173" t="s">
        <v>317</v>
      </c>
      <c r="E35" s="92" t="s">
        <v>100</v>
      </c>
      <c r="F35" s="92" t="s">
        <v>318</v>
      </c>
      <c r="G35" s="92" t="s">
        <v>319</v>
      </c>
      <c r="H35" s="92" t="s">
        <v>320</v>
      </c>
      <c r="I35" s="92" t="s">
        <v>321</v>
      </c>
      <c r="J35" s="92" t="s">
        <v>325</v>
      </c>
      <c r="K35" s="92" t="s">
        <v>322</v>
      </c>
      <c r="L35" s="92" t="s">
        <v>323</v>
      </c>
      <c r="M35" s="92" t="s">
        <v>324</v>
      </c>
      <c r="Q35" s="178"/>
      <c r="R35" s="171"/>
      <c r="S35" s="171"/>
      <c r="T35" s="171"/>
      <c r="U35" s="171"/>
    </row>
    <row r="36" spans="1:21" s="171" customFormat="1">
      <c r="A36" s="682"/>
      <c r="B36" s="183"/>
      <c r="C36" s="95"/>
      <c r="D36" s="179"/>
      <c r="E36" s="180"/>
      <c r="F36" s="180"/>
      <c r="G36" s="95"/>
      <c r="H36" s="95"/>
      <c r="I36" s="95"/>
      <c r="J36" s="95"/>
      <c r="K36" s="95"/>
      <c r="L36" s="95"/>
      <c r="M36" s="95"/>
      <c r="N36" s="182"/>
      <c r="Q36" s="95"/>
    </row>
    <row r="37" spans="1:21" ht="20" customHeight="1">
      <c r="A37" s="683">
        <f t="shared" ref="A37:C54" si="2">A13</f>
        <v>2</v>
      </c>
      <c r="B37" s="142" t="str">
        <f t="shared" si="2"/>
        <v>OBS Willem Eggert</v>
      </c>
      <c r="C37" s="43" t="str">
        <f t="shared" si="2"/>
        <v>Jan van Egmondstraat 14</v>
      </c>
      <c r="D37" s="147">
        <f>SUMIF('1.0-Contractblad'!$A$48:$A$52,'1.1a-Jaarprijzen'!B37,'1.0-Contractblad'!$J$48:$J$52)</f>
        <v>0</v>
      </c>
      <c r="E37" s="148">
        <f>VLOOKUP($B37,'1.6-Machine-investeringskosten'!$E$99:$H$158,4,FALSE)</f>
        <v>0</v>
      </c>
      <c r="F37" s="148">
        <f t="shared" ref="F37:F56" si="3">$H$33*H13+$I$33*I13</f>
        <v>0</v>
      </c>
      <c r="G37" s="148">
        <f t="shared" ref="G37:G56" si="4">$L$33*K13</f>
        <v>0</v>
      </c>
      <c r="H37" s="148">
        <f t="shared" ref="H37:H56" si="5">$H$33*J13</f>
        <v>0</v>
      </c>
      <c r="I37" s="148">
        <f t="shared" ref="I37:I56" si="6">E37+F37+G37+D37+H37</f>
        <v>0</v>
      </c>
      <c r="J37" s="622">
        <f>SUMIF('1. 3A-Mutaties'!E:E,'1.1a-Jaarprijzen'!B37,'1. 3A-Mutaties'!Z:Z)</f>
        <v>0</v>
      </c>
      <c r="K37" s="149"/>
      <c r="L37" s="131">
        <f>SUMIF('1.8-Glasbewassing'!D:D,'1.1a-Jaarprijzen'!B37,'1.8-Glasbewassing'!W:W)</f>
        <v>0</v>
      </c>
      <c r="M37" s="131">
        <f t="shared" ref="M37:M54" si="7">IF(K37="ja",I37,J37+I37)+L37</f>
        <v>0</v>
      </c>
      <c r="N37" s="122"/>
      <c r="Q37" s="150">
        <f t="shared" ref="Q37:Q54" ca="1" si="8">L37/(E13)</f>
        <v>0</v>
      </c>
      <c r="T37" s="161">
        <f t="shared" ref="T37:T54" ca="1" si="9">I37/E13</f>
        <v>0</v>
      </c>
    </row>
    <row r="38" spans="1:21" ht="20" customHeight="1">
      <c r="A38" s="683">
        <f t="shared" si="2"/>
        <v>2</v>
      </c>
      <c r="B38" s="142" t="str">
        <f t="shared" si="2"/>
        <v>SBO Het Tangram</v>
      </c>
      <c r="C38" s="43" t="str">
        <f t="shared" si="2"/>
        <v>Slenkstraat 50</v>
      </c>
      <c r="D38" s="147">
        <f>SUMIF('1.0-Contractblad'!$A$48:$A$52,'1.1a-Jaarprijzen'!B38,'1.0-Contractblad'!$J$48:$J$52)</f>
        <v>0</v>
      </c>
      <c r="E38" s="148">
        <f>VLOOKUP($B38,'1.6-Machine-investeringskosten'!$E$99:$H$158,4,FALSE)</f>
        <v>0</v>
      </c>
      <c r="F38" s="148">
        <f t="shared" si="3"/>
        <v>0</v>
      </c>
      <c r="G38" s="148">
        <f t="shared" si="4"/>
        <v>0</v>
      </c>
      <c r="H38" s="148">
        <f t="shared" si="5"/>
        <v>0</v>
      </c>
      <c r="I38" s="148">
        <f t="shared" ref="I38:I54" si="10">E38+F38+G38+D38+H38</f>
        <v>0</v>
      </c>
      <c r="J38" s="622">
        <f>SUMIF('1. 3A-Mutaties'!E:E,'1.1a-Jaarprijzen'!B38,'1. 3A-Mutaties'!Z:Z)</f>
        <v>0</v>
      </c>
      <c r="K38" s="149"/>
      <c r="L38" s="131">
        <f>SUMIF('1.8-Glasbewassing'!D:D,'1.1a-Jaarprijzen'!B38,'1.8-Glasbewassing'!W:W)</f>
        <v>0</v>
      </c>
      <c r="M38" s="131">
        <f t="shared" si="7"/>
        <v>0</v>
      </c>
      <c r="N38" s="122"/>
      <c r="Q38" s="150">
        <f t="shared" ca="1" si="8"/>
        <v>0</v>
      </c>
      <c r="T38" s="161">
        <f t="shared" ca="1" si="9"/>
        <v>0</v>
      </c>
    </row>
    <row r="39" spans="1:21" ht="20" customHeight="1">
      <c r="A39" s="683">
        <f t="shared" si="2"/>
        <v>2</v>
      </c>
      <c r="B39" s="142" t="str">
        <f t="shared" si="2"/>
        <v>OBS De Fuut</v>
      </c>
      <c r="C39" s="43" t="str">
        <f t="shared" si="2"/>
        <v>Agevaar 86</v>
      </c>
      <c r="D39" s="147">
        <f>SUMIF('1.0-Contractblad'!$A$48:$A$52,'1.1a-Jaarprijzen'!B39,'1.0-Contractblad'!$J$48:$J$52)</f>
        <v>0</v>
      </c>
      <c r="E39" s="148">
        <f>VLOOKUP($B39,'1.6-Machine-investeringskosten'!$E$99:$H$158,4,FALSE)</f>
        <v>0</v>
      </c>
      <c r="F39" s="148">
        <f t="shared" si="3"/>
        <v>0</v>
      </c>
      <c r="G39" s="148">
        <f t="shared" si="4"/>
        <v>0</v>
      </c>
      <c r="H39" s="148">
        <f t="shared" si="5"/>
        <v>0</v>
      </c>
      <c r="I39" s="148">
        <f t="shared" si="10"/>
        <v>0</v>
      </c>
      <c r="J39" s="622">
        <f>SUMIF('1. 3A-Mutaties'!E:E,'1.1a-Jaarprijzen'!B39,'1. 3A-Mutaties'!Z:Z)</f>
        <v>0</v>
      </c>
      <c r="K39" s="149"/>
      <c r="L39" s="131">
        <f>SUMIF('1.8-Glasbewassing'!D:D,'1.1a-Jaarprijzen'!B39,'1.8-Glasbewassing'!W:W)</f>
        <v>0</v>
      </c>
      <c r="M39" s="131">
        <f t="shared" si="7"/>
        <v>0</v>
      </c>
      <c r="N39" s="122"/>
      <c r="Q39" s="150">
        <f t="shared" ca="1" si="8"/>
        <v>0</v>
      </c>
      <c r="T39" s="161">
        <f t="shared" ca="1" si="9"/>
        <v>0</v>
      </c>
    </row>
    <row r="40" spans="1:21" ht="20" customHeight="1">
      <c r="A40" s="683">
        <f t="shared" si="2"/>
        <v>2</v>
      </c>
      <c r="B40" s="142" t="str">
        <f t="shared" si="2"/>
        <v>OCBS De Fuut</v>
      </c>
      <c r="C40" s="43" t="str">
        <f t="shared" si="2"/>
        <v>Agevaar 86</v>
      </c>
      <c r="D40" s="147">
        <f>SUMIF('1.0-Contractblad'!$A$48:$A$52,'1.1a-Jaarprijzen'!B40,'1.0-Contractblad'!$J$48:$J$52)</f>
        <v>0</v>
      </c>
      <c r="E40" s="148">
        <f>VLOOKUP($B40,'1.6-Machine-investeringskosten'!$E$99:$H$158,4,FALSE)</f>
        <v>0</v>
      </c>
      <c r="F40" s="148">
        <f t="shared" si="3"/>
        <v>0</v>
      </c>
      <c r="G40" s="148">
        <f t="shared" si="4"/>
        <v>0</v>
      </c>
      <c r="H40" s="148">
        <f t="shared" si="5"/>
        <v>0</v>
      </c>
      <c r="I40" s="148">
        <f t="shared" si="10"/>
        <v>0</v>
      </c>
      <c r="J40" s="622">
        <f>SUMIF('1. 3A-Mutaties'!E:E,'1.1a-Jaarprijzen'!B40,'1. 3A-Mutaties'!Z:Z)</f>
        <v>0</v>
      </c>
      <c r="K40" s="149"/>
      <c r="L40" s="131">
        <f>SUMIF('1.8-Glasbewassing'!D:D,'1.1a-Jaarprijzen'!B40,'1.8-Glasbewassing'!W:W)</f>
        <v>0</v>
      </c>
      <c r="M40" s="131">
        <f t="shared" si="7"/>
        <v>0</v>
      </c>
      <c r="N40" s="122"/>
      <c r="Q40" s="150">
        <f t="shared" ca="1" si="8"/>
        <v>0</v>
      </c>
      <c r="T40" s="161">
        <f t="shared" ca="1" si="9"/>
        <v>0</v>
      </c>
    </row>
    <row r="41" spans="1:21" ht="20" customHeight="1">
      <c r="A41" s="683">
        <f t="shared" si="2"/>
        <v>2</v>
      </c>
      <c r="B41" s="142" t="str">
        <f t="shared" si="2"/>
        <v>OBS De Havenrakkers</v>
      </c>
      <c r="C41" s="43" t="str">
        <f t="shared" si="2"/>
        <v>Nieuwland 32</v>
      </c>
      <c r="D41" s="147">
        <f>SUMIF('1.0-Contractblad'!$A$48:$A$52,'1.1a-Jaarprijzen'!B41,'1.0-Contractblad'!$J$48:$J$52)</f>
        <v>0</v>
      </c>
      <c r="E41" s="148">
        <f>VLOOKUP($B41,'1.6-Machine-investeringskosten'!$E$99:$H$158,4,FALSE)</f>
        <v>0</v>
      </c>
      <c r="F41" s="148">
        <f t="shared" si="3"/>
        <v>0</v>
      </c>
      <c r="G41" s="148">
        <f t="shared" si="4"/>
        <v>0</v>
      </c>
      <c r="H41" s="148">
        <f t="shared" si="5"/>
        <v>0</v>
      </c>
      <c r="I41" s="148">
        <f t="shared" si="10"/>
        <v>0</v>
      </c>
      <c r="J41" s="622">
        <f>SUMIF('1. 3A-Mutaties'!E:E,'1.1a-Jaarprijzen'!B41,'1. 3A-Mutaties'!Z:Z)</f>
        <v>0</v>
      </c>
      <c r="K41" s="149"/>
      <c r="L41" s="131">
        <f>SUMIF('1.8-Glasbewassing'!D:D,'1.1a-Jaarprijzen'!B41,'1.8-Glasbewassing'!W:W)</f>
        <v>0</v>
      </c>
      <c r="M41" s="131">
        <f t="shared" si="7"/>
        <v>0</v>
      </c>
      <c r="N41" s="122"/>
      <c r="Q41" s="150">
        <f t="shared" ca="1" si="8"/>
        <v>0</v>
      </c>
      <c r="T41" s="161">
        <f t="shared" ca="1" si="9"/>
        <v>0</v>
      </c>
    </row>
    <row r="42" spans="1:21" ht="20" customHeight="1">
      <c r="A42" s="683">
        <f t="shared" si="2"/>
        <v>2</v>
      </c>
      <c r="B42" s="142" t="str">
        <f t="shared" si="2"/>
        <v>OBS De Overhaal</v>
      </c>
      <c r="C42" s="43" t="str">
        <f t="shared" si="2"/>
        <v>Zuiderwouder Dorpsstraat 41</v>
      </c>
      <c r="D42" s="147">
        <f>SUMIF('1.0-Contractblad'!$A$48:$A$52,'1.1a-Jaarprijzen'!B42,'1.0-Contractblad'!$J$48:$J$52)</f>
        <v>0</v>
      </c>
      <c r="E42" s="148">
        <f>VLOOKUP($B42,'1.6-Machine-investeringskosten'!$E$99:$H$158,4,FALSE)</f>
        <v>0</v>
      </c>
      <c r="F42" s="148">
        <f t="shared" si="3"/>
        <v>0</v>
      </c>
      <c r="G42" s="148">
        <f t="shared" si="4"/>
        <v>0</v>
      </c>
      <c r="H42" s="148">
        <f t="shared" si="5"/>
        <v>0</v>
      </c>
      <c r="I42" s="148">
        <f t="shared" si="10"/>
        <v>0</v>
      </c>
      <c r="J42" s="622">
        <f>SUMIF('1. 3A-Mutaties'!E:E,'1.1a-Jaarprijzen'!B42,'1. 3A-Mutaties'!Z:Z)</f>
        <v>0</v>
      </c>
      <c r="K42" s="149"/>
      <c r="L42" s="131">
        <f>SUMIF('1.8-Glasbewassing'!D:D,'1.1a-Jaarprijzen'!B42,'1.8-Glasbewassing'!W:W)</f>
        <v>0</v>
      </c>
      <c r="M42" s="131">
        <f t="shared" si="7"/>
        <v>0</v>
      </c>
      <c r="N42" s="122"/>
      <c r="Q42" s="150">
        <f t="shared" ca="1" si="8"/>
        <v>0</v>
      </c>
      <c r="T42" s="161">
        <f t="shared" ca="1" si="9"/>
        <v>0</v>
      </c>
    </row>
    <row r="43" spans="1:21" ht="20" customHeight="1">
      <c r="A43" s="683">
        <f t="shared" si="2"/>
        <v>2</v>
      </c>
      <c r="B43" s="142" t="str">
        <f t="shared" si="2"/>
        <v>OBS De Gouwzee</v>
      </c>
      <c r="C43" s="43" t="str">
        <f t="shared" si="2"/>
        <v>Wilhelminalaan 58</v>
      </c>
      <c r="D43" s="147">
        <f>SUMIF('1.0-Contractblad'!$A$48:$A$52,'1.1a-Jaarprijzen'!B43,'1.0-Contractblad'!$J$48:$J$52)</f>
        <v>0</v>
      </c>
      <c r="E43" s="148">
        <f>VLOOKUP($B43,'1.6-Machine-investeringskosten'!$E$99:$H$158,4,FALSE)</f>
        <v>0</v>
      </c>
      <c r="F43" s="148">
        <f t="shared" si="3"/>
        <v>0</v>
      </c>
      <c r="G43" s="148">
        <f t="shared" si="4"/>
        <v>0</v>
      </c>
      <c r="H43" s="148">
        <f t="shared" si="5"/>
        <v>0</v>
      </c>
      <c r="I43" s="148">
        <f t="shared" si="10"/>
        <v>0</v>
      </c>
      <c r="J43" s="622">
        <f>SUMIF('1. 3A-Mutaties'!E:E,'1.1a-Jaarprijzen'!B43,'1. 3A-Mutaties'!Z:Z)</f>
        <v>0</v>
      </c>
      <c r="K43" s="149"/>
      <c r="L43" s="131">
        <f>SUMIF('1.8-Glasbewassing'!D:D,'1.1a-Jaarprijzen'!B43,'1.8-Glasbewassing'!W:W)</f>
        <v>0</v>
      </c>
      <c r="M43" s="131">
        <f t="shared" si="7"/>
        <v>0</v>
      </c>
      <c r="N43" s="122"/>
      <c r="Q43" s="150">
        <f t="shared" ca="1" si="8"/>
        <v>0</v>
      </c>
      <c r="T43" s="161">
        <f t="shared" ca="1" si="9"/>
        <v>0</v>
      </c>
    </row>
    <row r="44" spans="1:21" ht="20" customHeight="1">
      <c r="A44" s="683">
        <f t="shared" si="2"/>
        <v>2</v>
      </c>
      <c r="B44" s="142" t="str">
        <f t="shared" si="2"/>
        <v>OBS Het Parelhof</v>
      </c>
      <c r="C44" s="43" t="str">
        <f t="shared" si="2"/>
        <v>Zichthof 9 - 11</v>
      </c>
      <c r="D44" s="147">
        <f>SUMIF('1.0-Contractblad'!$A$48:$A$52,'1.1a-Jaarprijzen'!B44,'1.0-Contractblad'!$J$48:$J$52)</f>
        <v>0</v>
      </c>
      <c r="E44" s="148">
        <f>VLOOKUP($B44,'1.6-Machine-investeringskosten'!$E$99:$H$158,4,FALSE)</f>
        <v>0</v>
      </c>
      <c r="F44" s="148">
        <f t="shared" si="3"/>
        <v>0</v>
      </c>
      <c r="G44" s="148">
        <f t="shared" si="4"/>
        <v>0</v>
      </c>
      <c r="H44" s="148">
        <f t="shared" si="5"/>
        <v>0</v>
      </c>
      <c r="I44" s="148">
        <f t="shared" si="10"/>
        <v>0</v>
      </c>
      <c r="J44" s="622">
        <f>SUMIF('1. 3A-Mutaties'!E:E,'1.1a-Jaarprijzen'!B44,'1. 3A-Mutaties'!Z:Z)</f>
        <v>0</v>
      </c>
      <c r="K44" s="149"/>
      <c r="L44" s="131">
        <f>SUMIF('1.8-Glasbewassing'!D:D,'1.1a-Jaarprijzen'!B44,'1.8-Glasbewassing'!W:W)</f>
        <v>0</v>
      </c>
      <c r="M44" s="131">
        <f t="shared" si="7"/>
        <v>0</v>
      </c>
      <c r="N44" s="122"/>
      <c r="Q44" s="150">
        <f t="shared" ca="1" si="8"/>
        <v>0</v>
      </c>
      <c r="T44" s="161">
        <f t="shared" ca="1" si="9"/>
        <v>0</v>
      </c>
    </row>
    <row r="45" spans="1:21" ht="20" customHeight="1">
      <c r="A45" s="683">
        <f t="shared" si="2"/>
        <v>2</v>
      </c>
      <c r="B45" s="142" t="str">
        <f t="shared" si="2"/>
        <v>OBS Delta Beethoven</v>
      </c>
      <c r="C45" s="43" t="str">
        <f t="shared" si="2"/>
        <v>Beethovenstraat 62-64</v>
      </c>
      <c r="D45" s="147">
        <f>SUMIF('1.0-Contractblad'!$A$48:$A$52,'1.1a-Jaarprijzen'!B45,'1.0-Contractblad'!$J$48:$J$52)</f>
        <v>0</v>
      </c>
      <c r="E45" s="148">
        <f>VLOOKUP($B45,'1.6-Machine-investeringskosten'!$E$99:$H$158,4,FALSE)</f>
        <v>0</v>
      </c>
      <c r="F45" s="148">
        <f t="shared" si="3"/>
        <v>0</v>
      </c>
      <c r="G45" s="148">
        <f t="shared" si="4"/>
        <v>0</v>
      </c>
      <c r="H45" s="148">
        <f t="shared" si="5"/>
        <v>0</v>
      </c>
      <c r="I45" s="148">
        <f t="shared" si="10"/>
        <v>0</v>
      </c>
      <c r="J45" s="622">
        <f>SUMIF('1. 3A-Mutaties'!E:E,'1.1a-Jaarprijzen'!B45,'1. 3A-Mutaties'!Z:Z)</f>
        <v>0</v>
      </c>
      <c r="K45" s="149"/>
      <c r="L45" s="131">
        <f>SUMIF('1.8-Glasbewassing'!D:D,'1.1a-Jaarprijzen'!B45,'1.8-Glasbewassing'!W:W)</f>
        <v>0</v>
      </c>
      <c r="M45" s="131">
        <f t="shared" si="7"/>
        <v>0</v>
      </c>
      <c r="N45" s="122"/>
      <c r="Q45" s="150">
        <f t="shared" ca="1" si="8"/>
        <v>0</v>
      </c>
      <c r="T45" s="161">
        <f t="shared" ca="1" si="9"/>
        <v>0</v>
      </c>
    </row>
    <row r="46" spans="1:21" ht="20" customHeight="1">
      <c r="A46" s="683">
        <f t="shared" si="2"/>
        <v>2</v>
      </c>
      <c r="B46" s="142" t="str">
        <f t="shared" si="2"/>
        <v>OBS Noorderlicht</v>
      </c>
      <c r="C46" s="43" t="str">
        <f t="shared" si="2"/>
        <v>Jachtwagenstraat 64</v>
      </c>
      <c r="D46" s="147">
        <f>SUMIF('1.0-Contractblad'!$A$48:$A$52,'1.1a-Jaarprijzen'!B46,'1.0-Contractblad'!$J$48:$J$52)</f>
        <v>0</v>
      </c>
      <c r="E46" s="148">
        <f>VLOOKUP($B46,'1.6-Machine-investeringskosten'!$E$99:$H$158,4,FALSE)</f>
        <v>0</v>
      </c>
      <c r="F46" s="148">
        <f t="shared" si="3"/>
        <v>0</v>
      </c>
      <c r="G46" s="148">
        <f t="shared" si="4"/>
        <v>0</v>
      </c>
      <c r="H46" s="148">
        <f t="shared" si="5"/>
        <v>0</v>
      </c>
      <c r="I46" s="148">
        <f t="shared" si="10"/>
        <v>0</v>
      </c>
      <c r="J46" s="622">
        <f>SUMIF('1. 3A-Mutaties'!E:E,'1.1a-Jaarprijzen'!B46,'1. 3A-Mutaties'!Z:Z)</f>
        <v>0</v>
      </c>
      <c r="K46" s="149"/>
      <c r="L46" s="131">
        <f>SUMIF('1.8-Glasbewassing'!D:D,'1.1a-Jaarprijzen'!B46,'1.8-Glasbewassing'!W:W)</f>
        <v>0</v>
      </c>
      <c r="M46" s="131">
        <f t="shared" si="7"/>
        <v>0</v>
      </c>
      <c r="N46" s="122"/>
      <c r="Q46" s="150">
        <f t="shared" ca="1" si="8"/>
        <v>0</v>
      </c>
      <c r="T46" s="161">
        <f t="shared" ca="1" si="9"/>
        <v>0</v>
      </c>
    </row>
    <row r="47" spans="1:21" ht="20" customHeight="1">
      <c r="A47" s="683">
        <f t="shared" si="2"/>
        <v>2</v>
      </c>
      <c r="B47" s="142" t="str">
        <f t="shared" si="2"/>
        <v>OBS De Delta</v>
      </c>
      <c r="C47" s="43" t="str">
        <f t="shared" si="2"/>
        <v>Delfland 2</v>
      </c>
      <c r="D47" s="147">
        <f>SUMIF('1.0-Contractblad'!$A$48:$A$52,'1.1a-Jaarprijzen'!B47,'1.0-Contractblad'!$J$48:$J$52)</f>
        <v>0</v>
      </c>
      <c r="E47" s="148">
        <f>VLOOKUP($B47,'1.6-Machine-investeringskosten'!$E$99:$H$158,4,FALSE)</f>
        <v>0</v>
      </c>
      <c r="F47" s="148">
        <f t="shared" si="3"/>
        <v>0</v>
      </c>
      <c r="G47" s="148">
        <f t="shared" si="4"/>
        <v>0</v>
      </c>
      <c r="H47" s="148">
        <f t="shared" si="5"/>
        <v>0</v>
      </c>
      <c r="I47" s="148">
        <f t="shared" si="10"/>
        <v>0</v>
      </c>
      <c r="J47" s="622">
        <f>SUMIF('1. 3A-Mutaties'!E:E,'1.1a-Jaarprijzen'!B47,'1. 3A-Mutaties'!Z:Z)</f>
        <v>0</v>
      </c>
      <c r="K47" s="149"/>
      <c r="L47" s="131">
        <f>SUMIF('1.8-Glasbewassing'!D:D,'1.1a-Jaarprijzen'!B47,'1.8-Glasbewassing'!W:W)</f>
        <v>0</v>
      </c>
      <c r="M47" s="131">
        <f t="shared" si="7"/>
        <v>0</v>
      </c>
      <c r="N47" s="122"/>
      <c r="Q47" s="150">
        <f t="shared" ca="1" si="8"/>
        <v>0</v>
      </c>
      <c r="T47" s="161">
        <f t="shared" ca="1" si="9"/>
        <v>0</v>
      </c>
    </row>
    <row r="48" spans="1:21" ht="20" customHeight="1">
      <c r="A48" s="683">
        <f t="shared" si="2"/>
        <v>2</v>
      </c>
      <c r="B48" s="142" t="str">
        <f t="shared" si="2"/>
        <v>Kindcentrum Wheermolen</v>
      </c>
      <c r="C48" s="43" t="str">
        <f t="shared" si="2"/>
        <v>Luitstraat 4</v>
      </c>
      <c r="D48" s="147">
        <f>SUMIF('1.0-Contractblad'!$A$48:$A$52,'1.1a-Jaarprijzen'!B48,'1.0-Contractblad'!$J$48:$J$52)</f>
        <v>0</v>
      </c>
      <c r="E48" s="148">
        <f>VLOOKUP($B48,'1.6-Machine-investeringskosten'!$E$99:$H$158,4,FALSE)</f>
        <v>0</v>
      </c>
      <c r="F48" s="148">
        <f t="shared" si="3"/>
        <v>0</v>
      </c>
      <c r="G48" s="148">
        <f t="shared" si="4"/>
        <v>0</v>
      </c>
      <c r="H48" s="148">
        <f t="shared" si="5"/>
        <v>0</v>
      </c>
      <c r="I48" s="148">
        <f t="shared" si="10"/>
        <v>0</v>
      </c>
      <c r="J48" s="622">
        <f>SUMIF('1. 3A-Mutaties'!E:E,'1.1a-Jaarprijzen'!B48,'1. 3A-Mutaties'!Z:Z)</f>
        <v>0</v>
      </c>
      <c r="K48" s="149"/>
      <c r="L48" s="131">
        <f>SUMIF('1.8-Glasbewassing'!D:D,'1.1a-Jaarprijzen'!B48,'1.8-Glasbewassing'!W:W)</f>
        <v>0</v>
      </c>
      <c r="M48" s="131">
        <f t="shared" si="7"/>
        <v>0</v>
      </c>
      <c r="N48" s="122"/>
      <c r="Q48" s="150">
        <f t="shared" ca="1" si="8"/>
        <v>0</v>
      </c>
      <c r="T48" s="161">
        <f t="shared" ca="1" si="9"/>
        <v>0</v>
      </c>
    </row>
    <row r="49" spans="1:20" ht="20" customHeight="1">
      <c r="A49" s="683">
        <f t="shared" si="2"/>
        <v>2</v>
      </c>
      <c r="B49" s="142" t="str">
        <f t="shared" si="2"/>
        <v>OBS Wheermolen KO</v>
      </c>
      <c r="C49" s="43" t="str">
        <f t="shared" si="2"/>
        <v>Luitstraat 2</v>
      </c>
      <c r="D49" s="147">
        <f>SUMIF('1.0-Contractblad'!$A$48:$A$52,'1.1a-Jaarprijzen'!B49,'1.0-Contractblad'!$J$48:$J$52)</f>
        <v>0</v>
      </c>
      <c r="E49" s="148">
        <f>VLOOKUP($B49,'1.6-Machine-investeringskosten'!$E$99:$H$158,4,FALSE)</f>
        <v>0</v>
      </c>
      <c r="F49" s="148">
        <f t="shared" si="3"/>
        <v>0</v>
      </c>
      <c r="G49" s="148">
        <f t="shared" si="4"/>
        <v>0</v>
      </c>
      <c r="H49" s="148">
        <f t="shared" si="5"/>
        <v>0</v>
      </c>
      <c r="I49" s="148">
        <f t="shared" si="10"/>
        <v>0</v>
      </c>
      <c r="J49" s="622">
        <f>SUMIF('1. 3A-Mutaties'!E:E,'1.1a-Jaarprijzen'!B49,'1. 3A-Mutaties'!Z:Z)</f>
        <v>0</v>
      </c>
      <c r="K49" s="149"/>
      <c r="L49" s="131">
        <f>SUMIF('1.8-Glasbewassing'!D:D,'1.1a-Jaarprijzen'!B49,'1.8-Glasbewassing'!W:W)</f>
        <v>0</v>
      </c>
      <c r="M49" s="131">
        <f t="shared" si="7"/>
        <v>0</v>
      </c>
      <c r="N49" s="122"/>
      <c r="Q49" s="150">
        <f t="shared" ca="1" si="8"/>
        <v>0</v>
      </c>
      <c r="T49" s="161">
        <f t="shared" ca="1" si="9"/>
        <v>0</v>
      </c>
    </row>
    <row r="50" spans="1:20" ht="20" customHeight="1">
      <c r="A50" s="683">
        <f t="shared" si="2"/>
        <v>2</v>
      </c>
      <c r="B50" s="142" t="str">
        <f t="shared" si="2"/>
        <v>OCBS Kawama</v>
      </c>
      <c r="C50" s="43" t="str">
        <f t="shared" si="2"/>
        <v>Zambezielaan 278</v>
      </c>
      <c r="D50" s="147">
        <f>SUMIF('1.0-Contractblad'!$A$48:$A$52,'1.1a-Jaarprijzen'!B50,'1.0-Contractblad'!$J$48:$J$52)</f>
        <v>0</v>
      </c>
      <c r="E50" s="148">
        <f>VLOOKUP($B50,'1.6-Machine-investeringskosten'!$E$99:$H$158,4,FALSE)</f>
        <v>0</v>
      </c>
      <c r="F50" s="148">
        <f t="shared" si="3"/>
        <v>0</v>
      </c>
      <c r="G50" s="148">
        <f t="shared" si="4"/>
        <v>0</v>
      </c>
      <c r="H50" s="148">
        <f t="shared" si="5"/>
        <v>0</v>
      </c>
      <c r="I50" s="148">
        <f t="shared" si="10"/>
        <v>0</v>
      </c>
      <c r="J50" s="622">
        <f>SUMIF('1. 3A-Mutaties'!E:E,'1.1a-Jaarprijzen'!B50,'1. 3A-Mutaties'!Z:Z)</f>
        <v>0</v>
      </c>
      <c r="K50" s="149"/>
      <c r="L50" s="131">
        <f>SUMIF('1.8-Glasbewassing'!D:D,'1.1a-Jaarprijzen'!B50,'1.8-Glasbewassing'!W:W)</f>
        <v>0</v>
      </c>
      <c r="M50" s="131">
        <f t="shared" si="7"/>
        <v>0</v>
      </c>
      <c r="N50" s="122"/>
      <c r="Q50" s="150">
        <f t="shared" ca="1" si="8"/>
        <v>0</v>
      </c>
      <c r="T50" s="161">
        <f t="shared" ca="1" si="9"/>
        <v>0</v>
      </c>
    </row>
    <row r="51" spans="1:20" ht="20" customHeight="1">
      <c r="A51" s="683">
        <f t="shared" si="2"/>
        <v>2</v>
      </c>
      <c r="B51" s="142" t="str">
        <f t="shared" si="2"/>
        <v>OBS Oeboentoe</v>
      </c>
      <c r="C51" s="43" t="str">
        <f t="shared" si="2"/>
        <v>Zambezielaan 278</v>
      </c>
      <c r="D51" s="147">
        <f>SUMIF('1.0-Contractblad'!$A$48:$A$52,'1.1a-Jaarprijzen'!B51,'1.0-Contractblad'!$J$48:$J$52)</f>
        <v>0</v>
      </c>
      <c r="E51" s="148">
        <f>VLOOKUP($B51,'1.6-Machine-investeringskosten'!$E$99:$H$158,4,FALSE)</f>
        <v>0</v>
      </c>
      <c r="F51" s="148">
        <f t="shared" si="3"/>
        <v>0</v>
      </c>
      <c r="G51" s="148">
        <f t="shared" si="4"/>
        <v>0</v>
      </c>
      <c r="H51" s="148">
        <f t="shared" si="5"/>
        <v>0</v>
      </c>
      <c r="I51" s="148">
        <f t="shared" si="10"/>
        <v>0</v>
      </c>
      <c r="J51" s="622">
        <f>SUMIF('1. 3A-Mutaties'!E:E,'1.1a-Jaarprijzen'!B51,'1. 3A-Mutaties'!Z:Z)</f>
        <v>0</v>
      </c>
      <c r="K51" s="149"/>
      <c r="L51" s="131">
        <f>SUMIF('1.8-Glasbewassing'!D:D,'1.1a-Jaarprijzen'!B51,'1.8-Glasbewassing'!W:W)</f>
        <v>0</v>
      </c>
      <c r="M51" s="131">
        <f t="shared" si="7"/>
        <v>0</v>
      </c>
      <c r="N51" s="122"/>
      <c r="Q51" s="150">
        <f t="shared" ca="1" si="8"/>
        <v>0</v>
      </c>
      <c r="T51" s="161">
        <f t="shared" ca="1" si="9"/>
        <v>0</v>
      </c>
    </row>
    <row r="52" spans="1:20" ht="20" customHeight="1">
      <c r="A52" s="683">
        <f t="shared" si="2"/>
        <v>2</v>
      </c>
      <c r="B52" s="142" t="str">
        <f t="shared" si="2"/>
        <v>Kawama-Oeboentoe</v>
      </c>
      <c r="C52" s="43" t="str">
        <f t="shared" si="2"/>
        <v>Zambezielaan 278</v>
      </c>
      <c r="D52" s="147">
        <f>SUMIF('1.0-Contractblad'!$A$48:$A$52,'1.1a-Jaarprijzen'!B52,'1.0-Contractblad'!$J$48:$J$52)</f>
        <v>0</v>
      </c>
      <c r="E52" s="148">
        <f>VLOOKUP($B52,'1.6-Machine-investeringskosten'!$E$99:$H$158,4,FALSE)</f>
        <v>0</v>
      </c>
      <c r="F52" s="148">
        <f t="shared" si="3"/>
        <v>0</v>
      </c>
      <c r="G52" s="148">
        <f t="shared" si="4"/>
        <v>0</v>
      </c>
      <c r="H52" s="148">
        <f t="shared" si="5"/>
        <v>0</v>
      </c>
      <c r="I52" s="148">
        <f t="shared" si="10"/>
        <v>0</v>
      </c>
      <c r="J52" s="622">
        <f>SUMIF('1. 3A-Mutaties'!E:E,'1.1a-Jaarprijzen'!B52,'1. 3A-Mutaties'!Z:Z)</f>
        <v>0</v>
      </c>
      <c r="K52" s="149"/>
      <c r="L52" s="131">
        <f>SUMIF('1.8-Glasbewassing'!D:D,'1.1a-Jaarprijzen'!B52,'1.8-Glasbewassing'!W:W)</f>
        <v>0</v>
      </c>
      <c r="M52" s="131">
        <f t="shared" si="7"/>
        <v>0</v>
      </c>
      <c r="N52" s="122"/>
      <c r="Q52" s="150">
        <f t="shared" ca="1" si="8"/>
        <v>0</v>
      </c>
      <c r="T52" s="161">
        <f t="shared" ca="1" si="9"/>
        <v>0</v>
      </c>
    </row>
    <row r="53" spans="1:20" ht="20" customHeight="1">
      <c r="A53" s="683">
        <f t="shared" si="2"/>
        <v>2</v>
      </c>
      <c r="B53" s="142" t="str">
        <f t="shared" si="2"/>
        <v>Gezamenlijk</v>
      </c>
      <c r="C53" s="43" t="str">
        <f t="shared" si="2"/>
        <v>Zambezielaan 278</v>
      </c>
      <c r="D53" s="147">
        <f>SUMIF('1.0-Contractblad'!$A$48:$A$52,'1.1a-Jaarprijzen'!B53,'1.0-Contractblad'!$J$48:$J$52)</f>
        <v>0</v>
      </c>
      <c r="E53" s="148">
        <f>VLOOKUP($B53,'1.6-Machine-investeringskosten'!$E$99:$H$158,4,FALSE)</f>
        <v>0</v>
      </c>
      <c r="F53" s="148">
        <f t="shared" si="3"/>
        <v>0</v>
      </c>
      <c r="G53" s="148">
        <f t="shared" si="4"/>
        <v>0</v>
      </c>
      <c r="H53" s="148">
        <f t="shared" si="5"/>
        <v>0</v>
      </c>
      <c r="I53" s="148">
        <f t="shared" si="10"/>
        <v>0</v>
      </c>
      <c r="J53" s="622">
        <f>SUMIF('1. 3A-Mutaties'!E:E,'1.1a-Jaarprijzen'!B53,'1. 3A-Mutaties'!Z:Z)</f>
        <v>0</v>
      </c>
      <c r="K53" s="149"/>
      <c r="L53" s="131">
        <f>SUMIF('1.8-Glasbewassing'!D:D,'1.1a-Jaarprijzen'!B53,'1.8-Glasbewassing'!W:W)</f>
        <v>0</v>
      </c>
      <c r="M53" s="131">
        <f t="shared" si="7"/>
        <v>0</v>
      </c>
      <c r="N53" s="122"/>
      <c r="Q53" s="150">
        <f t="shared" ca="1" si="8"/>
        <v>0</v>
      </c>
      <c r="T53" s="161">
        <f t="shared" ca="1" si="9"/>
        <v>0</v>
      </c>
    </row>
    <row r="54" spans="1:20" ht="20" customHeight="1">
      <c r="A54" s="683">
        <f t="shared" si="2"/>
        <v>2</v>
      </c>
      <c r="B54" s="142" t="str">
        <f t="shared" si="2"/>
        <v>Kinderdagverblijf Anansi</v>
      </c>
      <c r="C54" s="43" t="str">
        <f t="shared" si="2"/>
        <v>Zambezielaan 278</v>
      </c>
      <c r="D54" s="147">
        <f>SUMIF('1.0-Contractblad'!$A$48:$A$52,'1.1a-Jaarprijzen'!B54,'1.0-Contractblad'!$J$48:$J$52)</f>
        <v>0</v>
      </c>
      <c r="E54" s="148">
        <f>VLOOKUP($B54,'1.6-Machine-investeringskosten'!$E$99:$H$158,4,FALSE)</f>
        <v>0</v>
      </c>
      <c r="F54" s="148">
        <f t="shared" si="3"/>
        <v>0</v>
      </c>
      <c r="G54" s="148">
        <f t="shared" si="4"/>
        <v>0</v>
      </c>
      <c r="H54" s="148">
        <f t="shared" si="5"/>
        <v>0</v>
      </c>
      <c r="I54" s="148">
        <f t="shared" si="10"/>
        <v>0</v>
      </c>
      <c r="J54" s="622">
        <f>SUMIF('1. 3A-Mutaties'!E:E,'1.1a-Jaarprijzen'!B54,'1. 3A-Mutaties'!Z:Z)</f>
        <v>0</v>
      </c>
      <c r="K54" s="149"/>
      <c r="L54" s="131">
        <f>SUMIF('1.8-Glasbewassing'!D:D,'1.1a-Jaarprijzen'!B54,'1.8-Glasbewassing'!W:W)</f>
        <v>0</v>
      </c>
      <c r="M54" s="131">
        <f t="shared" si="7"/>
        <v>0</v>
      </c>
      <c r="N54" s="122"/>
      <c r="Q54" s="150">
        <f t="shared" ca="1" si="8"/>
        <v>0</v>
      </c>
      <c r="T54" s="161">
        <f t="shared" ca="1" si="9"/>
        <v>0</v>
      </c>
    </row>
    <row r="55" spans="1:20" ht="20" customHeight="1">
      <c r="A55" s="683" t="e">
        <f>#REF!</f>
        <v>#REF!</v>
      </c>
      <c r="B55" s="142">
        <f>B31</f>
        <v>0</v>
      </c>
      <c r="C55" s="43">
        <f>C31</f>
        <v>0</v>
      </c>
      <c r="D55" s="147">
        <f>SUMIF('1.0-Contractblad'!$A$48:$A$52,'1.1a-Jaarprijzen'!B55,'1.0-Contractblad'!$J$48:$J$52)</f>
        <v>0</v>
      </c>
      <c r="E55" s="148">
        <f>VLOOKUP($B55,'1.6-Machine-investeringskosten'!$E$99:$H$158,4,FALSE)</f>
        <v>0</v>
      </c>
      <c r="F55" s="148">
        <f t="shared" si="3"/>
        <v>0</v>
      </c>
      <c r="G55" s="148">
        <f t="shared" si="4"/>
        <v>0</v>
      </c>
      <c r="H55" s="148">
        <f t="shared" si="5"/>
        <v>0</v>
      </c>
      <c r="I55" s="148">
        <f t="shared" si="6"/>
        <v>0</v>
      </c>
      <c r="J55" s="622">
        <f>SUMIF('1. 3A-Mutaties'!E:E,'1.1a-Jaarprijzen'!B55,'1. 3A-Mutaties'!Z:Z)</f>
        <v>0</v>
      </c>
      <c r="K55" s="149"/>
      <c r="L55" s="131">
        <f>SUMIF('1.8-Glasbewassing'!D:D,'1.1a-Jaarprijzen'!B55,'1.8-Glasbewassing'!W:W)</f>
        <v>0</v>
      </c>
      <c r="M55" s="131">
        <f t="shared" ref="M55:M56" si="11">IF(K55="ja",I55,J55+I55)</f>
        <v>0</v>
      </c>
      <c r="N55" s="122"/>
      <c r="Q55" s="150" t="e">
        <f>L55/(#REF!)</f>
        <v>#REF!</v>
      </c>
      <c r="T55" s="161" t="e">
        <f>I55/#REF!</f>
        <v>#REF!</v>
      </c>
    </row>
    <row r="56" spans="1:20" ht="20" customHeight="1">
      <c r="A56" s="683">
        <f>A31</f>
        <v>0</v>
      </c>
      <c r="B56" s="142">
        <f>B32</f>
        <v>0</v>
      </c>
      <c r="C56" s="43">
        <f>C32</f>
        <v>0</v>
      </c>
      <c r="D56" s="147">
        <f>SUMIF('1.0-Contractblad'!$A$48:$A$52,'1.1a-Jaarprijzen'!B56,'1.0-Contractblad'!$J$48:$J$52)</f>
        <v>0</v>
      </c>
      <c r="E56" s="148">
        <f>VLOOKUP($B56,'1.6-Machine-investeringskosten'!$E$99:$H$158,4,FALSE)</f>
        <v>0</v>
      </c>
      <c r="F56" s="148">
        <f t="shared" si="3"/>
        <v>0</v>
      </c>
      <c r="G56" s="148">
        <f t="shared" si="4"/>
        <v>0</v>
      </c>
      <c r="H56" s="148">
        <f t="shared" si="5"/>
        <v>0</v>
      </c>
      <c r="I56" s="148">
        <f t="shared" si="6"/>
        <v>0</v>
      </c>
      <c r="J56" s="622">
        <f>SUMIF('1. 3A-Mutaties'!E:E,'1.1a-Jaarprijzen'!B56,'1. 3A-Mutaties'!Z:Z)</f>
        <v>0</v>
      </c>
      <c r="K56" s="149"/>
      <c r="L56" s="131">
        <f>SUMIF('1.8-Glasbewassing'!D:D,'1.1a-Jaarprijzen'!B56,'1.8-Glasbewassing'!W:W)</f>
        <v>0</v>
      </c>
      <c r="M56" s="131">
        <f t="shared" si="11"/>
        <v>0</v>
      </c>
      <c r="N56" s="122"/>
      <c r="Q56" s="150" t="e">
        <f>L56/(E31)</f>
        <v>#DIV/0!</v>
      </c>
      <c r="T56" s="161" t="e">
        <f>I56/E31</f>
        <v>#DIV/0!</v>
      </c>
    </row>
    <row r="57" spans="1:20" ht="17">
      <c r="A57" s="683">
        <f>A32</f>
        <v>0</v>
      </c>
      <c r="E57" s="137"/>
      <c r="F57" s="137"/>
      <c r="H57" s="151"/>
      <c r="I57" s="152"/>
      <c r="J57" s="623"/>
      <c r="K57" s="153"/>
      <c r="L57" s="152"/>
      <c r="M57" s="152"/>
      <c r="N57" s="154"/>
      <c r="Q57" s="155"/>
    </row>
    <row r="58" spans="1:20">
      <c r="A58" s="684"/>
      <c r="B58" s="157"/>
      <c r="E58" s="137"/>
      <c r="F58" s="137"/>
      <c r="J58" s="624"/>
      <c r="Q58" s="122"/>
    </row>
    <row r="59" spans="1:20" ht="17">
      <c r="B59" s="122"/>
      <c r="C59" s="546"/>
      <c r="D59" s="158"/>
      <c r="E59" s="159"/>
      <c r="F59" s="159"/>
      <c r="G59" s="159"/>
      <c r="H59" s="159"/>
      <c r="I59" s="159"/>
      <c r="J59" s="625"/>
      <c r="K59" s="159"/>
      <c r="L59" s="159"/>
      <c r="M59" s="159"/>
      <c r="Q59" s="156"/>
    </row>
    <row r="60" spans="1:20" ht="17">
      <c r="A60" s="680">
        <v>1</v>
      </c>
      <c r="B60" s="122"/>
      <c r="C60" s="546"/>
      <c r="D60" s="158"/>
      <c r="E60" s="159"/>
      <c r="F60" s="159"/>
      <c r="G60" s="159"/>
      <c r="H60" s="159"/>
      <c r="I60" s="159"/>
      <c r="J60" s="625"/>
      <c r="K60" s="159"/>
      <c r="L60" s="159"/>
      <c r="M60" s="159"/>
      <c r="Q60" s="156"/>
    </row>
    <row r="61" spans="1:20" ht="17">
      <c r="A61" s="680">
        <v>2</v>
      </c>
      <c r="B61" s="122"/>
      <c r="C61" s="546" t="s">
        <v>402</v>
      </c>
      <c r="D61" s="158">
        <f ca="1">SUMIF($A$37:$M$55,$A61,$D$37:$D$55)</f>
        <v>0</v>
      </c>
      <c r="E61" s="159">
        <f ca="1">SUMIF($A$37:$M$55,$A61,$E$37:$E$55)</f>
        <v>0</v>
      </c>
      <c r="F61" s="159">
        <f ca="1">SUMIF($A$37:$M$55,$A61,$F$37:$F$55)</f>
        <v>0</v>
      </c>
      <c r="G61" s="159">
        <f ca="1">SUMIF($A$37:$M$55,$A61,$G$37:$G$55)</f>
        <v>0</v>
      </c>
      <c r="H61" s="159">
        <f ca="1">SUMIF($A$37:$M$55,$A61,$H$37:$H$55)</f>
        <v>0</v>
      </c>
      <c r="I61" s="159">
        <f ca="1">SUMIF($A$37:$M$55,$A61,$I$37:$I$55)</f>
        <v>0</v>
      </c>
      <c r="J61" s="625">
        <f ca="1">SUMIF($A$37:$M$55,$A61,$J$37:$J$55)</f>
        <v>0</v>
      </c>
      <c r="K61" s="159"/>
      <c r="L61" s="159">
        <f ca="1">SUMIF($A$37:$M$55,$A61,$L$37:$L$55)</f>
        <v>0</v>
      </c>
      <c r="M61" s="159">
        <f ca="1">SUMIF($A$37:$M$55,$A61,$M$37:$M$55)</f>
        <v>0</v>
      </c>
      <c r="Q61" s="156"/>
    </row>
    <row r="62" spans="1:20" ht="17">
      <c r="A62" s="680">
        <v>3</v>
      </c>
      <c r="B62" s="122"/>
      <c r="C62" s="546"/>
      <c r="D62" s="158"/>
      <c r="E62" s="159"/>
      <c r="F62" s="159"/>
      <c r="G62" s="159"/>
      <c r="H62" s="159"/>
      <c r="I62" s="159"/>
      <c r="J62" s="625"/>
      <c r="K62" s="159"/>
      <c r="L62" s="159"/>
      <c r="M62" s="159"/>
      <c r="Q62" s="156"/>
    </row>
    <row r="63" spans="1:20">
      <c r="B63" s="157"/>
      <c r="E63" s="137"/>
      <c r="F63" s="137"/>
      <c r="P63" s="43"/>
      <c r="Q63" s="155"/>
    </row>
    <row r="64" spans="1:20" ht="17">
      <c r="E64" s="137"/>
      <c r="F64" s="160"/>
      <c r="G64" s="160"/>
      <c r="H64" s="160"/>
      <c r="I64" s="688"/>
      <c r="J64" s="152"/>
      <c r="K64" s="152"/>
      <c r="L64" s="152"/>
      <c r="M64" s="151"/>
      <c r="N64" s="152"/>
      <c r="O64" s="152"/>
      <c r="P64" s="43"/>
      <c r="Q64" s="122"/>
    </row>
    <row r="65" spans="2:14">
      <c r="B65" s="162"/>
      <c r="C65" s="128"/>
      <c r="D65" s="136"/>
      <c r="E65" s="136"/>
      <c r="F65" s="136"/>
      <c r="G65" s="136"/>
      <c r="I65" s="161"/>
      <c r="J65" s="161"/>
    </row>
    <row r="66" spans="2:14">
      <c r="B66" s="162"/>
      <c r="C66" s="163"/>
      <c r="D66" s="163"/>
      <c r="E66" s="163"/>
      <c r="F66" s="163"/>
      <c r="G66" s="163"/>
      <c r="H66" s="163"/>
      <c r="M66" s="147"/>
    </row>
    <row r="67" spans="2:14">
      <c r="B67" s="164"/>
      <c r="C67" s="464" t="s">
        <v>121</v>
      </c>
      <c r="D67" s="464" t="s">
        <v>121</v>
      </c>
      <c r="E67" s="464" t="s">
        <v>121</v>
      </c>
      <c r="F67" s="464" t="s">
        <v>121</v>
      </c>
      <c r="G67" s="464" t="s">
        <v>121</v>
      </c>
      <c r="H67" s="464" t="s">
        <v>121</v>
      </c>
      <c r="I67" s="464" t="s">
        <v>121</v>
      </c>
      <c r="J67" s="464" t="s">
        <v>121</v>
      </c>
      <c r="K67" s="464" t="s">
        <v>121</v>
      </c>
      <c r="L67" s="464" t="s">
        <v>121</v>
      </c>
    </row>
    <row r="68" spans="2:14" ht="16">
      <c r="B68" s="164"/>
      <c r="C68" s="465">
        <v>2027</v>
      </c>
      <c r="D68" s="465">
        <f>C68+1</f>
        <v>2028</v>
      </c>
      <c r="E68" s="465">
        <f t="shared" ref="E68:K68" si="12">D68+1</f>
        <v>2029</v>
      </c>
      <c r="F68" s="465">
        <f t="shared" si="12"/>
        <v>2030</v>
      </c>
      <c r="G68" s="465">
        <f t="shared" si="12"/>
        <v>2031</v>
      </c>
      <c r="H68" s="465">
        <f t="shared" si="12"/>
        <v>2032</v>
      </c>
      <c r="I68" s="465">
        <f t="shared" si="12"/>
        <v>2033</v>
      </c>
      <c r="J68" s="465">
        <f t="shared" si="12"/>
        <v>2034</v>
      </c>
      <c r="K68" s="465">
        <f t="shared" si="12"/>
        <v>2035</v>
      </c>
      <c r="L68" s="626"/>
      <c r="M68" s="165"/>
    </row>
    <row r="69" spans="2:14" ht="18" customHeight="1">
      <c r="B69" s="784" t="s">
        <v>122</v>
      </c>
      <c r="C69" s="462"/>
      <c r="D69" s="462"/>
      <c r="E69" s="462"/>
      <c r="F69" s="462"/>
      <c r="G69" s="462"/>
      <c r="H69" s="462"/>
      <c r="I69" s="462"/>
      <c r="J69" s="462"/>
      <c r="K69" s="462"/>
      <c r="L69" s="627"/>
    </row>
    <row r="70" spans="2:14">
      <c r="B70" s="784" t="s">
        <v>123</v>
      </c>
      <c r="C70" s="463"/>
      <c r="D70" s="463"/>
      <c r="E70" s="463"/>
      <c r="F70" s="463"/>
      <c r="G70" s="463"/>
      <c r="H70" s="463"/>
      <c r="I70" s="463"/>
      <c r="J70" s="463"/>
      <c r="K70" s="463"/>
      <c r="L70" s="628"/>
    </row>
    <row r="71" spans="2:14" hidden="1">
      <c r="B71" s="166">
        <v>1</v>
      </c>
      <c r="C71" s="167">
        <f t="shared" ref="C71:L71" si="13">B71*C70+B71</f>
        <v>1</v>
      </c>
      <c r="D71" s="167">
        <f t="shared" si="13"/>
        <v>1</v>
      </c>
      <c r="E71" s="167">
        <f t="shared" si="13"/>
        <v>1</v>
      </c>
      <c r="F71" s="167">
        <f t="shared" si="13"/>
        <v>1</v>
      </c>
      <c r="G71" s="167">
        <f t="shared" si="13"/>
        <v>1</v>
      </c>
      <c r="H71" s="167">
        <f t="shared" si="13"/>
        <v>1</v>
      </c>
      <c r="I71" s="167">
        <f t="shared" si="13"/>
        <v>1</v>
      </c>
      <c r="J71" s="167">
        <f t="shared" si="13"/>
        <v>1</v>
      </c>
      <c r="K71" s="167">
        <f t="shared" si="13"/>
        <v>1</v>
      </c>
      <c r="L71" s="167">
        <f t="shared" si="13"/>
        <v>1</v>
      </c>
    </row>
    <row r="72" spans="2:14" hidden="1">
      <c r="B72" s="166"/>
      <c r="C72" s="610">
        <f>MAX(C71:L71)-1</f>
        <v>0</v>
      </c>
      <c r="D72" s="611"/>
      <c r="E72" s="611"/>
      <c r="F72" s="611"/>
      <c r="G72" s="611"/>
      <c r="H72" s="611"/>
      <c r="I72" s="611"/>
    </row>
    <row r="73" spans="2:14" ht="16" thickBot="1">
      <c r="C73" s="610"/>
      <c r="E73" s="137"/>
      <c r="F73" s="137"/>
    </row>
    <row r="74" spans="2:14">
      <c r="B74" s="186"/>
      <c r="C74" s="186"/>
      <c r="D74" s="186"/>
      <c r="E74" s="186"/>
      <c r="F74" s="186"/>
      <c r="G74" s="186"/>
      <c r="H74" s="186"/>
      <c r="I74" s="186"/>
      <c r="J74" s="186"/>
      <c r="K74" s="186"/>
      <c r="L74" s="186"/>
      <c r="M74" s="186"/>
      <c r="N74" s="186"/>
    </row>
    <row r="75" spans="2:14">
      <c r="B75" s="162"/>
      <c r="E75" s="137"/>
      <c r="F75" s="137"/>
    </row>
    <row r="76" spans="2:14"/>
    <row r="77" spans="2:14">
      <c r="E77" s="161"/>
    </row>
    <row r="78" spans="2:14">
      <c r="E78" s="161"/>
    </row>
    <row r="79" spans="2:14">
      <c r="E79" s="161"/>
    </row>
    <row r="80" spans="2:14">
      <c r="E80" s="161"/>
    </row>
    <row r="81" spans="1:6">
      <c r="E81" s="161"/>
    </row>
    <row r="82" spans="1:6">
      <c r="A82" s="624"/>
      <c r="B82" s="83"/>
      <c r="C82" s="666"/>
      <c r="D82" s="734"/>
      <c r="E82" s="732"/>
      <c r="F82" s="734"/>
    </row>
    <row r="83" spans="1:6">
      <c r="A83" s="624"/>
      <c r="B83" s="83"/>
      <c r="C83" s="666"/>
      <c r="D83" s="734"/>
      <c r="E83" s="732"/>
      <c r="F83" s="734"/>
    </row>
    <row r="84" spans="1:6">
      <c r="A84" s="624"/>
      <c r="B84" s="83"/>
      <c r="C84" s="666"/>
      <c r="D84" s="734"/>
      <c r="E84" s="732"/>
      <c r="F84" s="734"/>
    </row>
    <row r="85" spans="1:6">
      <c r="C85" s="732"/>
      <c r="E85" s="732"/>
    </row>
    <row r="86" spans="1:6">
      <c r="E86" s="161"/>
    </row>
    <row r="87" spans="1:6">
      <c r="E87" s="161"/>
    </row>
    <row r="88" spans="1:6"/>
    <row r="89" spans="1:6"/>
    <row r="90" spans="1:6"/>
    <row r="91" spans="1:6"/>
    <row r="92" spans="1:6"/>
    <row r="93" spans="1:6"/>
    <row r="94" spans="1:6"/>
    <row r="95" spans="1:6"/>
    <row r="96" spans="1: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</sheetData>
  <sortState xmlns:xlrd2="http://schemas.microsoft.com/office/spreadsheetml/2017/richdata2" ref="A17:XFD30">
    <sortCondition ref="D17:D30"/>
    <sortCondition ref="B17:B30"/>
  </sortState>
  <phoneticPr fontId="20"/>
  <conditionalFormatting sqref="D37:D56">
    <cfRule type="cellIs" dxfId="164" priority="131" operator="greaterThan">
      <formula>0</formula>
    </cfRule>
  </conditionalFormatting>
  <conditionalFormatting sqref="D59:M62">
    <cfRule type="cellIs" dxfId="163" priority="9" operator="greaterThan">
      <formula>0</formula>
    </cfRule>
  </conditionalFormatting>
  <conditionalFormatting sqref="E13:I30 K13:L30 E37:M56 C65:G65">
    <cfRule type="cellIs" dxfId="162" priority="46" operator="greaterThan">
      <formula>0</formula>
    </cfRule>
  </conditionalFormatting>
  <conditionalFormatting sqref="E31:L31 E32:M32 L57:M57 J64:L64 N64:O64">
    <cfRule type="cellIs" dxfId="161" priority="134" operator="greaterThan">
      <formula>0</formula>
    </cfRule>
  </conditionalFormatting>
  <conditionalFormatting sqref="I57:J57">
    <cfRule type="cellIs" dxfId="160" priority="38" operator="greaterThan">
      <formula>0</formula>
    </cfRule>
  </conditionalFormatting>
  <dataValidations count="1">
    <dataValidation allowBlank="1" showInputMessage="1" showErrorMessage="1" promptTitle="Toelichting" prompt="Hier dienen geen gegevens te worden ingevoerd._x000d_De gegevens worden automatisch ingevoerd nadat de kengetallen, de opbouw uurtarieven en het contractblad volledig zijn ingevuld._x000d_" sqref="F6" xr:uid="{00000000-0002-0000-0300-000000000000}"/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4" orientation="landscape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pageSetUpPr autoPageBreaks="0" fitToPage="1"/>
  </sheetPr>
  <dimension ref="A1:X91"/>
  <sheetViews>
    <sheetView showGridLines="0" showRowColHeaders="0" showZeros="0" showOutlineSymbols="0" topLeftCell="C53" zoomScale="103" zoomScaleNormal="100" zoomScaleSheetLayoutView="75" workbookViewId="0">
      <selection activeCell="I62" sqref="I62"/>
    </sheetView>
  </sheetViews>
  <sheetFormatPr baseColWidth="10" defaultColWidth="10.796875" defaultRowHeight="15"/>
  <cols>
    <col min="1" max="1" width="16.19921875" style="187" customWidth="1"/>
    <col min="2" max="2" width="33" style="187" bestFit="1" customWidth="1"/>
    <col min="3" max="3" width="21.3984375" style="220" bestFit="1" customWidth="1"/>
    <col min="4" max="4" width="7.59765625" style="220" hidden="1" customWidth="1"/>
    <col min="5" max="5" width="12.59765625" style="188" customWidth="1"/>
    <col min="6" max="6" width="37.59765625" style="226" customWidth="1"/>
    <col min="7" max="7" width="28.3984375" style="227" customWidth="1"/>
    <col min="8" max="9" width="15.796875" style="191" customWidth="1"/>
    <col min="10" max="10" width="14" style="192" bestFit="1" customWidth="1"/>
    <col min="11" max="11" width="13.59765625" style="233" bestFit="1" customWidth="1"/>
    <col min="12" max="12" width="10.19921875" style="233" hidden="1" customWidth="1"/>
    <col min="13" max="13" width="13.59765625" style="228" bestFit="1" customWidth="1"/>
    <col min="14" max="14" width="13.3984375" style="227" customWidth="1"/>
    <col min="15" max="15" width="67.796875" style="230" customWidth="1"/>
    <col min="16" max="16" width="10.19921875" style="240" customWidth="1"/>
    <col min="17" max="17" width="34.19921875" style="240" customWidth="1"/>
    <col min="18" max="18" width="26.19921875" style="187" customWidth="1"/>
    <col min="19" max="32" width="10.796875" style="187" customWidth="1"/>
    <col min="33" max="16384" width="10.796875" style="187"/>
  </cols>
  <sheetData>
    <row r="1" spans="1:24" s="3" customFormat="1" ht="9" customHeight="1" thickBot="1">
      <c r="A1" s="6"/>
      <c r="B1" s="30"/>
      <c r="C1" s="30"/>
      <c r="D1" s="49"/>
      <c r="E1" s="30"/>
      <c r="F1" s="30"/>
      <c r="G1" s="30"/>
      <c r="H1" s="30"/>
      <c r="I1" s="30"/>
      <c r="J1" s="30"/>
      <c r="K1" s="30"/>
      <c r="L1" s="30"/>
      <c r="M1" s="99"/>
      <c r="N1" s="99"/>
      <c r="O1" s="99"/>
      <c r="P1" s="100"/>
    </row>
    <row r="2" spans="1:24" s="3" customFormat="1" ht="8" customHeight="1">
      <c r="A2" s="6"/>
      <c r="B2" s="30"/>
      <c r="C2" s="102"/>
      <c r="D2" s="101"/>
      <c r="E2" s="102"/>
      <c r="F2" s="102"/>
      <c r="G2" s="102"/>
      <c r="H2" s="102"/>
      <c r="I2" s="102"/>
      <c r="J2" s="102"/>
      <c r="K2" s="102"/>
      <c r="L2" s="30"/>
      <c r="M2" s="99"/>
      <c r="N2" s="99"/>
      <c r="O2" s="99"/>
      <c r="P2" s="100"/>
    </row>
    <row r="3" spans="1:24">
      <c r="C3" s="188"/>
      <c r="D3" s="188"/>
      <c r="F3" s="189"/>
      <c r="G3" s="190"/>
      <c r="K3" s="193"/>
      <c r="L3" s="193"/>
      <c r="M3" s="194"/>
      <c r="N3" s="190"/>
      <c r="O3" s="195"/>
      <c r="P3" s="196"/>
      <c r="Q3" s="196"/>
    </row>
    <row r="4" spans="1:24" ht="17">
      <c r="A4" s="505" t="s">
        <v>161</v>
      </c>
      <c r="B4" s="43"/>
      <c r="C4" s="266" t="s">
        <v>27</v>
      </c>
      <c r="D4" s="187"/>
      <c r="E4" s="187"/>
      <c r="F4" s="245" t="s">
        <v>84</v>
      </c>
      <c r="G4" s="199"/>
      <c r="K4" s="193"/>
      <c r="L4" s="193"/>
      <c r="M4" s="194"/>
      <c r="N4" s="190"/>
      <c r="O4" s="195"/>
      <c r="P4" s="196"/>
      <c r="Q4" s="196"/>
    </row>
    <row r="5" spans="1:24" s="200" customFormat="1" ht="18" thickBot="1">
      <c r="A5" s="524"/>
      <c r="B5" s="506" t="s">
        <v>153</v>
      </c>
      <c r="C5" s="266" t="s">
        <v>85</v>
      </c>
      <c r="F5" s="201" t="str">
        <f>Voorblad!$E$16</f>
        <v>Stichting Opspoor</v>
      </c>
      <c r="G5" s="199"/>
      <c r="H5" s="191"/>
      <c r="I5" s="191"/>
      <c r="J5" s="192"/>
      <c r="K5" s="202"/>
      <c r="L5" s="202"/>
      <c r="M5" s="203"/>
      <c r="N5" s="199"/>
      <c r="O5" s="204"/>
      <c r="P5" s="205"/>
      <c r="Q5" s="205"/>
      <c r="R5" s="206"/>
    </row>
    <row r="6" spans="1:24" s="200" customFormat="1" ht="18" thickBot="1">
      <c r="A6" s="632"/>
      <c r="B6" s="506" t="s">
        <v>384</v>
      </c>
      <c r="C6" s="266" t="s">
        <v>33</v>
      </c>
      <c r="F6" s="201" t="str">
        <f>'1.0-Contractblad'!$E$7</f>
        <v>Purmerend e.o.</v>
      </c>
      <c r="G6" s="199"/>
      <c r="H6" s="191"/>
      <c r="I6" s="191"/>
      <c r="J6" s="192"/>
      <c r="K6" s="202"/>
      <c r="L6" s="202"/>
      <c r="M6" s="203"/>
      <c r="N6" s="199"/>
      <c r="O6" s="204"/>
      <c r="P6" s="205"/>
      <c r="Q6" s="205"/>
      <c r="R6" s="206"/>
    </row>
    <row r="7" spans="1:24" s="200" customFormat="1" ht="18" thickBot="1">
      <c r="A7" s="534"/>
      <c r="B7" s="506" t="s">
        <v>272</v>
      </c>
      <c r="C7" s="266" t="s">
        <v>114</v>
      </c>
      <c r="F7" s="207" t="str">
        <f>Voorblad!$E$24</f>
        <v>1501-102-2026</v>
      </c>
      <c r="G7" s="208"/>
      <c r="H7" s="209"/>
      <c r="I7" s="210"/>
      <c r="J7" s="211"/>
      <c r="K7" s="202"/>
      <c r="L7" s="202"/>
      <c r="M7" s="203"/>
      <c r="N7" s="199"/>
      <c r="O7" s="204"/>
      <c r="P7" s="205"/>
      <c r="Q7" s="205"/>
      <c r="R7" s="206"/>
    </row>
    <row r="8" spans="1:24" s="200" customFormat="1" ht="17">
      <c r="A8" s="690"/>
      <c r="B8" s="506" t="s">
        <v>479</v>
      </c>
      <c r="C8" s="266" t="s">
        <v>145</v>
      </c>
      <c r="F8" s="212" t="str">
        <f ca="1">Voorblad!$E$26</f>
        <v>Calculatiemodule Opspoor Perceel 2 V1.1 | 01-jan-27 Wijziging bijgehouden</v>
      </c>
      <c r="G8" s="208"/>
      <c r="H8" s="213"/>
      <c r="I8" s="210"/>
      <c r="J8" s="211"/>
      <c r="K8" s="211"/>
      <c r="L8" s="211"/>
      <c r="M8" s="214"/>
      <c r="N8" s="199"/>
      <c r="O8" s="215"/>
      <c r="P8" s="205"/>
      <c r="Q8" s="205"/>
      <c r="R8" s="206"/>
    </row>
    <row r="9" spans="1:24" s="200" customFormat="1" ht="17">
      <c r="C9" s="266" t="s">
        <v>83</v>
      </c>
      <c r="F9" s="246" t="str">
        <f>Voorblad!$E$19</f>
        <v>Naam organisatie</v>
      </c>
      <c r="G9" s="206"/>
      <c r="H9" s="217"/>
      <c r="I9" s="218"/>
      <c r="J9" s="211"/>
      <c r="K9" s="211"/>
      <c r="L9" s="211"/>
      <c r="M9" s="214"/>
      <c r="N9" s="199"/>
      <c r="O9" s="215"/>
      <c r="P9" s="205"/>
      <c r="Q9" s="205"/>
    </row>
    <row r="10" spans="1:24" s="200" customFormat="1" ht="17">
      <c r="C10" s="266" t="s">
        <v>6</v>
      </c>
      <c r="F10" s="219">
        <f>Voorblad!$E$22</f>
        <v>46388</v>
      </c>
      <c r="G10" s="206"/>
      <c r="H10" s="217"/>
      <c r="I10" s="218"/>
      <c r="J10" s="211"/>
      <c r="K10" s="211"/>
      <c r="L10" s="211"/>
      <c r="M10" s="214"/>
      <c r="N10" s="199"/>
      <c r="O10" s="215"/>
      <c r="P10" s="205"/>
      <c r="Q10" s="205"/>
    </row>
    <row r="11" spans="1:24" ht="17">
      <c r="E11" s="221"/>
      <c r="F11" s="222"/>
      <c r="G11" s="223"/>
      <c r="I11" s="222"/>
      <c r="J11" s="222"/>
      <c r="K11" s="191"/>
      <c r="L11" s="191"/>
      <c r="M11" s="222"/>
      <c r="N11" s="191"/>
      <c r="O11" s="224"/>
      <c r="P11" s="191"/>
      <c r="Q11" s="222"/>
      <c r="S11" s="200"/>
      <c r="T11" s="200"/>
      <c r="U11" s="200"/>
      <c r="V11" s="200"/>
      <c r="W11" s="200"/>
      <c r="X11" s="200"/>
    </row>
    <row r="12" spans="1:24" s="247" customFormat="1" ht="48">
      <c r="A12" s="187"/>
      <c r="B12" s="200"/>
      <c r="C12" s="721" t="s">
        <v>258</v>
      </c>
      <c r="D12" s="722"/>
      <c r="E12" s="568" t="s">
        <v>24</v>
      </c>
      <c r="F12" s="723" t="s">
        <v>120</v>
      </c>
      <c r="G12" s="569" t="s">
        <v>72</v>
      </c>
      <c r="H12" s="724" t="s">
        <v>215</v>
      </c>
      <c r="I12" s="724" t="s">
        <v>232</v>
      </c>
      <c r="J12" s="725" t="s">
        <v>12</v>
      </c>
      <c r="K12" s="726" t="s">
        <v>78</v>
      </c>
      <c r="L12" s="726"/>
      <c r="M12" s="726" t="s">
        <v>50</v>
      </c>
      <c r="N12" s="727" t="s">
        <v>93</v>
      </c>
      <c r="O12" s="727" t="s">
        <v>51</v>
      </c>
      <c r="P12" s="727" t="s">
        <v>67</v>
      </c>
      <c r="Q12" s="249"/>
      <c r="S12" s="200"/>
      <c r="T12" s="200"/>
      <c r="U12" s="200"/>
      <c r="V12" s="250"/>
      <c r="W12" s="250"/>
      <c r="X12" s="250"/>
    </row>
    <row r="13" spans="1:24" ht="16" customHeight="1">
      <c r="B13" s="200"/>
      <c r="C13" s="645">
        <v>0</v>
      </c>
      <c r="D13" s="645">
        <v>0</v>
      </c>
      <c r="E13" s="645">
        <v>0</v>
      </c>
      <c r="F13" s="646"/>
      <c r="G13" s="647"/>
      <c r="H13" s="648"/>
      <c r="I13" s="648"/>
      <c r="J13" s="649"/>
      <c r="K13" s="649"/>
      <c r="L13" s="649"/>
      <c r="M13" s="650"/>
      <c r="N13" s="651"/>
      <c r="O13" s="652"/>
      <c r="P13" s="653"/>
      <c r="Q13" s="187"/>
      <c r="S13" s="200"/>
      <c r="T13" s="200"/>
      <c r="U13" s="200"/>
      <c r="V13" s="200"/>
      <c r="W13" s="200"/>
      <c r="X13" s="200"/>
    </row>
    <row r="14" spans="1:24" ht="17">
      <c r="C14" s="654">
        <v>1040</v>
      </c>
      <c r="D14" s="655"/>
      <c r="E14" s="656">
        <v>40</v>
      </c>
      <c r="F14" s="657" t="s">
        <v>404</v>
      </c>
      <c r="G14" s="658" t="s">
        <v>405</v>
      </c>
      <c r="H14" s="711"/>
      <c r="I14" s="711"/>
      <c r="J14" s="466">
        <f t="shared" ref="J14:J44" si="0">IF(H14=0,0,E14/SUM(H14+I14))</f>
        <v>0</v>
      </c>
      <c r="K14" s="467">
        <f>SUMIF('1.3-Basis ruimtestaat'!M:M,'1.2-Kengetal'!C14,Meters)</f>
        <v>823.28624130124649</v>
      </c>
      <c r="L14" s="467"/>
      <c r="M14" s="467">
        <f>SUMIF('1.3-Basis ruimtestaat'!M:M,'1.2-Kengetal'!C14,'1.3-Basis ruimtestaat'!L:L)</f>
        <v>0</v>
      </c>
      <c r="N14" s="659">
        <f t="shared" ref="N14" si="1">IF(K14=0,"",K14/$M$74)</f>
        <v>4.0710163757880391E-2</v>
      </c>
      <c r="O14" s="660"/>
      <c r="P14" s="653" t="s">
        <v>47</v>
      </c>
      <c r="Q14" s="187"/>
      <c r="S14" s="200"/>
      <c r="T14" s="200"/>
      <c r="U14" s="200"/>
      <c r="V14" s="200"/>
      <c r="W14" s="200"/>
      <c r="X14" s="200"/>
    </row>
    <row r="15" spans="1:24" ht="17">
      <c r="C15" s="654">
        <v>1200</v>
      </c>
      <c r="D15" s="655"/>
      <c r="E15" s="656">
        <v>200</v>
      </c>
      <c r="F15" s="657" t="s">
        <v>404</v>
      </c>
      <c r="G15" s="658" t="s">
        <v>407</v>
      </c>
      <c r="H15" s="711"/>
      <c r="I15" s="711"/>
      <c r="J15" s="466">
        <f t="shared" ref="J15" si="2">IF(H15=0,0,E15/SUM(H15+I15))</f>
        <v>0</v>
      </c>
      <c r="K15" s="467">
        <f>SUMIF('1.3-Basis ruimtestaat'!M:M,'1.2-Kengetal'!C15,Meters)</f>
        <v>335.10069667525943</v>
      </c>
      <c r="L15" s="467"/>
      <c r="M15" s="467">
        <f>SUMIF('1.3-Basis ruimtestaat'!M:M,'1.2-Kengetal'!C15,'1.3-Basis ruimtestaat'!L:L)</f>
        <v>0</v>
      </c>
      <c r="N15" s="659">
        <f t="shared" ref="N15:N61" si="3">IF(K15=0,"",K15/$M$74)</f>
        <v>1.6570183676904066E-2</v>
      </c>
      <c r="O15" s="660"/>
      <c r="P15" s="653" t="s">
        <v>47</v>
      </c>
      <c r="Q15" s="187"/>
      <c r="S15" s="200"/>
      <c r="T15" s="200"/>
      <c r="U15" s="200"/>
      <c r="V15" s="200"/>
      <c r="W15" s="200"/>
      <c r="X15" s="200"/>
    </row>
    <row r="16" spans="1:24" ht="17">
      <c r="C16" s="654">
        <v>1210</v>
      </c>
      <c r="D16" s="655"/>
      <c r="E16" s="656">
        <v>210</v>
      </c>
      <c r="F16" s="657" t="s">
        <v>404</v>
      </c>
      <c r="G16" s="658" t="s">
        <v>939</v>
      </c>
      <c r="H16" s="711"/>
      <c r="I16" s="711"/>
      <c r="J16" s="466">
        <f t="shared" si="0"/>
        <v>0</v>
      </c>
      <c r="K16" s="467">
        <f>SUMIF('1.3-Basis ruimtestaat'!M:M,'1.2-Kengetal'!C16,Meters)</f>
        <v>0</v>
      </c>
      <c r="L16" s="467"/>
      <c r="M16" s="467">
        <f>SUMIF('1.3-Basis ruimtestaat'!M:M,'1.2-Kengetal'!C16,'1.3-Basis ruimtestaat'!L:L)</f>
        <v>0</v>
      </c>
      <c r="N16" s="659" t="str">
        <f t="shared" si="3"/>
        <v/>
      </c>
      <c r="O16" s="660" t="s">
        <v>938</v>
      </c>
      <c r="P16" s="653" t="s">
        <v>47</v>
      </c>
      <c r="Q16" s="187"/>
      <c r="S16" s="200"/>
      <c r="T16" s="200"/>
      <c r="U16" s="200"/>
      <c r="V16" s="200"/>
      <c r="W16" s="200"/>
      <c r="X16" s="200"/>
    </row>
    <row r="17" spans="1:24" ht="17">
      <c r="C17" s="789">
        <v>1260</v>
      </c>
      <c r="D17" s="655"/>
      <c r="E17" s="656">
        <v>260</v>
      </c>
      <c r="F17" s="657" t="s">
        <v>404</v>
      </c>
      <c r="G17" s="658" t="s">
        <v>408</v>
      </c>
      <c r="H17" s="711"/>
      <c r="I17" s="711"/>
      <c r="J17" s="466">
        <f t="shared" si="0"/>
        <v>0</v>
      </c>
      <c r="K17" s="467">
        <f>SUMIF('1.3-Basis ruimtestaat'!M:M,'1.2-Kengetal'!C17,Meters)</f>
        <v>166.16398990312899</v>
      </c>
      <c r="L17" s="467"/>
      <c r="M17" s="467">
        <f>SUMIF('1.3-Basis ruimtestaat'!M:M,'1.2-Kengetal'!C17,'1.3-Basis ruimtestaat'!L:L)</f>
        <v>0</v>
      </c>
      <c r="N17" s="659">
        <f t="shared" si="3"/>
        <v>8.2165386718080248E-3</v>
      </c>
      <c r="O17" s="660"/>
      <c r="P17" s="653" t="s">
        <v>47</v>
      </c>
      <c r="Q17" s="187"/>
      <c r="S17" s="200"/>
      <c r="T17" s="200"/>
      <c r="U17" s="200"/>
      <c r="V17" s="200"/>
      <c r="W17" s="200"/>
      <c r="X17" s="200"/>
    </row>
    <row r="18" spans="1:24" ht="17">
      <c r="C18" s="654">
        <v>2040</v>
      </c>
      <c r="D18" s="655"/>
      <c r="E18" s="656">
        <v>40</v>
      </c>
      <c r="F18" s="657" t="s">
        <v>702</v>
      </c>
      <c r="G18" s="658" t="s">
        <v>405</v>
      </c>
      <c r="H18" s="711"/>
      <c r="I18" s="711"/>
      <c r="J18" s="466">
        <f t="shared" si="0"/>
        <v>0</v>
      </c>
      <c r="K18" s="467">
        <f>SUMIF('1.3-Basis ruimtestaat'!M:M,'1.2-Kengetal'!C18,Meters)</f>
        <v>35.337011875676637</v>
      </c>
      <c r="L18" s="467"/>
      <c r="M18" s="467">
        <f>SUMIF('1.3-Basis ruimtestaat'!M:M,'1.2-Kengetal'!C18,'1.3-Basis ruimtestaat'!L:L)</f>
        <v>0</v>
      </c>
      <c r="N18" s="659">
        <f t="shared" si="3"/>
        <v>1.7473576843689469E-3</v>
      </c>
      <c r="O18" s="660"/>
      <c r="P18" s="653" t="s">
        <v>47</v>
      </c>
      <c r="Q18" s="187"/>
      <c r="S18" s="200"/>
      <c r="T18" s="200"/>
      <c r="U18" s="200"/>
      <c r="V18" s="200"/>
      <c r="W18" s="200"/>
      <c r="X18" s="200"/>
    </row>
    <row r="19" spans="1:24" ht="17">
      <c r="C19" s="654">
        <v>2200</v>
      </c>
      <c r="D19" s="655"/>
      <c r="E19" s="656">
        <v>200</v>
      </c>
      <c r="F19" s="657" t="s">
        <v>702</v>
      </c>
      <c r="G19" s="658" t="s">
        <v>407</v>
      </c>
      <c r="H19" s="711"/>
      <c r="I19" s="711"/>
      <c r="J19" s="466">
        <f t="shared" si="0"/>
        <v>0</v>
      </c>
      <c r="K19" s="467">
        <f>SUMIF('1.3-Basis ruimtestaat'!M:M,'1.2-Kengetal'!C19,Meters)</f>
        <v>1932.3706165092253</v>
      </c>
      <c r="L19" s="467"/>
      <c r="M19" s="467">
        <f>SUMIF('1.3-Basis ruimtestaat'!M:M,'1.2-Kengetal'!C19,'1.3-Basis ruimtestaat'!L:L)</f>
        <v>0</v>
      </c>
      <c r="N19" s="659">
        <f t="shared" si="3"/>
        <v>9.5552579762136422E-2</v>
      </c>
      <c r="O19" s="660"/>
      <c r="P19" s="653" t="s">
        <v>47</v>
      </c>
      <c r="Q19" s="187"/>
      <c r="S19" s="200"/>
      <c r="T19" s="200"/>
      <c r="U19" s="200"/>
      <c r="V19" s="200"/>
      <c r="W19" s="200"/>
      <c r="X19" s="200"/>
    </row>
    <row r="20" spans="1:24" ht="17">
      <c r="C20" s="654">
        <v>2210</v>
      </c>
      <c r="D20" s="655"/>
      <c r="E20" s="656">
        <v>210</v>
      </c>
      <c r="F20" s="657" t="s">
        <v>702</v>
      </c>
      <c r="G20" s="658" t="s">
        <v>939</v>
      </c>
      <c r="H20" s="711"/>
      <c r="I20" s="711"/>
      <c r="J20" s="466">
        <f t="shared" si="0"/>
        <v>0</v>
      </c>
      <c r="K20" s="467">
        <f>SUMIF('1.3-Basis ruimtestaat'!M:M,'1.2-Kengetal'!C20,Meters)</f>
        <v>0</v>
      </c>
      <c r="L20" s="467"/>
      <c r="M20" s="467">
        <f>SUMIF('1.3-Basis ruimtestaat'!M:M,'1.2-Kengetal'!C20,'1.3-Basis ruimtestaat'!L:L)</f>
        <v>0</v>
      </c>
      <c r="N20" s="659" t="str">
        <f t="shared" si="3"/>
        <v/>
      </c>
      <c r="O20" s="660" t="s">
        <v>938</v>
      </c>
      <c r="P20" s="653" t="s">
        <v>47</v>
      </c>
      <c r="Q20" s="187"/>
      <c r="S20" s="200"/>
      <c r="T20" s="200"/>
      <c r="U20" s="200"/>
      <c r="V20" s="200"/>
      <c r="W20" s="200"/>
      <c r="X20" s="200"/>
    </row>
    <row r="21" spans="1:24" s="225" customFormat="1" ht="17">
      <c r="A21" s="187"/>
      <c r="B21" s="187"/>
      <c r="C21" s="789">
        <v>2260</v>
      </c>
      <c r="D21" s="655"/>
      <c r="E21" s="656">
        <v>260</v>
      </c>
      <c r="F21" s="657" t="s">
        <v>702</v>
      </c>
      <c r="G21" s="658" t="s">
        <v>408</v>
      </c>
      <c r="H21" s="711"/>
      <c r="I21" s="711"/>
      <c r="J21" s="466">
        <f t="shared" si="0"/>
        <v>0</v>
      </c>
      <c r="K21" s="467">
        <f>SUMIF('1.3-Basis ruimtestaat'!M:M,'1.2-Kengetal'!C21,Meters)</f>
        <v>84.2982245242505</v>
      </c>
      <c r="L21" s="467"/>
      <c r="M21" s="467">
        <f>SUMIF('1.3-Basis ruimtestaat'!M:M,'1.2-Kengetal'!C21,'1.3-Basis ruimtestaat'!L:L)</f>
        <v>0</v>
      </c>
      <c r="N21" s="659">
        <f t="shared" si="3"/>
        <v>4.1684099074177144E-3</v>
      </c>
      <c r="O21" s="660"/>
      <c r="P21" s="653" t="s">
        <v>47</v>
      </c>
      <c r="S21" s="200"/>
      <c r="T21" s="200"/>
      <c r="U21" s="200"/>
      <c r="V21" s="200"/>
      <c r="W21" s="200"/>
      <c r="X21" s="200"/>
    </row>
    <row r="22" spans="1:24" s="225" customFormat="1" ht="17">
      <c r="A22" s="187"/>
      <c r="B22" s="200"/>
      <c r="C22" s="654">
        <v>3040</v>
      </c>
      <c r="D22" s="655"/>
      <c r="E22" s="656">
        <v>40</v>
      </c>
      <c r="F22" s="657" t="s">
        <v>409</v>
      </c>
      <c r="G22" s="658" t="s">
        <v>405</v>
      </c>
      <c r="H22" s="711"/>
      <c r="I22" s="711"/>
      <c r="J22" s="466">
        <f t="shared" si="0"/>
        <v>0</v>
      </c>
      <c r="K22" s="467">
        <f>SUMIF('1.3-Basis ruimtestaat'!M:M,'1.2-Kengetal'!C22,Meters)</f>
        <v>8.0233795013850404</v>
      </c>
      <c r="L22" s="467"/>
      <c r="M22" s="467">
        <f>SUMIF('1.3-Basis ruimtestaat'!M:M,'1.2-Kengetal'!C22,'1.3-Basis ruimtestaat'!L:L)</f>
        <v>0</v>
      </c>
      <c r="N22" s="659">
        <f t="shared" si="3"/>
        <v>3.9674304878063455E-4</v>
      </c>
      <c r="O22" s="660"/>
      <c r="P22" s="653" t="s">
        <v>47</v>
      </c>
      <c r="S22" s="200"/>
      <c r="T22" s="200"/>
      <c r="U22" s="200"/>
      <c r="V22" s="200"/>
      <c r="W22" s="200"/>
      <c r="X22" s="200"/>
    </row>
    <row r="23" spans="1:24" s="225" customFormat="1" ht="17">
      <c r="A23" s="187"/>
      <c r="B23" s="200"/>
      <c r="C23" s="654">
        <v>3200</v>
      </c>
      <c r="D23" s="655"/>
      <c r="E23" s="656">
        <v>200</v>
      </c>
      <c r="F23" s="657" t="s">
        <v>409</v>
      </c>
      <c r="G23" s="658" t="s">
        <v>407</v>
      </c>
      <c r="H23" s="711"/>
      <c r="I23" s="711"/>
      <c r="J23" s="466">
        <f t="shared" si="0"/>
        <v>0</v>
      </c>
      <c r="K23" s="467">
        <f>SUMIF('1.3-Basis ruimtestaat'!M:M,'1.2-Kengetal'!C23,Meters)</f>
        <v>2872.6419426457587</v>
      </c>
      <c r="L23" s="467"/>
      <c r="M23" s="467">
        <f>SUMIF('1.3-Basis ruimtestaat'!M:M,'1.2-Kengetal'!C23,'1.3-Basis ruimtestaat'!L:L)</f>
        <v>0</v>
      </c>
      <c r="N23" s="659">
        <f t="shared" si="3"/>
        <v>0.14204746543319577</v>
      </c>
      <c r="O23" s="660"/>
      <c r="P23" s="653" t="s">
        <v>47</v>
      </c>
      <c r="S23" s="200"/>
      <c r="T23" s="200"/>
      <c r="U23" s="200"/>
      <c r="V23" s="200"/>
      <c r="W23" s="200"/>
      <c r="X23" s="200"/>
    </row>
    <row r="24" spans="1:24" s="225" customFormat="1" ht="17">
      <c r="A24" s="187"/>
      <c r="B24" s="200"/>
      <c r="C24" s="654">
        <v>3210</v>
      </c>
      <c r="D24" s="655"/>
      <c r="E24" s="656">
        <v>210</v>
      </c>
      <c r="F24" s="657" t="s">
        <v>409</v>
      </c>
      <c r="G24" s="658" t="s">
        <v>939</v>
      </c>
      <c r="H24" s="711"/>
      <c r="I24" s="711"/>
      <c r="J24" s="466">
        <f t="shared" si="0"/>
        <v>0</v>
      </c>
      <c r="K24" s="467">
        <f>SUMIF('1.3-Basis ruimtestaat'!M:M,'1.2-Kengetal'!C24,Meters)</f>
        <v>0</v>
      </c>
      <c r="L24" s="467"/>
      <c r="M24" s="467">
        <f>SUMIF('1.3-Basis ruimtestaat'!M:M,'1.2-Kengetal'!C24,'1.3-Basis ruimtestaat'!L:L)</f>
        <v>0</v>
      </c>
      <c r="N24" s="659" t="str">
        <f t="shared" si="3"/>
        <v/>
      </c>
      <c r="O24" s="660" t="s">
        <v>938</v>
      </c>
      <c r="P24" s="653" t="s">
        <v>47</v>
      </c>
      <c r="S24" s="200"/>
      <c r="T24" s="200"/>
      <c r="U24" s="200"/>
      <c r="V24" s="200"/>
      <c r="W24" s="200"/>
      <c r="X24" s="200"/>
    </row>
    <row r="25" spans="1:24" s="225" customFormat="1" ht="17">
      <c r="A25" s="187"/>
      <c r="B25" s="200"/>
      <c r="C25" s="789">
        <v>3260</v>
      </c>
      <c r="D25" s="655"/>
      <c r="E25" s="656">
        <v>260</v>
      </c>
      <c r="F25" s="657" t="s">
        <v>409</v>
      </c>
      <c r="G25" s="658" t="s">
        <v>408</v>
      </c>
      <c r="H25" s="711"/>
      <c r="I25" s="711"/>
      <c r="J25" s="466">
        <f t="shared" si="0"/>
        <v>0</v>
      </c>
      <c r="K25" s="467">
        <f>SUMIF('1.3-Basis ruimtestaat'!M:M,'1.2-Kengetal'!C25,Meters)</f>
        <v>191.34344270603356</v>
      </c>
      <c r="L25" s="467"/>
      <c r="M25" s="467">
        <f>SUMIF('1.3-Basis ruimtestaat'!M:M,'1.2-Kengetal'!C25,'1.3-Basis ruimtestaat'!L:L)</f>
        <v>0</v>
      </c>
      <c r="N25" s="659">
        <f t="shared" si="3"/>
        <v>9.4616216034988376E-3</v>
      </c>
      <c r="O25" s="660"/>
      <c r="P25" s="653" t="s">
        <v>47</v>
      </c>
      <c r="S25" s="200"/>
      <c r="T25" s="200"/>
      <c r="U25" s="200"/>
      <c r="V25" s="200"/>
      <c r="W25" s="200"/>
      <c r="X25" s="200"/>
    </row>
    <row r="26" spans="1:24" s="225" customFormat="1" ht="17">
      <c r="A26" s="187"/>
      <c r="B26" s="200"/>
      <c r="C26" s="654">
        <v>4080</v>
      </c>
      <c r="D26" s="655"/>
      <c r="E26" s="656">
        <v>80</v>
      </c>
      <c r="F26" s="657" t="s">
        <v>290</v>
      </c>
      <c r="G26" s="658" t="s">
        <v>406</v>
      </c>
      <c r="H26" s="711"/>
      <c r="I26" s="711"/>
      <c r="J26" s="466">
        <f t="shared" si="0"/>
        <v>0</v>
      </c>
      <c r="K26" s="467">
        <f>SUMIF('1.3-Basis ruimtestaat'!M:M,'1.2-Kengetal'!C26,Meters)</f>
        <v>0</v>
      </c>
      <c r="L26" s="467"/>
      <c r="M26" s="467">
        <f>SUMIF('1.3-Basis ruimtestaat'!M:M,'1.2-Kengetal'!C26,'1.3-Basis ruimtestaat'!L:L)</f>
        <v>0</v>
      </c>
      <c r="N26" s="659" t="str">
        <f t="shared" si="3"/>
        <v/>
      </c>
      <c r="O26" s="660"/>
      <c r="P26" s="653" t="s">
        <v>379</v>
      </c>
      <c r="S26" s="200"/>
      <c r="T26" s="200"/>
      <c r="U26" s="200"/>
      <c r="V26" s="200"/>
      <c r="W26" s="200"/>
      <c r="X26" s="200"/>
    </row>
    <row r="27" spans="1:24" s="225" customFormat="1" ht="17">
      <c r="A27" s="187"/>
      <c r="B27" s="200"/>
      <c r="C27" s="654">
        <v>4200</v>
      </c>
      <c r="D27" s="655"/>
      <c r="E27" s="656">
        <v>200</v>
      </c>
      <c r="F27" s="657" t="s">
        <v>290</v>
      </c>
      <c r="G27" s="658" t="s">
        <v>407</v>
      </c>
      <c r="H27" s="711"/>
      <c r="I27" s="711"/>
      <c r="J27" s="466">
        <f t="shared" si="0"/>
        <v>0</v>
      </c>
      <c r="K27" s="467">
        <f>SUMIF('1.3-Basis ruimtestaat'!M:M,'1.2-Kengetal'!C27,Meters)</f>
        <v>675.4160947141927</v>
      </c>
      <c r="L27" s="467"/>
      <c r="M27" s="467">
        <f>SUMIF('1.3-Basis ruimtestaat'!M:M,'1.2-Kengetal'!C27,'1.3-Basis ruimtestaat'!L:L)</f>
        <v>0</v>
      </c>
      <c r="N27" s="659">
        <f t="shared" si="3"/>
        <v>3.3398225843132658E-2</v>
      </c>
      <c r="O27" s="660"/>
      <c r="P27" s="653" t="s">
        <v>379</v>
      </c>
      <c r="S27" s="200"/>
      <c r="T27" s="200"/>
      <c r="U27" s="200"/>
      <c r="V27" s="200"/>
      <c r="W27" s="200"/>
      <c r="X27" s="200"/>
    </row>
    <row r="28" spans="1:24" s="225" customFormat="1" ht="17">
      <c r="A28" s="187"/>
      <c r="B28" s="200"/>
      <c r="C28" s="654">
        <v>4208</v>
      </c>
      <c r="D28" s="655"/>
      <c r="E28" s="656">
        <v>208</v>
      </c>
      <c r="F28" s="657" t="s">
        <v>290</v>
      </c>
      <c r="G28" s="658" t="s">
        <v>714</v>
      </c>
      <c r="H28" s="711"/>
      <c r="I28" s="711"/>
      <c r="J28" s="466">
        <f t="shared" si="0"/>
        <v>0</v>
      </c>
      <c r="K28" s="467">
        <f>SUMIF('1.3-Basis ruimtestaat'!M:M,'1.2-Kengetal'!C28,Meters)</f>
        <v>0</v>
      </c>
      <c r="L28" s="467"/>
      <c r="M28" s="467">
        <f>SUMIF('1.3-Basis ruimtestaat'!M:M,'1.2-Kengetal'!C28,'1.3-Basis ruimtestaat'!L:L)</f>
        <v>0</v>
      </c>
      <c r="N28" s="659" t="str">
        <f t="shared" si="3"/>
        <v/>
      </c>
      <c r="O28" s="660"/>
      <c r="P28" s="653" t="s">
        <v>379</v>
      </c>
      <c r="S28" s="200"/>
      <c r="T28" s="200"/>
      <c r="U28" s="200"/>
      <c r="V28" s="200"/>
      <c r="W28" s="200"/>
      <c r="X28" s="200"/>
    </row>
    <row r="29" spans="1:24" s="225" customFormat="1" ht="17">
      <c r="A29" s="187"/>
      <c r="B29" s="200"/>
      <c r="C29" s="654">
        <v>4210</v>
      </c>
      <c r="D29" s="655"/>
      <c r="E29" s="656">
        <v>210</v>
      </c>
      <c r="F29" s="657" t="s">
        <v>290</v>
      </c>
      <c r="G29" s="658" t="s">
        <v>939</v>
      </c>
      <c r="H29" s="711"/>
      <c r="I29" s="711"/>
      <c r="J29" s="466">
        <f t="shared" si="0"/>
        <v>0</v>
      </c>
      <c r="K29" s="467">
        <f>SUMIF('1.3-Basis ruimtestaat'!M:M,'1.2-Kengetal'!C29,Meters)</f>
        <v>0</v>
      </c>
      <c r="L29" s="467"/>
      <c r="M29" s="467">
        <f>SUMIF('1.3-Basis ruimtestaat'!M:M,'1.2-Kengetal'!C29,'1.3-Basis ruimtestaat'!L:L)</f>
        <v>0</v>
      </c>
      <c r="N29" s="659" t="str">
        <f t="shared" si="3"/>
        <v/>
      </c>
      <c r="O29" s="660" t="s">
        <v>938</v>
      </c>
      <c r="P29" s="653" t="s">
        <v>379</v>
      </c>
      <c r="S29" s="200"/>
      <c r="T29" s="200"/>
      <c r="U29" s="200"/>
      <c r="V29" s="200"/>
      <c r="W29" s="200"/>
      <c r="X29" s="200"/>
    </row>
    <row r="30" spans="1:24" s="225" customFormat="1" ht="17">
      <c r="A30" s="187"/>
      <c r="B30" s="200"/>
      <c r="C30" s="789">
        <v>4260</v>
      </c>
      <c r="D30" s="655"/>
      <c r="E30" s="656">
        <v>260</v>
      </c>
      <c r="F30" s="657" t="s">
        <v>290</v>
      </c>
      <c r="G30" s="658" t="s">
        <v>408</v>
      </c>
      <c r="H30" s="711"/>
      <c r="I30" s="711"/>
      <c r="J30" s="466">
        <f t="shared" si="0"/>
        <v>0</v>
      </c>
      <c r="K30" s="467">
        <f>SUMIF('1.3-Basis ruimtestaat'!M:M,'1.2-Kengetal'!C30,Meters)</f>
        <v>88.995561849243956</v>
      </c>
      <c r="L30" s="467"/>
      <c r="M30" s="467">
        <f>SUMIF('1.3-Basis ruimtestaat'!M:M,'1.2-Kengetal'!C30,'1.3-Basis ruimtestaat'!L:L)</f>
        <v>0</v>
      </c>
      <c r="N30" s="659">
        <f t="shared" si="3"/>
        <v>4.4006855876528644E-3</v>
      </c>
      <c r="O30" s="660"/>
      <c r="P30" s="653" t="s">
        <v>379</v>
      </c>
      <c r="S30" s="200"/>
      <c r="T30" s="200"/>
      <c r="U30" s="200"/>
      <c r="V30" s="200"/>
      <c r="W30" s="200"/>
      <c r="X30" s="200"/>
    </row>
    <row r="31" spans="1:24" s="225" customFormat="1" ht="17">
      <c r="B31" s="200"/>
      <c r="C31" s="654">
        <v>5040</v>
      </c>
      <c r="D31" s="655"/>
      <c r="E31" s="656">
        <v>40</v>
      </c>
      <c r="F31" s="657" t="s">
        <v>410</v>
      </c>
      <c r="G31" s="658" t="s">
        <v>405</v>
      </c>
      <c r="H31" s="711"/>
      <c r="I31" s="711"/>
      <c r="J31" s="466">
        <f t="shared" si="0"/>
        <v>0</v>
      </c>
      <c r="K31" s="467">
        <f>SUMIF('1.3-Basis ruimtestaat'!M:M,'1.2-Kengetal'!C31,Meters)</f>
        <v>125.125</v>
      </c>
      <c r="L31" s="467"/>
      <c r="M31" s="467">
        <f>SUMIF('1.3-Basis ruimtestaat'!M:M,'1.2-Kengetal'!C31,'1.3-Basis ruimtestaat'!L:L)</f>
        <v>0</v>
      </c>
      <c r="N31" s="659">
        <f t="shared" si="3"/>
        <v>6.1872274607112053E-3</v>
      </c>
      <c r="O31" s="660"/>
      <c r="P31" s="653" t="s">
        <v>47</v>
      </c>
      <c r="S31" s="200"/>
      <c r="T31" s="200"/>
      <c r="U31" s="200"/>
      <c r="V31" s="200"/>
      <c r="W31" s="200"/>
      <c r="X31" s="200"/>
    </row>
    <row r="32" spans="1:24" s="225" customFormat="1" ht="17">
      <c r="A32" s="187"/>
      <c r="C32" s="654">
        <v>5200</v>
      </c>
      <c r="D32" s="655"/>
      <c r="E32" s="656">
        <v>200</v>
      </c>
      <c r="F32" s="657" t="s">
        <v>410</v>
      </c>
      <c r="G32" s="658" t="s">
        <v>407</v>
      </c>
      <c r="H32" s="711"/>
      <c r="I32" s="711"/>
      <c r="J32" s="466">
        <f t="shared" si="0"/>
        <v>0</v>
      </c>
      <c r="K32" s="467">
        <f>SUMIF('1.3-Basis ruimtestaat'!M:M,'1.2-Kengetal'!C32,Meters)</f>
        <v>41.122378472222223</v>
      </c>
      <c r="L32" s="467"/>
      <c r="M32" s="467">
        <f>SUMIF('1.3-Basis ruimtestaat'!M:M,'1.2-Kengetal'!C32,'1.3-Basis ruimtestaat'!L:L)</f>
        <v>0</v>
      </c>
      <c r="N32" s="659">
        <f t="shared" si="3"/>
        <v>2.0334346400247166E-3</v>
      </c>
      <c r="O32" s="660"/>
      <c r="P32" s="653" t="s">
        <v>47</v>
      </c>
      <c r="S32" s="200"/>
      <c r="T32" s="200"/>
      <c r="U32" s="200"/>
      <c r="V32" s="200"/>
      <c r="W32" s="200"/>
      <c r="X32" s="200"/>
    </row>
    <row r="33" spans="1:24" s="225" customFormat="1" ht="17">
      <c r="A33" s="187"/>
      <c r="C33" s="654">
        <v>5208</v>
      </c>
      <c r="D33" s="655"/>
      <c r="E33" s="656">
        <v>208</v>
      </c>
      <c r="F33" s="657" t="s">
        <v>410</v>
      </c>
      <c r="G33" s="658" t="s">
        <v>714</v>
      </c>
      <c r="H33" s="711"/>
      <c r="I33" s="711"/>
      <c r="J33" s="466">
        <f t="shared" si="0"/>
        <v>0</v>
      </c>
      <c r="K33" s="467">
        <f>SUMIF('1.3-Basis ruimtestaat'!M:M,'1.2-Kengetal'!C33,Meters)</f>
        <v>0</v>
      </c>
      <c r="L33" s="467"/>
      <c r="M33" s="467">
        <f>SUMIF('1.3-Basis ruimtestaat'!M:M,'1.2-Kengetal'!C33,'1.3-Basis ruimtestaat'!L:L)</f>
        <v>0</v>
      </c>
      <c r="N33" s="659" t="str">
        <f t="shared" si="3"/>
        <v/>
      </c>
      <c r="O33" s="660"/>
      <c r="P33" s="653" t="s">
        <v>47</v>
      </c>
      <c r="S33" s="200"/>
      <c r="T33" s="200"/>
      <c r="U33" s="200"/>
      <c r="V33" s="200"/>
      <c r="W33" s="200"/>
      <c r="X33" s="200"/>
    </row>
    <row r="34" spans="1:24" s="225" customFormat="1" ht="17">
      <c r="A34" s="187"/>
      <c r="B34" s="200"/>
      <c r="C34" s="789">
        <v>5260</v>
      </c>
      <c r="D34" s="655"/>
      <c r="E34" s="656">
        <v>260</v>
      </c>
      <c r="F34" s="657" t="s">
        <v>410</v>
      </c>
      <c r="G34" s="658" t="s">
        <v>408</v>
      </c>
      <c r="H34" s="711"/>
      <c r="I34" s="711"/>
      <c r="J34" s="466">
        <f t="shared" si="0"/>
        <v>0</v>
      </c>
      <c r="K34" s="467">
        <f>SUMIF('1.3-Basis ruimtestaat'!M:M,'1.2-Kengetal'!C34,Meters)</f>
        <v>86.984856362877139</v>
      </c>
      <c r="L34" s="467"/>
      <c r="M34" s="467">
        <f>SUMIF('1.3-Basis ruimtestaat'!M:M,'1.2-Kengetal'!C34,'1.3-Basis ruimtestaat'!L:L)</f>
        <v>0</v>
      </c>
      <c r="N34" s="659">
        <f t="shared" si="3"/>
        <v>4.3012594761591468E-3</v>
      </c>
      <c r="O34" s="660"/>
      <c r="P34" s="653" t="s">
        <v>47</v>
      </c>
      <c r="S34" s="200"/>
      <c r="T34" s="200"/>
      <c r="U34" s="200"/>
      <c r="V34" s="200"/>
      <c r="W34" s="200"/>
      <c r="X34" s="200"/>
    </row>
    <row r="35" spans="1:24" s="225" customFormat="1" ht="17">
      <c r="A35" s="187"/>
      <c r="B35" s="200"/>
      <c r="C35" s="654">
        <v>6200</v>
      </c>
      <c r="D35" s="655"/>
      <c r="E35" s="656">
        <v>200</v>
      </c>
      <c r="F35" s="657" t="s">
        <v>411</v>
      </c>
      <c r="G35" s="658" t="s">
        <v>407</v>
      </c>
      <c r="H35" s="711"/>
      <c r="I35" s="711"/>
      <c r="J35" s="466">
        <f t="shared" si="0"/>
        <v>0</v>
      </c>
      <c r="K35" s="467">
        <f>SUMIF('1.3-Basis ruimtestaat'!M:M,'1.2-Kengetal'!C35,Meters)</f>
        <v>103.68</v>
      </c>
      <c r="L35" s="467"/>
      <c r="M35" s="467">
        <f>SUMIF('1.3-Basis ruimtestaat'!M:M,'1.2-Kengetal'!C35,'1.3-Basis ruimtestaat'!L:L)</f>
        <v>0</v>
      </c>
      <c r="N35" s="659">
        <f t="shared" si="3"/>
        <v>5.1268071378744277E-3</v>
      </c>
      <c r="O35" s="660"/>
      <c r="P35" s="653" t="s">
        <v>412</v>
      </c>
      <c r="S35" s="200"/>
      <c r="T35" s="200"/>
      <c r="U35" s="200"/>
      <c r="V35" s="200"/>
      <c r="W35" s="200"/>
      <c r="X35" s="200"/>
    </row>
    <row r="36" spans="1:24" s="225" customFormat="1" ht="17">
      <c r="A36" s="187"/>
      <c r="B36" s="200"/>
      <c r="C36" s="654">
        <v>7040</v>
      </c>
      <c r="D36" s="655"/>
      <c r="E36" s="656">
        <v>40</v>
      </c>
      <c r="F36" s="657" t="s">
        <v>413</v>
      </c>
      <c r="G36" s="658" t="s">
        <v>405</v>
      </c>
      <c r="H36" s="711"/>
      <c r="I36" s="711"/>
      <c r="J36" s="466">
        <f t="shared" si="0"/>
        <v>0</v>
      </c>
      <c r="K36" s="467">
        <f>SUMIF('1.3-Basis ruimtestaat'!M:M,'1.2-Kengetal'!C36,Meters)</f>
        <v>419.41409201921027</v>
      </c>
      <c r="L36" s="467"/>
      <c r="M36" s="467">
        <f>SUMIF('1.3-Basis ruimtestaat'!M:M,'1.2-Kengetal'!C36,'1.3-Basis ruimtestaat'!L:L)</f>
        <v>0</v>
      </c>
      <c r="N36" s="659">
        <f t="shared" si="3"/>
        <v>2.0739343756647467E-2</v>
      </c>
      <c r="O36" s="660"/>
      <c r="P36" s="653" t="s">
        <v>412</v>
      </c>
      <c r="S36" s="200"/>
      <c r="T36" s="200"/>
      <c r="U36" s="200"/>
      <c r="V36" s="200"/>
      <c r="W36" s="200"/>
      <c r="X36" s="200"/>
    </row>
    <row r="37" spans="1:24" s="225" customFormat="1" ht="17">
      <c r="A37" s="187"/>
      <c r="B37" s="200"/>
      <c r="C37" s="654">
        <v>7052</v>
      </c>
      <c r="D37" s="672"/>
      <c r="E37" s="673">
        <v>52</v>
      </c>
      <c r="F37" s="657" t="s">
        <v>415</v>
      </c>
      <c r="G37" s="658" t="s">
        <v>715</v>
      </c>
      <c r="H37" s="711"/>
      <c r="I37" s="711"/>
      <c r="J37" s="466">
        <f t="shared" si="0"/>
        <v>0</v>
      </c>
      <c r="K37" s="467">
        <f>SUMIF('1.3-Basis ruimtestaat'!M:M,'1.2-Kengetal'!C37,Meters)</f>
        <v>0</v>
      </c>
      <c r="L37" s="467"/>
      <c r="M37" s="467">
        <f>SUMIF('1.3-Basis ruimtestaat'!M:M,'1.2-Kengetal'!C37,'1.3-Basis ruimtestaat'!L:L)</f>
        <v>0</v>
      </c>
      <c r="N37" s="659" t="str">
        <f t="shared" si="3"/>
        <v/>
      </c>
      <c r="O37" s="660"/>
      <c r="P37" s="653" t="s">
        <v>412</v>
      </c>
      <c r="S37" s="200"/>
      <c r="T37" s="200"/>
      <c r="U37" s="200"/>
      <c r="V37" s="200"/>
      <c r="W37" s="200"/>
      <c r="X37" s="200"/>
    </row>
    <row r="38" spans="1:24" s="225" customFormat="1" ht="17">
      <c r="A38" s="187"/>
      <c r="B38" s="200"/>
      <c r="C38" s="654">
        <v>7120</v>
      </c>
      <c r="D38" s="655"/>
      <c r="E38" s="656">
        <v>120</v>
      </c>
      <c r="F38" s="657" t="s">
        <v>413</v>
      </c>
      <c r="G38" s="658" t="s">
        <v>481</v>
      </c>
      <c r="H38" s="711"/>
      <c r="I38" s="711"/>
      <c r="J38" s="466">
        <f t="shared" si="0"/>
        <v>0</v>
      </c>
      <c r="K38" s="467">
        <f>SUMIF('1.3-Basis ruimtestaat'!M:M,'1.2-Kengetal'!C38,Meters)</f>
        <v>0</v>
      </c>
      <c r="L38" s="467"/>
      <c r="M38" s="467">
        <f>SUMIF('1.3-Basis ruimtestaat'!M:M,'1.2-Kengetal'!C38,'1.3-Basis ruimtestaat'!L:L)</f>
        <v>0</v>
      </c>
      <c r="N38" s="659" t="str">
        <f t="shared" si="3"/>
        <v/>
      </c>
      <c r="O38" s="660"/>
      <c r="P38" s="653" t="s">
        <v>412</v>
      </c>
      <c r="S38" s="200"/>
      <c r="T38" s="200"/>
      <c r="U38" s="200"/>
      <c r="V38" s="200"/>
      <c r="W38" s="200"/>
      <c r="X38" s="200"/>
    </row>
    <row r="39" spans="1:24" s="225" customFormat="1" ht="17">
      <c r="A39" s="187"/>
      <c r="B39" s="200"/>
      <c r="C39" s="654">
        <v>7200</v>
      </c>
      <c r="D39" s="672"/>
      <c r="E39" s="673">
        <v>200</v>
      </c>
      <c r="F39" s="657" t="s">
        <v>414</v>
      </c>
      <c r="G39" s="658" t="s">
        <v>407</v>
      </c>
      <c r="H39" s="711"/>
      <c r="I39" s="711"/>
      <c r="J39" s="466">
        <f t="shared" si="0"/>
        <v>0</v>
      </c>
      <c r="K39" s="467">
        <f>SUMIF('1.3-Basis ruimtestaat'!M:M,'1.2-Kengetal'!C39,Meters)</f>
        <v>4139.3641726630476</v>
      </c>
      <c r="L39" s="467"/>
      <c r="M39" s="467">
        <f>SUMIF('1.3-Basis ruimtestaat'!M:M,'1.2-Kengetal'!C39,'1.3-Basis ruimtestaat'!L:L)</f>
        <v>0</v>
      </c>
      <c r="N39" s="659">
        <f t="shared" si="3"/>
        <v>0.20468481661526416</v>
      </c>
      <c r="O39" s="660"/>
      <c r="P39" s="653" t="s">
        <v>412</v>
      </c>
      <c r="S39" s="200"/>
      <c r="T39" s="200"/>
      <c r="U39" s="200"/>
      <c r="V39" s="200"/>
      <c r="W39" s="200"/>
      <c r="X39" s="200"/>
    </row>
    <row r="40" spans="1:24" s="225" customFormat="1" ht="17">
      <c r="A40" s="187"/>
      <c r="B40" s="200"/>
      <c r="C40" s="654">
        <v>7210</v>
      </c>
      <c r="D40" s="672"/>
      <c r="E40" s="673">
        <v>210</v>
      </c>
      <c r="F40" s="657" t="s">
        <v>414</v>
      </c>
      <c r="G40" s="658" t="s">
        <v>939</v>
      </c>
      <c r="H40" s="711"/>
      <c r="I40" s="711"/>
      <c r="J40" s="466">
        <f t="shared" si="0"/>
        <v>0</v>
      </c>
      <c r="K40" s="467">
        <f>SUMIF('1.3-Basis ruimtestaat'!M:M,'1.2-Kengetal'!C40,Meters)</f>
        <v>0</v>
      </c>
      <c r="L40" s="467"/>
      <c r="M40" s="467">
        <f>SUMIF('1.3-Basis ruimtestaat'!M:M,'1.2-Kengetal'!C40,'1.3-Basis ruimtestaat'!L:L)</f>
        <v>0</v>
      </c>
      <c r="N40" s="659" t="str">
        <f t="shared" si="3"/>
        <v/>
      </c>
      <c r="O40" s="660" t="s">
        <v>938</v>
      </c>
      <c r="P40" s="653" t="s">
        <v>412</v>
      </c>
      <c r="S40" s="200"/>
      <c r="T40" s="200"/>
      <c r="U40" s="200"/>
      <c r="V40" s="200"/>
      <c r="W40" s="200"/>
      <c r="X40" s="200"/>
    </row>
    <row r="41" spans="1:24" s="225" customFormat="1" ht="17">
      <c r="A41" s="187"/>
      <c r="B41" s="200"/>
      <c r="C41" s="654">
        <v>8040</v>
      </c>
      <c r="D41" s="655"/>
      <c r="E41" s="656">
        <v>40</v>
      </c>
      <c r="F41" s="657" t="s">
        <v>716</v>
      </c>
      <c r="G41" s="658" t="s">
        <v>405</v>
      </c>
      <c r="H41" s="711"/>
      <c r="I41" s="711"/>
      <c r="J41" s="466">
        <f t="shared" si="0"/>
        <v>0</v>
      </c>
      <c r="K41" s="467">
        <f>SUMIF('1.3-Basis ruimtestaat'!M:M,'1.2-Kengetal'!C41,Meters)</f>
        <v>6.3</v>
      </c>
      <c r="L41" s="467"/>
      <c r="M41" s="467">
        <f>SUMIF('1.3-Basis ruimtestaat'!M:M,'1.2-Kengetal'!C41,'1.3-Basis ruimtestaat'!L:L)</f>
        <v>0</v>
      </c>
      <c r="N41" s="659">
        <f t="shared" si="3"/>
        <v>3.1152473928056416E-4</v>
      </c>
      <c r="O41" s="660"/>
      <c r="P41" s="653" t="s">
        <v>412</v>
      </c>
      <c r="S41" s="200"/>
      <c r="T41" s="200"/>
      <c r="U41" s="200"/>
      <c r="V41" s="200"/>
      <c r="W41" s="200"/>
      <c r="X41" s="200"/>
    </row>
    <row r="42" spans="1:24" s="225" customFormat="1" ht="17">
      <c r="A42" s="187"/>
      <c r="B42" s="200"/>
      <c r="C42" s="654">
        <v>8200</v>
      </c>
      <c r="D42" s="655"/>
      <c r="E42" s="656">
        <v>200</v>
      </c>
      <c r="F42" s="657" t="s">
        <v>390</v>
      </c>
      <c r="G42" s="658" t="s">
        <v>407</v>
      </c>
      <c r="H42" s="711"/>
      <c r="I42" s="711"/>
      <c r="J42" s="466">
        <f t="shared" si="0"/>
        <v>0</v>
      </c>
      <c r="K42" s="467">
        <f>SUMIF('1.3-Basis ruimtestaat'!M:M,'1.2-Kengetal'!C42,Meters)</f>
        <v>1464.443680973299</v>
      </c>
      <c r="L42" s="467"/>
      <c r="M42" s="467">
        <f>SUMIF('1.3-Basis ruimtestaat'!M:M,'1.2-Kengetal'!C42,'1.3-Basis ruimtestaat'!L:L)</f>
        <v>0</v>
      </c>
      <c r="N42" s="659">
        <f t="shared" si="3"/>
        <v>7.2414354905758205E-2</v>
      </c>
      <c r="O42" s="660"/>
      <c r="P42" s="653" t="s">
        <v>412</v>
      </c>
      <c r="S42" s="200"/>
      <c r="T42" s="200"/>
      <c r="U42" s="200"/>
      <c r="V42" s="200"/>
      <c r="W42" s="200"/>
      <c r="X42" s="200"/>
    </row>
    <row r="43" spans="1:24" s="225" customFormat="1" ht="17">
      <c r="A43" s="187"/>
      <c r="B43" s="200"/>
      <c r="C43" s="654">
        <v>8210</v>
      </c>
      <c r="D43" s="655"/>
      <c r="E43" s="656">
        <v>210</v>
      </c>
      <c r="F43" s="657" t="s">
        <v>390</v>
      </c>
      <c r="G43" s="658" t="s">
        <v>939</v>
      </c>
      <c r="H43" s="711"/>
      <c r="I43" s="711"/>
      <c r="J43" s="466">
        <f t="shared" ref="J43" si="4">IF(H43=0,0,E43/SUM(H43+I43))</f>
        <v>0</v>
      </c>
      <c r="K43" s="467">
        <f>SUMIF('1.3-Basis ruimtestaat'!M:M,'1.2-Kengetal'!C43,Meters)</f>
        <v>0</v>
      </c>
      <c r="L43" s="467"/>
      <c r="M43" s="467">
        <f>SUMIF('1.3-Basis ruimtestaat'!M:M,'1.2-Kengetal'!C43,'1.3-Basis ruimtestaat'!L:L)</f>
        <v>0</v>
      </c>
      <c r="N43" s="659" t="str">
        <f t="shared" si="3"/>
        <v/>
      </c>
      <c r="O43" s="660" t="s">
        <v>938</v>
      </c>
      <c r="P43" s="653" t="s">
        <v>412</v>
      </c>
      <c r="S43" s="200"/>
      <c r="T43" s="200"/>
      <c r="U43" s="200"/>
      <c r="V43" s="200"/>
      <c r="W43" s="200"/>
      <c r="X43" s="200"/>
    </row>
    <row r="44" spans="1:24" s="225" customFormat="1" ht="17">
      <c r="A44" s="187"/>
      <c r="B44" s="200"/>
      <c r="C44" s="789">
        <v>8260</v>
      </c>
      <c r="D44" s="655"/>
      <c r="E44" s="656">
        <v>260</v>
      </c>
      <c r="F44" s="657" t="s">
        <v>390</v>
      </c>
      <c r="G44" s="658" t="s">
        <v>408</v>
      </c>
      <c r="H44" s="711"/>
      <c r="I44" s="711"/>
      <c r="J44" s="466">
        <f t="shared" si="0"/>
        <v>0</v>
      </c>
      <c r="K44" s="467">
        <f>SUMIF('1.3-Basis ruimtestaat'!M:M,'1.2-Kengetal'!C44,Meters)</f>
        <v>135.67304578013079</v>
      </c>
      <c r="L44" s="467"/>
      <c r="M44" s="467">
        <f>SUMIF('1.3-Basis ruimtestaat'!M:M,'1.2-Kengetal'!C44,'1.3-Basis ruimtestaat'!L:L)</f>
        <v>0</v>
      </c>
      <c r="N44" s="659">
        <f t="shared" si="3"/>
        <v>6.7088111450881423E-3</v>
      </c>
      <c r="O44" s="660"/>
      <c r="P44" s="653" t="s">
        <v>412</v>
      </c>
      <c r="S44" s="200"/>
      <c r="T44" s="200"/>
      <c r="U44" s="200"/>
      <c r="V44" s="200"/>
      <c r="W44" s="200"/>
      <c r="X44" s="200"/>
    </row>
    <row r="45" spans="1:24" s="225" customFormat="1" ht="17">
      <c r="A45" s="187"/>
      <c r="B45" s="200"/>
      <c r="C45" s="654">
        <v>9012</v>
      </c>
      <c r="D45" s="655"/>
      <c r="E45" s="656">
        <v>12</v>
      </c>
      <c r="F45" s="657" t="s">
        <v>416</v>
      </c>
      <c r="G45" s="658" t="s">
        <v>378</v>
      </c>
      <c r="H45" s="711"/>
      <c r="I45" s="711"/>
      <c r="J45" s="466">
        <f t="shared" ref="J45:J62" si="5">IF(H45=0,0,E45/SUM(H45+I45))</f>
        <v>0</v>
      </c>
      <c r="K45" s="467">
        <f>SUMIF('1.3-Basis ruimtestaat'!M:M,'1.2-Kengetal'!C45,Meters)</f>
        <v>0</v>
      </c>
      <c r="L45" s="467"/>
      <c r="M45" s="467">
        <f>SUMIF('1.3-Basis ruimtestaat'!M:M,'1.2-Kengetal'!C45,'1.3-Basis ruimtestaat'!L:L)</f>
        <v>0</v>
      </c>
      <c r="N45" s="659" t="str">
        <f t="shared" si="3"/>
        <v/>
      </c>
      <c r="O45" s="660"/>
      <c r="P45" s="653" t="s">
        <v>47</v>
      </c>
      <c r="S45" s="200"/>
      <c r="T45" s="200"/>
      <c r="U45" s="200"/>
      <c r="V45" s="200"/>
      <c r="W45" s="200"/>
      <c r="X45" s="200"/>
    </row>
    <row r="46" spans="1:24" s="225" customFormat="1" ht="17">
      <c r="A46" s="187"/>
      <c r="B46" s="200"/>
      <c r="C46" s="654">
        <v>9040</v>
      </c>
      <c r="D46" s="655"/>
      <c r="E46" s="656">
        <v>40</v>
      </c>
      <c r="F46" s="657" t="s">
        <v>291</v>
      </c>
      <c r="G46" s="658" t="s">
        <v>405</v>
      </c>
      <c r="H46" s="711"/>
      <c r="I46" s="711"/>
      <c r="J46" s="466">
        <f t="shared" si="5"/>
        <v>0</v>
      </c>
      <c r="K46" s="467">
        <f>SUMIF('1.3-Basis ruimtestaat'!M:M,'1.2-Kengetal'!C46,Meters)</f>
        <v>2.3132730739354601</v>
      </c>
      <c r="L46" s="467"/>
      <c r="M46" s="467">
        <f>SUMIF('1.3-Basis ruimtestaat'!M:M,'1.2-Kengetal'!C46,'1.3-Basis ruimtestaat'!L:L)</f>
        <v>0</v>
      </c>
      <c r="N46" s="659">
        <f t="shared" si="3"/>
        <v>1.1438758591150691E-4</v>
      </c>
      <c r="O46" s="660"/>
      <c r="P46" s="653" t="s">
        <v>47</v>
      </c>
      <c r="S46" s="200"/>
      <c r="T46" s="200"/>
      <c r="U46" s="200"/>
      <c r="V46" s="200"/>
      <c r="W46" s="200"/>
      <c r="X46" s="200"/>
    </row>
    <row r="47" spans="1:24" s="225" customFormat="1" ht="17">
      <c r="A47" s="187"/>
      <c r="B47" s="200"/>
      <c r="C47" s="654">
        <v>9200</v>
      </c>
      <c r="D47" s="655"/>
      <c r="E47" s="656">
        <v>200</v>
      </c>
      <c r="F47" s="657" t="s">
        <v>291</v>
      </c>
      <c r="G47" s="658" t="s">
        <v>407</v>
      </c>
      <c r="H47" s="711"/>
      <c r="I47" s="711"/>
      <c r="J47" s="466">
        <f t="shared" si="5"/>
        <v>0</v>
      </c>
      <c r="K47" s="467">
        <f>SUMIF('1.3-Basis ruimtestaat'!M:M,'1.2-Kengetal'!C47,Meters)</f>
        <v>158.67068717614407</v>
      </c>
      <c r="L47" s="467"/>
      <c r="M47" s="467">
        <f>SUMIF('1.3-Basis ruimtestaat'!M:M,'1.2-Kengetal'!C47,'1.3-Basis ruimtestaat'!L:L)</f>
        <v>0</v>
      </c>
      <c r="N47" s="659">
        <f t="shared" si="3"/>
        <v>7.846007056193054E-3</v>
      </c>
      <c r="O47" s="660"/>
      <c r="P47" s="653" t="s">
        <v>47</v>
      </c>
      <c r="S47" s="200"/>
      <c r="T47" s="200"/>
      <c r="U47" s="200"/>
      <c r="V47" s="200"/>
      <c r="W47" s="200"/>
      <c r="X47" s="200"/>
    </row>
    <row r="48" spans="1:24" s="225" customFormat="1" ht="17">
      <c r="A48" s="187"/>
      <c r="B48" s="200"/>
      <c r="C48" s="789">
        <v>9260</v>
      </c>
      <c r="D48" s="655"/>
      <c r="E48" s="656">
        <v>260</v>
      </c>
      <c r="F48" s="657" t="s">
        <v>291</v>
      </c>
      <c r="G48" s="658" t="s">
        <v>408</v>
      </c>
      <c r="H48" s="711"/>
      <c r="I48" s="711"/>
      <c r="J48" s="466">
        <f t="shared" si="5"/>
        <v>0</v>
      </c>
      <c r="K48" s="467">
        <f>SUMIF('1.3-Basis ruimtestaat'!M:M,'1.2-Kengetal'!C48,Meters)</f>
        <v>4.7704711886715998</v>
      </c>
      <c r="L48" s="467"/>
      <c r="M48" s="467">
        <f>SUMIF('1.3-Basis ruimtestaat'!M:M,'1.2-Kengetal'!C48,'1.3-Basis ruimtestaat'!L:L)</f>
        <v>0</v>
      </c>
      <c r="N48" s="659">
        <f t="shared" si="3"/>
        <v>2.3589203068196242E-4</v>
      </c>
      <c r="O48" s="660"/>
      <c r="P48" s="653" t="s">
        <v>47</v>
      </c>
      <c r="S48" s="200"/>
      <c r="T48" s="200"/>
      <c r="U48" s="200"/>
      <c r="V48" s="200"/>
      <c r="W48" s="200"/>
      <c r="X48" s="200"/>
    </row>
    <row r="49" spans="1:24" s="225" customFormat="1" ht="17">
      <c r="A49" s="187"/>
      <c r="B49" s="200"/>
      <c r="C49" s="654">
        <v>10040</v>
      </c>
      <c r="D49" s="655"/>
      <c r="E49" s="656">
        <v>40</v>
      </c>
      <c r="F49" s="657" t="s">
        <v>417</v>
      </c>
      <c r="G49" s="658" t="s">
        <v>405</v>
      </c>
      <c r="H49" s="711"/>
      <c r="I49" s="711"/>
      <c r="J49" s="466">
        <f t="shared" si="5"/>
        <v>0</v>
      </c>
      <c r="K49" s="467">
        <f>SUMIF('1.3-Basis ruimtestaat'!M:M,'1.2-Kengetal'!C49,Meters)</f>
        <v>18.12</v>
      </c>
      <c r="L49" s="467"/>
      <c r="M49" s="467">
        <f>SUMIF('1.3-Basis ruimtestaat'!M:M,'1.2-Kengetal'!C49,'1.3-Basis ruimtestaat'!L:L)</f>
        <v>0</v>
      </c>
      <c r="N49" s="659">
        <f t="shared" si="3"/>
        <v>8.9600448821647988E-4</v>
      </c>
      <c r="O49" s="660"/>
      <c r="P49" s="653" t="s">
        <v>47</v>
      </c>
      <c r="S49" s="200"/>
      <c r="T49" s="200"/>
      <c r="U49" s="200"/>
      <c r="V49" s="200"/>
      <c r="W49" s="200"/>
      <c r="X49" s="200"/>
    </row>
    <row r="50" spans="1:24" s="225" customFormat="1" ht="17">
      <c r="A50" s="187"/>
      <c r="B50" s="200"/>
      <c r="C50" s="654">
        <v>12200</v>
      </c>
      <c r="D50" s="655"/>
      <c r="E50" s="656">
        <v>200</v>
      </c>
      <c r="F50" s="657" t="s">
        <v>418</v>
      </c>
      <c r="G50" s="658" t="s">
        <v>407</v>
      </c>
      <c r="H50" s="711"/>
      <c r="I50" s="711"/>
      <c r="J50" s="466">
        <f t="shared" si="5"/>
        <v>0</v>
      </c>
      <c r="K50" s="467">
        <f>SUMIF('1.3-Basis ruimtestaat'!M:M,'1.2-Kengetal'!C50,Meters)</f>
        <v>0</v>
      </c>
      <c r="L50" s="467"/>
      <c r="M50" s="467">
        <f>SUMIF('1.3-Basis ruimtestaat'!M:M,'1.2-Kengetal'!C50,'1.3-Basis ruimtestaat'!L:L)</f>
        <v>0</v>
      </c>
      <c r="N50" s="659" t="str">
        <f t="shared" si="3"/>
        <v/>
      </c>
      <c r="O50" s="660"/>
      <c r="P50" s="653" t="s">
        <v>47</v>
      </c>
      <c r="S50" s="200"/>
      <c r="T50" s="200"/>
      <c r="U50" s="200"/>
      <c r="V50" s="200"/>
      <c r="W50" s="200"/>
      <c r="X50" s="200"/>
    </row>
    <row r="51" spans="1:24" s="225" customFormat="1" ht="17">
      <c r="A51" s="187"/>
      <c r="B51" s="200"/>
      <c r="C51" s="789">
        <v>12260</v>
      </c>
      <c r="D51" s="655"/>
      <c r="E51" s="656">
        <v>260</v>
      </c>
      <c r="F51" s="657" t="s">
        <v>418</v>
      </c>
      <c r="G51" s="658" t="s">
        <v>408</v>
      </c>
      <c r="H51" s="711"/>
      <c r="I51" s="711"/>
      <c r="J51" s="466">
        <f t="shared" si="5"/>
        <v>0</v>
      </c>
      <c r="K51" s="467">
        <f>SUMIF('1.3-Basis ruimtestaat'!M:M,'1.2-Kengetal'!C51,Meters)</f>
        <v>401.71</v>
      </c>
      <c r="L51" s="467"/>
      <c r="M51" s="467">
        <f>SUMIF('1.3-Basis ruimtestaat'!M:M,'1.2-Kengetal'!C51,'1.3-Basis ruimtestaat'!L:L)</f>
        <v>0</v>
      </c>
      <c r="N51" s="659">
        <f t="shared" si="3"/>
        <v>1.9863905240697689E-2</v>
      </c>
      <c r="O51" s="660"/>
      <c r="P51" s="653" t="s">
        <v>47</v>
      </c>
      <c r="S51" s="200"/>
      <c r="T51" s="200"/>
      <c r="U51" s="200"/>
      <c r="V51" s="200"/>
      <c r="W51" s="200"/>
      <c r="X51" s="200"/>
    </row>
    <row r="52" spans="1:24" s="225" customFormat="1" ht="17">
      <c r="A52" s="187"/>
      <c r="B52" s="200"/>
      <c r="C52" s="654">
        <v>13200</v>
      </c>
      <c r="D52" s="655"/>
      <c r="E52" s="656">
        <v>200</v>
      </c>
      <c r="F52" s="657" t="s">
        <v>419</v>
      </c>
      <c r="G52" s="658" t="s">
        <v>407</v>
      </c>
      <c r="H52" s="711"/>
      <c r="I52" s="711"/>
      <c r="J52" s="466">
        <f t="shared" si="5"/>
        <v>0</v>
      </c>
      <c r="K52" s="467">
        <f>SUMIF('1.3-Basis ruimtestaat'!M:M,'1.2-Kengetal'!C52,Meters)</f>
        <v>32.119999999999997</v>
      </c>
      <c r="L52" s="467"/>
      <c r="M52" s="467">
        <f>SUMIF('1.3-Basis ruimtestaat'!M:M,'1.2-Kengetal'!C52,'1.3-Basis ruimtestaat'!L:L)</f>
        <v>0</v>
      </c>
      <c r="N52" s="659">
        <f t="shared" si="3"/>
        <v>1.5882816866177336E-3</v>
      </c>
      <c r="O52" s="660"/>
      <c r="P52" s="653" t="s">
        <v>47</v>
      </c>
      <c r="S52" s="200"/>
      <c r="T52" s="200"/>
      <c r="U52" s="200"/>
      <c r="V52" s="200"/>
      <c r="W52" s="200"/>
      <c r="X52" s="200"/>
    </row>
    <row r="53" spans="1:24" s="225" customFormat="1" ht="17">
      <c r="A53" s="187"/>
      <c r="B53" s="200"/>
      <c r="C53" s="789">
        <v>13260</v>
      </c>
      <c r="D53" s="655"/>
      <c r="E53" s="656">
        <v>260</v>
      </c>
      <c r="F53" s="657" t="s">
        <v>419</v>
      </c>
      <c r="G53" s="658" t="s">
        <v>408</v>
      </c>
      <c r="H53" s="711"/>
      <c r="I53" s="711"/>
      <c r="J53" s="466">
        <f t="shared" si="5"/>
        <v>0</v>
      </c>
      <c r="K53" s="467">
        <f>SUMIF('1.3-Basis ruimtestaat'!M:M,'1.2-Kengetal'!C53,Meters)</f>
        <v>0</v>
      </c>
      <c r="L53" s="467"/>
      <c r="M53" s="467">
        <f>SUMIF('1.3-Basis ruimtestaat'!M:M,'1.2-Kengetal'!C53,'1.3-Basis ruimtestaat'!L:L)</f>
        <v>0</v>
      </c>
      <c r="N53" s="659" t="str">
        <f t="shared" si="3"/>
        <v/>
      </c>
      <c r="O53" s="660"/>
      <c r="P53" s="653" t="s">
        <v>47</v>
      </c>
      <c r="S53" s="200"/>
      <c r="T53" s="200"/>
      <c r="U53" s="200"/>
      <c r="V53" s="200"/>
      <c r="W53" s="200"/>
      <c r="X53" s="200"/>
    </row>
    <row r="54" spans="1:24" s="225" customFormat="1" ht="17">
      <c r="A54" s="187"/>
      <c r="B54" s="200"/>
      <c r="C54" s="654">
        <v>14040</v>
      </c>
      <c r="D54" s="655"/>
      <c r="E54" s="656">
        <v>40</v>
      </c>
      <c r="F54" s="657" t="s">
        <v>420</v>
      </c>
      <c r="G54" s="658" t="s">
        <v>405</v>
      </c>
      <c r="H54" s="711"/>
      <c r="I54" s="711"/>
      <c r="J54" s="466">
        <f t="shared" si="5"/>
        <v>0</v>
      </c>
      <c r="K54" s="467">
        <f>SUMIF('1.3-Basis ruimtestaat'!M:M,'1.2-Kengetal'!C54,Meters)</f>
        <v>41.322500000000005</v>
      </c>
      <c r="L54" s="467"/>
      <c r="M54" s="467">
        <f>SUMIF('1.3-Basis ruimtestaat'!M:M,'1.2-Kengetal'!C54,'1.3-Basis ruimtestaat'!L:L)</f>
        <v>0</v>
      </c>
      <c r="N54" s="659">
        <f t="shared" si="3"/>
        <v>2.0433303236382723E-3</v>
      </c>
      <c r="O54" s="660"/>
      <c r="P54" s="653" t="s">
        <v>421</v>
      </c>
      <c r="S54" s="200"/>
      <c r="T54" s="200"/>
      <c r="U54" s="200"/>
      <c r="V54" s="200"/>
      <c r="W54" s="200"/>
      <c r="X54" s="200"/>
    </row>
    <row r="55" spans="1:24" s="225" customFormat="1" ht="17">
      <c r="A55" s="187"/>
      <c r="B55" s="200"/>
      <c r="C55" s="654">
        <v>14200</v>
      </c>
      <c r="D55" s="655"/>
      <c r="E55" s="656">
        <v>200</v>
      </c>
      <c r="F55" s="657" t="s">
        <v>399</v>
      </c>
      <c r="G55" s="658" t="s">
        <v>407</v>
      </c>
      <c r="H55" s="711"/>
      <c r="I55" s="711"/>
      <c r="J55" s="466">
        <f t="shared" si="5"/>
        <v>0</v>
      </c>
      <c r="K55" s="467">
        <f>SUMIF('1.3-Basis ruimtestaat'!M:M,'1.2-Kengetal'!C55,Meters)</f>
        <v>0</v>
      </c>
      <c r="L55" s="467"/>
      <c r="M55" s="467">
        <f>SUMIF('1.3-Basis ruimtestaat'!M:M,'1.2-Kengetal'!C55,'1.3-Basis ruimtestaat'!L:L)</f>
        <v>0</v>
      </c>
      <c r="N55" s="659" t="str">
        <f t="shared" si="3"/>
        <v/>
      </c>
      <c r="O55" s="660"/>
      <c r="P55" s="653" t="s">
        <v>421</v>
      </c>
      <c r="S55" s="200"/>
      <c r="T55" s="200"/>
      <c r="U55" s="200"/>
      <c r="V55" s="200"/>
      <c r="W55" s="200"/>
      <c r="X55" s="200"/>
    </row>
    <row r="56" spans="1:24" s="225" customFormat="1" ht="17">
      <c r="A56" s="187"/>
      <c r="B56" s="200"/>
      <c r="C56" s="654">
        <v>18040</v>
      </c>
      <c r="D56" s="672"/>
      <c r="E56" s="673">
        <v>40</v>
      </c>
      <c r="F56" s="657" t="s">
        <v>422</v>
      </c>
      <c r="G56" s="658" t="s">
        <v>405</v>
      </c>
      <c r="H56" s="711"/>
      <c r="I56" s="711"/>
      <c r="J56" s="466">
        <f t="shared" si="5"/>
        <v>0</v>
      </c>
      <c r="K56" s="467">
        <f>SUMIF('1.3-Basis ruimtestaat'!M:M,'1.2-Kengetal'!C56,Meters)</f>
        <v>0</v>
      </c>
      <c r="L56" s="467"/>
      <c r="M56" s="467">
        <f>SUMIF('1.3-Basis ruimtestaat'!M:M,'1.2-Kengetal'!C56,'1.3-Basis ruimtestaat'!L:L)</f>
        <v>0</v>
      </c>
      <c r="N56" s="659" t="str">
        <f t="shared" si="3"/>
        <v/>
      </c>
      <c r="O56" s="660"/>
      <c r="P56" s="653" t="s">
        <v>412</v>
      </c>
      <c r="S56" s="200"/>
      <c r="T56" s="200"/>
      <c r="U56" s="200"/>
      <c r="V56" s="200"/>
      <c r="W56" s="200"/>
      <c r="X56" s="200"/>
    </row>
    <row r="57" spans="1:24" s="225" customFormat="1" ht="17">
      <c r="A57" s="187"/>
      <c r="B57" s="200"/>
      <c r="C57" s="654">
        <v>18080</v>
      </c>
      <c r="D57" s="672"/>
      <c r="E57" s="673">
        <v>80</v>
      </c>
      <c r="F57" s="657" t="s">
        <v>422</v>
      </c>
      <c r="G57" s="658" t="s">
        <v>406</v>
      </c>
      <c r="H57" s="711"/>
      <c r="I57" s="711"/>
      <c r="J57" s="466">
        <f t="shared" si="5"/>
        <v>0</v>
      </c>
      <c r="K57" s="467">
        <f>SUMIF('1.3-Basis ruimtestaat'!M:M,'1.2-Kengetal'!C57,Meters)</f>
        <v>0</v>
      </c>
      <c r="L57" s="467"/>
      <c r="M57" s="467">
        <f>SUMIF('1.3-Basis ruimtestaat'!M:M,'1.2-Kengetal'!C57,'1.3-Basis ruimtestaat'!L:L)</f>
        <v>0</v>
      </c>
      <c r="N57" s="659" t="str">
        <f t="shared" si="3"/>
        <v/>
      </c>
      <c r="O57" s="660"/>
      <c r="P57" s="653" t="s">
        <v>412</v>
      </c>
      <c r="S57" s="200"/>
      <c r="T57" s="200"/>
      <c r="U57" s="200"/>
      <c r="V57" s="200"/>
      <c r="W57" s="200"/>
      <c r="X57" s="200"/>
    </row>
    <row r="58" spans="1:24" s="225" customFormat="1" ht="17">
      <c r="A58" s="187"/>
      <c r="B58" s="200"/>
      <c r="C58" s="654">
        <v>18200</v>
      </c>
      <c r="D58" s="672"/>
      <c r="E58" s="673">
        <v>200</v>
      </c>
      <c r="F58" s="657" t="s">
        <v>422</v>
      </c>
      <c r="G58" s="658" t="s">
        <v>407</v>
      </c>
      <c r="H58" s="711"/>
      <c r="I58" s="711"/>
      <c r="J58" s="466">
        <f t="shared" si="5"/>
        <v>0</v>
      </c>
      <c r="K58" s="467">
        <f>SUMIF('1.3-Basis ruimtestaat'!M:M,'1.2-Kengetal'!C58,Meters)</f>
        <v>4043.8108957694749</v>
      </c>
      <c r="L58" s="467"/>
      <c r="M58" s="467">
        <f>SUMIF('1.3-Basis ruimtestaat'!M:M,'1.2-Kengetal'!C58,'1.3-Basis ruimtestaat'!L:L)</f>
        <v>0</v>
      </c>
      <c r="N58" s="659">
        <f t="shared" si="3"/>
        <v>0.19995986269912547</v>
      </c>
      <c r="O58" s="660"/>
      <c r="P58" s="653" t="s">
        <v>412</v>
      </c>
      <c r="S58" s="200"/>
      <c r="T58" s="200"/>
      <c r="U58" s="200"/>
      <c r="V58" s="200"/>
      <c r="W58" s="200"/>
      <c r="X58" s="200"/>
    </row>
    <row r="59" spans="1:24" ht="17">
      <c r="C59" s="788">
        <v>22208</v>
      </c>
      <c r="D59" s="655"/>
      <c r="E59" s="656">
        <v>208</v>
      </c>
      <c r="F59" s="657" t="s">
        <v>73</v>
      </c>
      <c r="G59" s="658" t="s">
        <v>714</v>
      </c>
      <c r="H59" s="711"/>
      <c r="I59" s="711"/>
      <c r="J59" s="466">
        <f>IF(H59=0,0,E59/SUM(H59+I59))</f>
        <v>0</v>
      </c>
      <c r="K59" s="467">
        <f>SUMIF('1.3-Basis ruimtestaat'!M:M,'1.2-Kengetal'!C59,Meters)</f>
        <v>0</v>
      </c>
      <c r="L59" s="467"/>
      <c r="M59" s="467">
        <f>SUMIF('1.3-Basis ruimtestaat'!M:M,'1.2-Kengetal'!C59,'1.3-Basis ruimtestaat'!L:L)</f>
        <v>0</v>
      </c>
      <c r="N59" s="659" t="str">
        <f t="shared" si="3"/>
        <v/>
      </c>
      <c r="O59" s="660"/>
      <c r="P59" s="653" t="s">
        <v>412</v>
      </c>
      <c r="Q59" s="187"/>
      <c r="S59" s="200"/>
      <c r="T59" s="200"/>
      <c r="U59" s="200"/>
      <c r="V59" s="200"/>
      <c r="W59" s="200"/>
      <c r="X59" s="200"/>
    </row>
    <row r="60" spans="1:24" ht="17">
      <c r="C60" s="788">
        <v>22210</v>
      </c>
      <c r="D60" s="655"/>
      <c r="E60" s="656">
        <v>210</v>
      </c>
      <c r="F60" s="657" t="s">
        <v>73</v>
      </c>
      <c r="G60" s="658" t="s">
        <v>939</v>
      </c>
      <c r="H60" s="711"/>
      <c r="I60" s="711"/>
      <c r="J60" s="466">
        <f>IF(H60=0,0,E60/SUM(H60+I60))</f>
        <v>0</v>
      </c>
      <c r="K60" s="467">
        <f>SUMIF('1.3-Basis ruimtestaat'!M:M,'1.2-Kengetal'!C60,Meters)</f>
        <v>0</v>
      </c>
      <c r="L60" s="467"/>
      <c r="M60" s="467">
        <f>SUMIF('1.3-Basis ruimtestaat'!M:M,'1.2-Kengetal'!C60,'1.3-Basis ruimtestaat'!L:L)</f>
        <v>0</v>
      </c>
      <c r="N60" s="659" t="str">
        <f t="shared" si="3"/>
        <v/>
      </c>
      <c r="O60" s="660" t="s">
        <v>938</v>
      </c>
      <c r="P60" s="653" t="s">
        <v>412</v>
      </c>
      <c r="Q60" s="187"/>
      <c r="S60" s="200"/>
      <c r="T60" s="200"/>
      <c r="U60" s="200"/>
      <c r="V60" s="200"/>
      <c r="W60" s="200"/>
      <c r="X60" s="200"/>
    </row>
    <row r="61" spans="1:24" ht="17">
      <c r="C61" s="789">
        <v>22260</v>
      </c>
      <c r="D61" s="655"/>
      <c r="E61" s="656">
        <v>260</v>
      </c>
      <c r="F61" s="657" t="s">
        <v>73</v>
      </c>
      <c r="G61" s="658" t="s">
        <v>408</v>
      </c>
      <c r="H61" s="711"/>
      <c r="I61" s="711"/>
      <c r="J61" s="466">
        <f>IF(H61=0,0,E61/SUM(H61+I61))</f>
        <v>0</v>
      </c>
      <c r="K61" s="467">
        <f>SUMIF('1.3-Basis ruimtestaat'!M:M,'1.2-Kengetal'!C61,Meters)</f>
        <v>576.54222901539117</v>
      </c>
      <c r="L61" s="467"/>
      <c r="M61" s="467">
        <f>SUMIF('1.3-Basis ruimtestaat'!M:M,'1.2-Kengetal'!C61,'1.3-Basis ruimtestaat'!L:L)</f>
        <v>0</v>
      </c>
      <c r="N61" s="659">
        <f t="shared" si="3"/>
        <v>2.8509074218770646E-2</v>
      </c>
      <c r="O61" s="660"/>
      <c r="P61" s="653" t="s">
        <v>412</v>
      </c>
      <c r="Q61" s="187"/>
      <c r="S61" s="200"/>
      <c r="T61" s="200"/>
      <c r="U61" s="200"/>
      <c r="V61" s="200"/>
      <c r="W61" s="200"/>
      <c r="X61" s="200"/>
    </row>
    <row r="62" spans="1:24" s="225" customFormat="1" ht="17">
      <c r="A62" s="187"/>
      <c r="B62" s="200"/>
      <c r="C62" s="728" t="s">
        <v>937</v>
      </c>
      <c r="D62" s="673"/>
      <c r="E62" s="673">
        <v>1</v>
      </c>
      <c r="F62" s="729" t="s">
        <v>937</v>
      </c>
      <c r="G62" s="730" t="str">
        <f t="shared" ref="G62" si="6">CONCATENATE(E62," keer per jaar")</f>
        <v>1 keer per jaar</v>
      </c>
      <c r="H62" s="840"/>
      <c r="I62" s="840"/>
      <c r="J62" s="466">
        <f t="shared" si="5"/>
        <v>0</v>
      </c>
      <c r="K62" s="467">
        <f>SUMIF('1.3-Basis ruimtestaat'!M:M,'1.2-Kengetal'!C62,Meters)</f>
        <v>0</v>
      </c>
      <c r="L62" s="467"/>
      <c r="M62" s="467">
        <f>SUMIF('1.3-Basis ruimtestaat'!M:M,'1.2-Kengetal'!C62,'1.3-Basis ruimtestaat'!L:L)</f>
        <v>0</v>
      </c>
      <c r="N62" s="659" t="str">
        <f t="shared" ref="N62" si="7">IF(K62=0,"",K62/$M$74)</f>
        <v/>
      </c>
      <c r="O62" s="660"/>
      <c r="P62" s="653"/>
      <c r="S62" s="200"/>
      <c r="T62" s="200"/>
      <c r="U62" s="200"/>
      <c r="V62" s="200"/>
      <c r="W62" s="200"/>
      <c r="X62" s="200"/>
    </row>
    <row r="63" spans="1:24" s="225" customFormat="1" ht="17">
      <c r="A63" s="187"/>
      <c r="B63" s="200"/>
      <c r="C63" s="674" t="s">
        <v>178</v>
      </c>
      <c r="D63" s="719"/>
      <c r="E63" s="720"/>
      <c r="F63" s="677" t="s">
        <v>178</v>
      </c>
      <c r="G63" s="678"/>
      <c r="H63" s="658"/>
      <c r="I63" s="658"/>
      <c r="J63" s="466">
        <f t="shared" ref="J63:J65" si="8">IF(H63=0,0,E63/SUM(H63+I63))</f>
        <v>0</v>
      </c>
      <c r="K63" s="467">
        <f>SUMIF('1.3-Basis ruimtestaat'!M:M,'1.2-Kengetal'!C63,Meters)</f>
        <v>0</v>
      </c>
      <c r="L63" s="467"/>
      <c r="M63" s="467">
        <f>SUMIF('1.3-Basis ruimtestaat'!M:M,'1.2-Kengetal'!C63,'1.3-Basis ruimtestaat'!L:L)</f>
        <v>0</v>
      </c>
      <c r="N63" s="659" t="str">
        <f>IF(M63=0,"",M63/$M$74)</f>
        <v/>
      </c>
      <c r="O63" s="660"/>
      <c r="P63" s="653"/>
      <c r="S63" s="200"/>
      <c r="T63" s="200"/>
      <c r="U63" s="200"/>
      <c r="V63" s="200"/>
      <c r="W63" s="200"/>
      <c r="X63" s="200"/>
    </row>
    <row r="64" spans="1:24" s="225" customFormat="1" ht="17">
      <c r="A64" s="187"/>
      <c r="B64" s="200"/>
      <c r="C64" s="654" t="s">
        <v>17</v>
      </c>
      <c r="D64" s="672"/>
      <c r="E64" s="673"/>
      <c r="F64" s="657" t="s">
        <v>136</v>
      </c>
      <c r="G64" s="658"/>
      <c r="H64" s="658"/>
      <c r="I64" s="658"/>
      <c r="J64" s="466">
        <f t="shared" si="8"/>
        <v>0</v>
      </c>
      <c r="K64" s="467"/>
      <c r="L64" s="467"/>
      <c r="M64" s="467">
        <f>SUMIF('1.3-Basis ruimtestaat'!M:M,'1.2-Kengetal'!C64,'1.3-Basis ruimtestaat'!L:L)</f>
        <v>1208.6484999999993</v>
      </c>
      <c r="N64" s="659">
        <f>IF(M64=0,"",M64/$M$74)</f>
        <v>5.9765699816562663E-2</v>
      </c>
      <c r="O64" s="660"/>
      <c r="P64" s="653"/>
      <c r="S64" s="200"/>
      <c r="T64" s="200"/>
      <c r="U64" s="200"/>
      <c r="V64" s="200"/>
      <c r="W64" s="200"/>
      <c r="X64" s="200"/>
    </row>
    <row r="65" spans="1:24" s="225" customFormat="1" ht="17">
      <c r="A65" s="187"/>
      <c r="B65" s="200"/>
      <c r="C65" s="654" t="s">
        <v>292</v>
      </c>
      <c r="D65" s="672"/>
      <c r="E65" s="673"/>
      <c r="F65" s="657" t="s">
        <v>293</v>
      </c>
      <c r="G65" s="658"/>
      <c r="H65" s="658"/>
      <c r="I65" s="658"/>
      <c r="J65" s="466">
        <f t="shared" si="8"/>
        <v>0</v>
      </c>
      <c r="K65" s="467">
        <f>SUMIF('1.3-Basis ruimtestaat'!M:M,'1.2-Kengetal'!C65,Meters)</f>
        <v>0</v>
      </c>
      <c r="L65" s="467"/>
      <c r="M65" s="467">
        <f>SUMIF('1.3-Basis ruimtestaat'!M:M,'1.2-Kengetal'!C65,'1.3-Basis ruimtestaat'!L:L)</f>
        <v>0</v>
      </c>
      <c r="N65" s="659" t="str">
        <f>IF(M65=0,"",M65/$M$74)</f>
        <v/>
      </c>
      <c r="O65" s="660"/>
      <c r="P65" s="653"/>
      <c r="S65" s="200"/>
      <c r="T65" s="200"/>
      <c r="U65" s="200"/>
      <c r="V65" s="200"/>
      <c r="W65" s="200"/>
      <c r="X65" s="200"/>
    </row>
    <row r="66" spans="1:24" s="225" customFormat="1" ht="17">
      <c r="A66" s="187"/>
      <c r="B66" s="200"/>
      <c r="C66" s="712" t="s">
        <v>423</v>
      </c>
      <c r="D66" s="713"/>
      <c r="E66" s="714"/>
      <c r="F66" s="715" t="s">
        <v>424</v>
      </c>
      <c r="G66" s="716"/>
      <c r="H66" s="658"/>
      <c r="I66" s="658"/>
      <c r="J66" s="716"/>
      <c r="K66" s="467">
        <f>SUMIF('1.3-Basis ruimtestaat'!M:M,'1.2-Kengetal'!C66,Meters)</f>
        <v>0</v>
      </c>
      <c r="L66" s="467"/>
      <c r="M66" s="467">
        <f>SUMIF('1.3-Basis ruimtestaat'!M:M,'1.2-Kengetal'!C66,'1.3-Basis ruimtestaat'!L:L)</f>
        <v>0</v>
      </c>
      <c r="N66" s="659" t="str">
        <f>IF(M66=0,"",M66/$M$74)</f>
        <v/>
      </c>
      <c r="O66" s="660"/>
      <c r="P66" s="653"/>
      <c r="S66" s="200"/>
      <c r="T66" s="200"/>
      <c r="U66" s="200"/>
      <c r="V66" s="200"/>
      <c r="W66" s="200"/>
      <c r="X66" s="200"/>
    </row>
    <row r="67" spans="1:24" s="225" customFormat="1" ht="17">
      <c r="A67" s="187"/>
      <c r="B67" s="200"/>
      <c r="C67" s="654"/>
      <c r="D67" s="672"/>
      <c r="E67" s="673"/>
      <c r="F67" s="657"/>
      <c r="G67" s="658"/>
      <c r="H67" s="658"/>
      <c r="I67" s="658"/>
      <c r="J67" s="466"/>
      <c r="K67" s="467"/>
      <c r="L67" s="467"/>
      <c r="M67" s="467"/>
      <c r="N67" s="659"/>
      <c r="O67" s="660"/>
      <c r="P67" s="653"/>
      <c r="S67" s="200"/>
      <c r="T67" s="200"/>
      <c r="U67" s="200"/>
      <c r="V67" s="200"/>
      <c r="W67" s="200"/>
      <c r="X67" s="200"/>
    </row>
    <row r="68" spans="1:24" s="225" customFormat="1" ht="17">
      <c r="A68" s="187"/>
      <c r="B68" s="200"/>
      <c r="C68" s="654"/>
      <c r="D68" s="672"/>
      <c r="E68" s="673"/>
      <c r="F68" s="657"/>
      <c r="G68" s="658"/>
      <c r="H68" s="658"/>
      <c r="I68" s="658"/>
      <c r="J68" s="466"/>
      <c r="K68" s="467"/>
      <c r="L68" s="467"/>
      <c r="M68" s="467"/>
      <c r="N68" s="659"/>
      <c r="O68" s="660"/>
      <c r="P68" s="653"/>
      <c r="S68" s="200"/>
      <c r="T68" s="200"/>
      <c r="U68" s="200"/>
      <c r="V68" s="200"/>
      <c r="W68" s="200"/>
      <c r="X68" s="200"/>
    </row>
    <row r="69" spans="1:24" s="225" customFormat="1" ht="17">
      <c r="A69" s="187"/>
      <c r="B69" s="200"/>
      <c r="C69" s="654"/>
      <c r="D69" s="672"/>
      <c r="E69" s="673"/>
      <c r="F69" s="657"/>
      <c r="G69" s="658"/>
      <c r="H69" s="658"/>
      <c r="I69" s="658"/>
      <c r="J69" s="466"/>
      <c r="K69" s="467"/>
      <c r="L69" s="467"/>
      <c r="M69" s="467"/>
      <c r="N69" s="659"/>
      <c r="O69" s="660"/>
      <c r="P69" s="653"/>
      <c r="S69" s="200"/>
      <c r="T69" s="200"/>
      <c r="U69" s="200"/>
      <c r="V69" s="200"/>
      <c r="W69" s="200"/>
      <c r="X69" s="200"/>
    </row>
    <row r="70" spans="1:24" s="225" customFormat="1" ht="17">
      <c r="A70" s="187"/>
      <c r="B70" s="200"/>
      <c r="C70" s="654"/>
      <c r="D70" s="655"/>
      <c r="E70" s="656"/>
      <c r="F70" s="657"/>
      <c r="G70" s="658"/>
      <c r="H70" s="658"/>
      <c r="I70" s="658"/>
      <c r="J70" s="466"/>
      <c r="K70" s="467"/>
      <c r="L70" s="467"/>
      <c r="M70" s="467"/>
      <c r="N70" s="659"/>
      <c r="O70" s="660"/>
      <c r="P70" s="653"/>
      <c r="S70" s="200"/>
      <c r="T70" s="200"/>
      <c r="U70" s="200"/>
      <c r="V70" s="200"/>
      <c r="W70" s="200"/>
      <c r="X70" s="200"/>
    </row>
    <row r="71" spans="1:24" s="225" customFormat="1" ht="17">
      <c r="A71" s="187"/>
      <c r="B71" s="200"/>
      <c r="C71" s="674"/>
      <c r="D71" s="675"/>
      <c r="E71" s="676"/>
      <c r="F71" s="677"/>
      <c r="G71" s="678"/>
      <c r="H71" s="678"/>
      <c r="I71" s="678"/>
      <c r="J71" s="678"/>
      <c r="K71" s="467"/>
      <c r="L71" s="467"/>
      <c r="M71" s="467"/>
      <c r="N71" s="659"/>
      <c r="O71" s="679"/>
      <c r="P71" s="653"/>
      <c r="S71" s="200"/>
      <c r="T71" s="200"/>
      <c r="U71" s="200"/>
      <c r="V71" s="200"/>
      <c r="W71" s="200"/>
      <c r="X71" s="200"/>
    </row>
    <row r="72" spans="1:24" s="225" customFormat="1" ht="17">
      <c r="A72" s="187"/>
      <c r="B72" s="200"/>
      <c r="C72" s="663"/>
      <c r="D72" s="663"/>
      <c r="E72" s="664"/>
      <c r="F72" s="253"/>
      <c r="G72" s="254"/>
      <c r="H72" s="665"/>
      <c r="I72" s="665"/>
      <c r="J72" s="666"/>
      <c r="K72" s="251"/>
      <c r="L72" s="251"/>
      <c r="M72" s="252"/>
      <c r="N72" s="661"/>
      <c r="O72" s="662"/>
      <c r="P72" s="653"/>
      <c r="S72" s="200"/>
      <c r="T72" s="200"/>
      <c r="U72" s="200"/>
      <c r="V72" s="200"/>
      <c r="W72" s="200"/>
      <c r="X72" s="200"/>
    </row>
    <row r="73" spans="1:24" s="225" customFormat="1" ht="17">
      <c r="A73" s="187"/>
      <c r="B73" s="200"/>
      <c r="C73" s="220"/>
      <c r="D73" s="220"/>
      <c r="E73" s="188"/>
      <c r="F73" s="226"/>
      <c r="G73" s="227"/>
      <c r="H73" s="191"/>
      <c r="I73" s="191"/>
      <c r="J73" s="192"/>
      <c r="K73" s="667">
        <f>SUM(K14:K72)</f>
        <v>19014.464484699809</v>
      </c>
      <c r="L73" s="667"/>
      <c r="M73" s="667">
        <f>SUM(M14:M72)</f>
        <v>1208.6484999999993</v>
      </c>
      <c r="N73" s="265">
        <f>SUM(N13:N72)</f>
        <v>0.99999999999999989</v>
      </c>
      <c r="O73" s="668"/>
      <c r="P73" s="220"/>
      <c r="S73" s="200"/>
      <c r="T73" s="200"/>
      <c r="U73" s="200"/>
      <c r="V73" s="200"/>
      <c r="W73" s="200"/>
      <c r="X73" s="200"/>
    </row>
    <row r="74" spans="1:24" s="225" customFormat="1" ht="17">
      <c r="A74" s="187"/>
      <c r="B74" s="200"/>
      <c r="C74" s="220"/>
      <c r="D74" s="669"/>
      <c r="E74" s="188"/>
      <c r="F74" s="228"/>
      <c r="G74" s="188"/>
      <c r="H74" s="189"/>
      <c r="I74" s="191"/>
      <c r="J74" s="192"/>
      <c r="K74" s="229" t="s">
        <v>141</v>
      </c>
      <c r="L74" s="229"/>
      <c r="M74" s="468">
        <f>M73+K73</f>
        <v>20223.112984699808</v>
      </c>
      <c r="N74" s="227"/>
      <c r="O74" s="230"/>
      <c r="P74" s="231"/>
      <c r="S74" s="200"/>
      <c r="T74" s="200"/>
      <c r="U74" s="200"/>
      <c r="V74" s="200"/>
      <c r="W74" s="200"/>
      <c r="X74" s="200"/>
    </row>
    <row r="75" spans="1:24" s="225" customFormat="1" ht="17">
      <c r="A75" s="187"/>
      <c r="B75" s="200"/>
      <c r="C75" s="220"/>
      <c r="D75" s="220"/>
      <c r="E75" s="188"/>
      <c r="F75" s="226"/>
      <c r="G75" s="227"/>
      <c r="H75" s="191"/>
      <c r="I75" s="191"/>
      <c r="J75" s="192"/>
      <c r="K75" s="233"/>
      <c r="L75" s="233"/>
      <c r="M75" s="233"/>
      <c r="N75" s="239"/>
      <c r="O75" s="235"/>
      <c r="P75" s="231"/>
      <c r="S75" s="200"/>
      <c r="T75" s="200"/>
      <c r="U75" s="200"/>
      <c r="V75" s="200"/>
      <c r="W75" s="200"/>
      <c r="X75" s="200"/>
    </row>
    <row r="76" spans="1:24" ht="17">
      <c r="B76" s="200"/>
      <c r="Q76" s="232"/>
    </row>
    <row r="77" spans="1:24">
      <c r="M77" s="233"/>
      <c r="N77" s="239"/>
      <c r="O77" s="235"/>
      <c r="P77" s="231"/>
    </row>
    <row r="78" spans="1:24">
      <c r="C78" s="236" t="s">
        <v>115</v>
      </c>
      <c r="D78" s="236"/>
      <c r="E78" s="237"/>
      <c r="F78" s="237"/>
      <c r="J78" s="238"/>
      <c r="K78" s="239"/>
      <c r="L78" s="239"/>
    </row>
    <row r="79" spans="1:24">
      <c r="C79" s="237" t="s">
        <v>31</v>
      </c>
      <c r="D79" s="237"/>
      <c r="E79" s="237" t="s">
        <v>34</v>
      </c>
      <c r="J79" s="238"/>
      <c r="K79" s="239"/>
      <c r="L79" s="239"/>
      <c r="Q79" s="242"/>
    </row>
    <row r="80" spans="1:24">
      <c r="C80" s="237" t="s">
        <v>42</v>
      </c>
      <c r="D80" s="237"/>
      <c r="E80" s="237" t="s">
        <v>14</v>
      </c>
      <c r="J80" s="238"/>
      <c r="K80" s="239"/>
      <c r="L80" s="239"/>
      <c r="M80" s="234"/>
      <c r="N80" s="239"/>
      <c r="P80" s="241"/>
      <c r="Q80" s="241"/>
    </row>
    <row r="81" spans="3:17">
      <c r="C81" s="237" t="s">
        <v>70</v>
      </c>
      <c r="D81" s="237"/>
      <c r="E81" s="237" t="s">
        <v>77</v>
      </c>
      <c r="J81" s="238"/>
      <c r="K81" s="239"/>
      <c r="L81" s="239"/>
      <c r="M81" s="234"/>
      <c r="N81" s="243"/>
      <c r="O81" s="244"/>
      <c r="P81" s="241"/>
      <c r="Q81" s="241"/>
    </row>
    <row r="82" spans="3:17">
      <c r="C82" s="237" t="s">
        <v>46</v>
      </c>
      <c r="D82" s="237"/>
      <c r="E82" s="237" t="s">
        <v>91</v>
      </c>
      <c r="J82" s="238"/>
      <c r="K82" s="239"/>
      <c r="L82" s="239"/>
      <c r="M82" s="234"/>
      <c r="N82" s="243"/>
      <c r="O82" s="244"/>
      <c r="P82" s="241"/>
      <c r="Q82" s="241"/>
    </row>
    <row r="83" spans="3:17">
      <c r="C83" s="237" t="s">
        <v>39</v>
      </c>
      <c r="D83" s="237"/>
      <c r="E83" s="237" t="s">
        <v>107</v>
      </c>
      <c r="J83" s="238"/>
      <c r="K83" s="239"/>
      <c r="L83" s="239"/>
      <c r="M83" s="234"/>
      <c r="N83" s="243"/>
      <c r="O83" s="244"/>
      <c r="P83" s="241"/>
      <c r="Q83" s="241"/>
    </row>
    <row r="84" spans="3:17">
      <c r="C84" s="237" t="s">
        <v>44</v>
      </c>
      <c r="D84" s="237"/>
      <c r="E84" s="237" t="s">
        <v>116</v>
      </c>
      <c r="J84" s="238"/>
      <c r="K84" s="239"/>
      <c r="L84" s="239"/>
      <c r="M84" s="234"/>
      <c r="N84" s="243"/>
      <c r="O84" s="244"/>
      <c r="P84" s="241"/>
      <c r="Q84" s="241"/>
    </row>
    <row r="85" spans="3:17">
      <c r="C85" s="237" t="s">
        <v>127</v>
      </c>
      <c r="D85" s="237"/>
      <c r="E85" s="237" t="s">
        <v>129</v>
      </c>
      <c r="J85" s="238"/>
      <c r="K85" s="239"/>
      <c r="L85" s="239"/>
      <c r="M85" s="234"/>
      <c r="N85" s="243"/>
      <c r="O85" s="244"/>
      <c r="P85" s="241"/>
      <c r="Q85" s="241"/>
    </row>
    <row r="86" spans="3:17">
      <c r="C86" s="237" t="s">
        <v>128</v>
      </c>
      <c r="D86" s="237"/>
      <c r="E86" s="237" t="s">
        <v>130</v>
      </c>
      <c r="J86" s="238"/>
      <c r="K86" s="239"/>
      <c r="L86" s="239"/>
      <c r="M86" s="234"/>
      <c r="N86" s="243"/>
      <c r="O86" s="244"/>
      <c r="P86" s="241"/>
      <c r="Q86" s="241"/>
    </row>
    <row r="87" spans="3:17">
      <c r="C87" s="237" t="s">
        <v>131</v>
      </c>
      <c r="D87" s="237"/>
      <c r="E87" s="237" t="s">
        <v>135</v>
      </c>
      <c r="J87" s="238"/>
      <c r="K87" s="239"/>
      <c r="L87" s="239"/>
      <c r="M87" s="234"/>
      <c r="N87" s="243"/>
      <c r="O87" s="244"/>
      <c r="P87" s="241"/>
      <c r="Q87" s="241"/>
    </row>
    <row r="88" spans="3:17">
      <c r="C88" s="237" t="s">
        <v>132</v>
      </c>
      <c r="D88" s="237"/>
      <c r="E88" s="237" t="s">
        <v>386</v>
      </c>
      <c r="J88" s="238"/>
      <c r="K88" s="239"/>
      <c r="L88" s="239"/>
      <c r="M88" s="234"/>
      <c r="N88" s="243"/>
      <c r="O88" s="244"/>
      <c r="P88" s="241"/>
      <c r="Q88" s="241"/>
    </row>
    <row r="89" spans="3:17">
      <c r="C89" s="237" t="s">
        <v>88</v>
      </c>
      <c r="D89" s="237"/>
      <c r="E89" s="237" t="s">
        <v>1075</v>
      </c>
      <c r="J89" s="238"/>
      <c r="K89" s="239"/>
      <c r="L89" s="239"/>
      <c r="M89" s="234"/>
      <c r="N89" s="243"/>
      <c r="O89" s="244"/>
      <c r="P89" s="241"/>
      <c r="Q89" s="241"/>
    </row>
    <row r="90" spans="3:17" ht="16" thickBot="1">
      <c r="J90" s="238"/>
      <c r="K90" s="239"/>
      <c r="L90" s="239"/>
      <c r="M90" s="234"/>
      <c r="N90" s="243"/>
      <c r="O90" s="244"/>
      <c r="P90" s="241"/>
    </row>
    <row r="91" spans="3:17">
      <c r="C91" s="255"/>
      <c r="D91" s="255"/>
      <c r="E91" s="256"/>
      <c r="F91" s="257"/>
      <c r="G91" s="258"/>
      <c r="H91" s="259"/>
      <c r="I91" s="259"/>
      <c r="J91" s="260"/>
      <c r="K91" s="261"/>
      <c r="L91" s="261"/>
      <c r="M91" s="262"/>
      <c r="N91" s="258"/>
      <c r="O91" s="263"/>
      <c r="P91" s="264"/>
    </row>
  </sheetData>
  <autoFilter ref="C12:P76" xr:uid="{00000000-0001-0000-0400-000000000000}"/>
  <sortState xmlns:xlrd2="http://schemas.microsoft.com/office/spreadsheetml/2017/richdata2" ref="A14:AF58">
    <sortCondition ref="C14:C58"/>
  </sortState>
  <phoneticPr fontId="10"/>
  <conditionalFormatting sqref="H14:I61">
    <cfRule type="cellIs" dxfId="159" priority="3" operator="greaterThan">
      <formula>0</formula>
    </cfRule>
  </conditionalFormatting>
  <conditionalFormatting sqref="H62">
    <cfRule type="cellIs" dxfId="5" priority="2" operator="greaterThan">
      <formula>0</formula>
    </cfRule>
  </conditionalFormatting>
  <conditionalFormatting sqref="I62">
    <cfRule type="cellIs" dxfId="4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A4" xr:uid="{00000000-0002-0000-0400-000000000000}"/>
  </dataValidations>
  <printOptions horizontalCentered="1" gridLinesSet="0"/>
  <pageMargins left="0.19685039370078741" right="0.19685039370078741" top="0.39370078740157483" bottom="0.39370078740157483" header="0.39370078740157483" footer="0.19685039370078741"/>
  <pageSetup paperSize="9" scale="54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/>
  <dimension ref="A1:AA724"/>
  <sheetViews>
    <sheetView showGridLines="0" showRowColHeaders="0" showZeros="0" showOutlineSymbols="0" topLeftCell="H1" zoomScale="119" zoomScaleNormal="119" zoomScaleSheetLayoutView="65" zoomScalePageLayoutView="90" workbookViewId="0"/>
  </sheetViews>
  <sheetFormatPr baseColWidth="10" defaultColWidth="8.796875" defaultRowHeight="16" customHeight="1"/>
  <cols>
    <col min="1" max="1" width="8.59765625" style="237" customWidth="1"/>
    <col min="2" max="2" width="20.59765625" style="267" customWidth="1"/>
    <col min="3" max="3" width="13" style="305" customWidth="1"/>
    <col min="4" max="4" width="9.3984375" style="267" customWidth="1"/>
    <col min="5" max="5" width="39" style="306" bestFit="1" customWidth="1"/>
    <col min="6" max="6" width="15.3984375" style="267" bestFit="1" customWidth="1"/>
    <col min="7" max="7" width="13" style="307" customWidth="1"/>
    <col min="8" max="8" width="50.59765625" style="237" customWidth="1"/>
    <col min="9" max="9" width="44.19921875" style="286" bestFit="1" customWidth="1"/>
    <col min="10" max="10" width="16" style="267" customWidth="1"/>
    <col min="11" max="12" width="10.796875" style="288" customWidth="1"/>
    <col min="13" max="13" width="21.796875" style="289" bestFit="1" customWidth="1"/>
    <col min="14" max="14" width="16.59765625" style="267" bestFit="1" customWidth="1"/>
    <col min="15" max="15" width="11" style="289" customWidth="1"/>
    <col min="16" max="16" width="13.59765625" style="289" customWidth="1"/>
    <col min="17" max="17" width="12" style="290" customWidth="1"/>
    <col min="18" max="18" width="18.19921875" style="290" bestFit="1" customWidth="1"/>
    <col min="19" max="20" width="18.59765625" style="267" bestFit="1" customWidth="1"/>
    <col min="21" max="21" width="13.59765625" style="237" bestFit="1" customWidth="1"/>
    <col min="22" max="22" width="53" style="308" bestFit="1" customWidth="1"/>
    <col min="23" max="23" width="17" style="267" customWidth="1"/>
    <col min="24" max="24" width="20.3984375" style="267" customWidth="1"/>
    <col min="25" max="25" width="15.59765625" style="237" customWidth="1"/>
    <col min="26" max="26" width="14.59765625" style="733" hidden="1" customWidth="1"/>
    <col min="27" max="27" width="12" style="267" hidden="1" customWidth="1"/>
    <col min="28" max="28" width="17.3984375" style="237" customWidth="1"/>
    <col min="29" max="29" width="20" style="237" customWidth="1"/>
    <col min="30" max="16384" width="8.796875" style="237"/>
  </cols>
  <sheetData>
    <row r="1" spans="1:27" s="30" customFormat="1" ht="9" customHeight="1" thickBot="1">
      <c r="A1" s="736"/>
      <c r="D1" s="531"/>
      <c r="J1" s="525"/>
      <c r="T1" s="99"/>
      <c r="U1" s="99"/>
      <c r="V1" s="99"/>
      <c r="W1" s="99"/>
      <c r="X1" s="99"/>
      <c r="Z1" s="737"/>
      <c r="AA1" s="525"/>
    </row>
    <row r="2" spans="1:27" s="30" customFormat="1" ht="8" customHeight="1">
      <c r="A2" s="736"/>
      <c r="B2" s="102"/>
      <c r="C2" s="102"/>
      <c r="D2" s="532"/>
      <c r="E2" s="102"/>
      <c r="F2" s="102"/>
      <c r="G2" s="102"/>
      <c r="H2" s="102"/>
      <c r="I2" s="102"/>
      <c r="J2" s="526"/>
      <c r="K2" s="102"/>
      <c r="L2" s="102"/>
      <c r="M2" s="102"/>
      <c r="N2" s="102"/>
      <c r="O2" s="102"/>
      <c r="P2" s="102"/>
      <c r="Q2" s="102"/>
      <c r="R2" s="102"/>
      <c r="S2" s="102"/>
      <c r="T2" s="99"/>
      <c r="U2" s="99"/>
      <c r="V2" s="99"/>
      <c r="W2" s="99"/>
      <c r="X2" s="99"/>
      <c r="Z2" s="737"/>
      <c r="AA2" s="525"/>
    </row>
    <row r="3" spans="1:27" s="187" customFormat="1" ht="15">
      <c r="C3" s="188"/>
      <c r="D3" s="188"/>
      <c r="E3" s="188"/>
      <c r="F3" s="189"/>
      <c r="G3" s="190"/>
      <c r="H3" s="191"/>
      <c r="I3" s="528"/>
      <c r="J3" s="192"/>
      <c r="K3" s="193"/>
      <c r="L3" s="194"/>
      <c r="M3" s="190"/>
      <c r="N3" s="739" t="s">
        <v>706</v>
      </c>
      <c r="Z3" s="192"/>
      <c r="AA3" s="220"/>
    </row>
    <row r="4" spans="1:27" ht="18" customHeight="1">
      <c r="A4" s="267"/>
      <c r="C4" s="268"/>
      <c r="E4" s="280" t="str">
        <f>'1.2-Kengetal'!C4</f>
        <v>Omschrijving blad</v>
      </c>
      <c r="F4" s="281"/>
      <c r="G4" s="738" t="s">
        <v>341</v>
      </c>
      <c r="H4" s="282"/>
      <c r="I4" s="529"/>
      <c r="J4" s="271"/>
      <c r="K4" s="274"/>
      <c r="L4" s="274"/>
      <c r="M4" s="275"/>
      <c r="N4" s="283" t="s">
        <v>707</v>
      </c>
      <c r="O4" s="274"/>
      <c r="P4" s="274"/>
      <c r="Q4" s="276"/>
      <c r="R4" s="277"/>
      <c r="S4" s="279"/>
      <c r="T4" s="279"/>
      <c r="U4" s="283"/>
      <c r="V4" s="237"/>
      <c r="W4" s="271"/>
    </row>
    <row r="5" spans="1:27" ht="18" customHeight="1">
      <c r="A5" s="267"/>
      <c r="C5" s="268"/>
      <c r="E5" s="197" t="s">
        <v>85</v>
      </c>
      <c r="G5" s="332" t="str">
        <f>Voorblad!$E$16</f>
        <v>Stichting Opspoor</v>
      </c>
      <c r="H5" s="282"/>
      <c r="I5" s="530"/>
      <c r="J5" s="271"/>
      <c r="K5" s="274"/>
      <c r="L5" s="274"/>
      <c r="M5" s="275"/>
      <c r="N5" s="283" t="s">
        <v>708</v>
      </c>
      <c r="O5" s="275"/>
      <c r="P5" s="275"/>
      <c r="Q5" s="276"/>
      <c r="R5" s="277"/>
      <c r="S5" s="279"/>
      <c r="T5" s="279"/>
      <c r="U5" s="283"/>
      <c r="V5" s="237"/>
      <c r="W5" s="271"/>
    </row>
    <row r="6" spans="1:27" ht="18" customHeight="1">
      <c r="A6" s="267"/>
      <c r="C6" s="268"/>
      <c r="E6" s="197" t="s">
        <v>33</v>
      </c>
      <c r="G6" s="332" t="str">
        <f>'1.0-Contractblad'!$E$7</f>
        <v>Purmerend e.o.</v>
      </c>
      <c r="H6" s="282"/>
      <c r="J6" s="740" t="s">
        <v>161</v>
      </c>
      <c r="K6" s="287"/>
      <c r="M6" s="270"/>
      <c r="N6" s="283" t="s">
        <v>709</v>
      </c>
      <c r="R6" s="277"/>
      <c r="S6" s="279"/>
      <c r="T6" s="279"/>
      <c r="U6" s="283"/>
      <c r="V6" s="237"/>
      <c r="W6" s="271"/>
    </row>
    <row r="7" spans="1:27" ht="18" customHeight="1" thickBot="1">
      <c r="A7" s="267"/>
      <c r="C7" s="268"/>
      <c r="E7" s="197" t="s">
        <v>114</v>
      </c>
      <c r="G7" s="207" t="str">
        <f>Voorblad!$E$24</f>
        <v>1501-102-2026</v>
      </c>
      <c r="H7" s="282"/>
      <c r="J7" s="741"/>
      <c r="K7" s="742" t="s">
        <v>342</v>
      </c>
      <c r="L7" s="274"/>
      <c r="M7" s="275"/>
      <c r="N7" s="283" t="s">
        <v>710</v>
      </c>
      <c r="R7" s="277"/>
      <c r="S7" s="279"/>
      <c r="T7" s="279"/>
      <c r="U7" s="283"/>
      <c r="V7" s="237"/>
      <c r="W7" s="271"/>
    </row>
    <row r="8" spans="1:27" ht="18" customHeight="1">
      <c r="A8" s="267"/>
      <c r="C8" s="268"/>
      <c r="E8" s="197" t="s">
        <v>145</v>
      </c>
      <c r="G8" s="212" t="str">
        <f ca="1">Voorblad!$E$26</f>
        <v>Calculatiemodule Opspoor Perceel 2 V1.1 | 01-jan-27 Wijziging bijgehouden</v>
      </c>
      <c r="H8" s="282"/>
      <c r="J8" s="286"/>
      <c r="K8" s="286"/>
      <c r="L8" s="286"/>
      <c r="M8" s="275"/>
      <c r="N8" s="283" t="s">
        <v>711</v>
      </c>
      <c r="R8" s="277"/>
      <c r="S8" s="279"/>
      <c r="T8" s="279"/>
      <c r="U8" s="283"/>
      <c r="V8" s="237"/>
      <c r="W8" s="271"/>
    </row>
    <row r="9" spans="1:27" ht="18" customHeight="1">
      <c r="A9" s="267"/>
      <c r="C9" s="268"/>
      <c r="E9" s="197" t="s">
        <v>83</v>
      </c>
      <c r="G9" s="743" t="str">
        <f>Voorblad!$E$19</f>
        <v>Naam organisatie</v>
      </c>
      <c r="H9" s="291"/>
      <c r="J9" s="687"/>
      <c r="K9" s="744" t="s">
        <v>478</v>
      </c>
      <c r="L9" s="286"/>
      <c r="M9" s="275"/>
      <c r="N9" s="283" t="s">
        <v>712</v>
      </c>
      <c r="Q9" s="292"/>
      <c r="R9" s="292"/>
      <c r="S9" s="279"/>
      <c r="T9" s="279"/>
      <c r="U9" s="283"/>
      <c r="V9" s="237"/>
      <c r="W9" s="271"/>
    </row>
    <row r="10" spans="1:27" ht="18" customHeight="1">
      <c r="A10" s="267"/>
      <c r="C10" s="268"/>
      <c r="E10" s="197" t="s">
        <v>6</v>
      </c>
      <c r="G10" s="827">
        <f>Voorblad!$E$22</f>
        <v>46388</v>
      </c>
      <c r="H10" s="827"/>
      <c r="I10" s="293"/>
      <c r="K10" s="274"/>
      <c r="L10" s="274"/>
      <c r="M10" s="275"/>
      <c r="N10" s="283" t="s">
        <v>713</v>
      </c>
      <c r="R10" s="277"/>
      <c r="S10" s="279"/>
      <c r="T10" s="279"/>
      <c r="U10" s="283"/>
      <c r="V10" s="237"/>
      <c r="W10" s="271"/>
    </row>
    <row r="11" spans="1:27" ht="15">
      <c r="A11" s="267"/>
      <c r="C11" s="268"/>
      <c r="E11" s="269"/>
      <c r="F11" s="270"/>
      <c r="G11" s="271"/>
      <c r="H11" s="272"/>
      <c r="I11" s="273"/>
      <c r="J11" s="271"/>
      <c r="K11" s="274"/>
      <c r="L11" s="274"/>
      <c r="M11" s="275"/>
      <c r="N11" s="271"/>
      <c r="R11" s="277"/>
      <c r="S11" s="279"/>
      <c r="T11" s="279"/>
      <c r="U11" s="283"/>
      <c r="V11" s="237"/>
      <c r="W11" s="271"/>
    </row>
    <row r="12" spans="1:27" s="613" customFormat="1" ht="53" customHeight="1">
      <c r="A12" s="618"/>
      <c r="B12" s="745" t="s">
        <v>327</v>
      </c>
      <c r="C12" s="746" t="s">
        <v>328</v>
      </c>
      <c r="D12" s="569" t="s">
        <v>245</v>
      </c>
      <c r="E12" s="568" t="s">
        <v>270</v>
      </c>
      <c r="F12" s="569" t="s">
        <v>25</v>
      </c>
      <c r="G12" s="747" t="s">
        <v>296</v>
      </c>
      <c r="H12" s="568" t="s">
        <v>118</v>
      </c>
      <c r="I12" s="748" t="s">
        <v>53</v>
      </c>
      <c r="J12" s="745" t="s">
        <v>96</v>
      </c>
      <c r="K12" s="726" t="s">
        <v>78</v>
      </c>
      <c r="L12" s="726" t="s">
        <v>50</v>
      </c>
      <c r="M12" s="749" t="s">
        <v>237</v>
      </c>
      <c r="N12" s="750" t="s">
        <v>24</v>
      </c>
      <c r="O12" s="749" t="s">
        <v>244</v>
      </c>
      <c r="P12" s="749" t="s">
        <v>214</v>
      </c>
      <c r="Q12" s="751" t="s">
        <v>234</v>
      </c>
      <c r="R12" s="751" t="s">
        <v>233</v>
      </c>
      <c r="S12" s="752" t="s">
        <v>235</v>
      </c>
      <c r="T12" s="750" t="s">
        <v>232</v>
      </c>
      <c r="U12" s="569" t="s">
        <v>67</v>
      </c>
      <c r="V12" s="753" t="s">
        <v>51</v>
      </c>
      <c r="W12" s="745" t="s">
        <v>236</v>
      </c>
      <c r="X12" s="745" t="s">
        <v>329</v>
      </c>
      <c r="Z12" s="754"/>
      <c r="AA12" s="618"/>
    </row>
    <row r="13" spans="1:27" s="613" customFormat="1" ht="9" customHeight="1">
      <c r="A13" s="618"/>
      <c r="B13" s="755" t="s">
        <v>338</v>
      </c>
      <c r="C13" s="756"/>
      <c r="D13" s="757"/>
      <c r="E13" s="758"/>
      <c r="F13" s="759"/>
      <c r="G13" s="760"/>
      <c r="H13" s="761"/>
      <c r="I13" s="762"/>
      <c r="J13" s="763"/>
      <c r="K13" s="764"/>
      <c r="L13" s="764"/>
      <c r="M13" s="765"/>
      <c r="N13" s="766"/>
      <c r="O13" s="765"/>
      <c r="P13" s="765"/>
      <c r="Q13" s="767"/>
      <c r="R13" s="767"/>
      <c r="S13" s="768"/>
      <c r="T13" s="766"/>
      <c r="U13" s="759"/>
      <c r="V13" s="769"/>
      <c r="W13" s="763"/>
      <c r="X13" s="763"/>
      <c r="Z13" s="754"/>
      <c r="AA13" s="618"/>
    </row>
    <row r="14" spans="1:27" s="490" customFormat="1" ht="15">
      <c r="B14" s="330"/>
      <c r="C14" s="331"/>
      <c r="D14" s="295">
        <f>VLOOKUP(E14,'1.1a-Jaarprijzen'!$B$13:$G$32,6,FALSE)</f>
        <v>2</v>
      </c>
      <c r="E14" s="787" t="s">
        <v>720</v>
      </c>
      <c r="F14" s="295" t="s">
        <v>605</v>
      </c>
      <c r="G14" s="296" t="s">
        <v>691</v>
      </c>
      <c r="H14" s="294" t="s">
        <v>1019</v>
      </c>
      <c r="I14" s="297" t="str">
        <f t="shared" ref="I14:I75" si="0">IF($M14="",0,VLOOKUP($M14,Kengetal,4,FALSE))</f>
        <v>Kinderopvang</v>
      </c>
      <c r="J14" s="295" t="s">
        <v>699</v>
      </c>
      <c r="K14" s="298">
        <v>196.41944827812301</v>
      </c>
      <c r="L14" s="298">
        <v>0</v>
      </c>
      <c r="M14" s="299">
        <v>22260</v>
      </c>
      <c r="N14" s="300">
        <f t="shared" ref="N14:N44" si="1">VLOOKUP(M14,Kengetal,3,FALSE)</f>
        <v>260</v>
      </c>
      <c r="O14" s="484">
        <v>1</v>
      </c>
      <c r="P14" s="484">
        <v>1</v>
      </c>
      <c r="Q14" s="292">
        <f t="shared" ref="Q14:Q44" si="2">S14*K14*O14</f>
        <v>0</v>
      </c>
      <c r="R14" s="292">
        <f t="shared" ref="R14:R44" si="3">T14*K14*P14</f>
        <v>0</v>
      </c>
      <c r="S14" s="301">
        <f t="shared" ref="S14:S36" si="4">IF($M14=0,0,VLOOKUP($M14,Kengetal,6,FALSE))</f>
        <v>0</v>
      </c>
      <c r="T14" s="301">
        <f t="shared" ref="T14:T36" si="5">IF($M14=0,0,VLOOKUP($M14,Kengetal,7,FALSE))</f>
        <v>0</v>
      </c>
      <c r="U14" s="771" t="str">
        <f t="shared" ref="U14:U43" si="6">IF(M14="","",VLOOKUP(M14,Kengetal,14,FALSE))</f>
        <v>L</v>
      </c>
      <c r="V14" s="303" t="s">
        <v>1066</v>
      </c>
      <c r="W14" s="304">
        <f>(Q14+R14)*'1.0-Contractblad'!$L$37</f>
        <v>0</v>
      </c>
      <c r="X14" s="304">
        <f ca="1">VLOOKUP(E14,'1.1a-Jaarprijzen'!$B$35:$Q$57,16,FALSE)*K14</f>
        <v>0</v>
      </c>
      <c r="Z14" s="773">
        <f t="shared" ref="Z14:Z44" si="7">K14*N14</f>
        <v>51069.05655231198</v>
      </c>
      <c r="AA14" s="492" t="str">
        <f t="shared" ref="AA14:AA44" si="8">CONCATENATE(M14,"-",N14)</f>
        <v>22260-260</v>
      </c>
    </row>
    <row r="15" spans="1:27" s="490" customFormat="1" ht="15">
      <c r="B15" s="330"/>
      <c r="C15" s="331"/>
      <c r="D15" s="295">
        <f>VLOOKUP(E15,'1.1a-Jaarprijzen'!$B$13:$G$32,6,FALSE)</f>
        <v>2</v>
      </c>
      <c r="E15" s="770" t="s">
        <v>720</v>
      </c>
      <c r="F15" s="295" t="s">
        <v>605</v>
      </c>
      <c r="G15" s="296" t="s">
        <v>523</v>
      </c>
      <c r="H15" s="294" t="s">
        <v>670</v>
      </c>
      <c r="I15" s="297" t="str">
        <f t="shared" si="0"/>
        <v>entree, gang, hal, repro</v>
      </c>
      <c r="J15" s="298" t="s">
        <v>698</v>
      </c>
      <c r="K15" s="298">
        <v>4.2845829029603797</v>
      </c>
      <c r="L15" s="298">
        <v>0</v>
      </c>
      <c r="M15" s="299">
        <v>3200</v>
      </c>
      <c r="N15" s="300">
        <f t="shared" si="1"/>
        <v>200</v>
      </c>
      <c r="O15" s="484">
        <v>1</v>
      </c>
      <c r="P15" s="484">
        <v>1</v>
      </c>
      <c r="Q15" s="292">
        <f t="shared" si="2"/>
        <v>0</v>
      </c>
      <c r="R15" s="292">
        <f t="shared" si="3"/>
        <v>0</v>
      </c>
      <c r="S15" s="301">
        <f t="shared" si="4"/>
        <v>0</v>
      </c>
      <c r="T15" s="301">
        <f t="shared" si="5"/>
        <v>0</v>
      </c>
      <c r="U15" s="771" t="str">
        <f t="shared" si="6"/>
        <v>V</v>
      </c>
      <c r="V15" s="303"/>
      <c r="W15" s="304">
        <f>(Q15+R15)*'1.0-Contractblad'!$L$37</f>
        <v>0</v>
      </c>
      <c r="X15" s="304">
        <f ca="1">VLOOKUP(E15,'1.1a-Jaarprijzen'!$B$35:$Q$57,16,FALSE)*K15</f>
        <v>0</v>
      </c>
      <c r="Z15" s="773">
        <f t="shared" si="7"/>
        <v>856.91658059207589</v>
      </c>
      <c r="AA15" s="492" t="str">
        <f t="shared" si="8"/>
        <v>3200-200</v>
      </c>
    </row>
    <row r="16" spans="1:27" s="490" customFormat="1" ht="15">
      <c r="B16" s="330"/>
      <c r="C16" s="331"/>
      <c r="D16" s="295">
        <f>VLOOKUP(E16,'1.1a-Jaarprijzen'!$B$13:$G$32,6,FALSE)</f>
        <v>2</v>
      </c>
      <c r="E16" s="770" t="s">
        <v>720</v>
      </c>
      <c r="F16" s="295" t="s">
        <v>605</v>
      </c>
      <c r="G16" s="296" t="s">
        <v>524</v>
      </c>
      <c r="H16" s="294" t="s">
        <v>670</v>
      </c>
      <c r="I16" s="297" t="str">
        <f t="shared" si="0"/>
        <v>entree, gang, hal, repro</v>
      </c>
      <c r="J16" s="298" t="s">
        <v>698</v>
      </c>
      <c r="K16" s="298">
        <v>7.22677944856739</v>
      </c>
      <c r="L16" s="298">
        <v>0</v>
      </c>
      <c r="M16" s="299">
        <v>3200</v>
      </c>
      <c r="N16" s="300">
        <f t="shared" si="1"/>
        <v>200</v>
      </c>
      <c r="O16" s="484">
        <v>1</v>
      </c>
      <c r="P16" s="484">
        <v>1</v>
      </c>
      <c r="Q16" s="292">
        <f t="shared" si="2"/>
        <v>0</v>
      </c>
      <c r="R16" s="292">
        <f t="shared" si="3"/>
        <v>0</v>
      </c>
      <c r="S16" s="301">
        <f t="shared" si="4"/>
        <v>0</v>
      </c>
      <c r="T16" s="301">
        <f t="shared" si="5"/>
        <v>0</v>
      </c>
      <c r="U16" s="771" t="str">
        <f t="shared" si="6"/>
        <v>V</v>
      </c>
      <c r="V16" s="303"/>
      <c r="W16" s="304">
        <f>(Q16+R16)*'1.0-Contractblad'!$L$37</f>
        <v>0</v>
      </c>
      <c r="X16" s="304">
        <f ca="1">VLOOKUP(E16,'1.1a-Jaarprijzen'!$B$35:$Q$57,16,FALSE)*K16</f>
        <v>0</v>
      </c>
      <c r="Z16" s="773">
        <f t="shared" si="7"/>
        <v>1445.3558897134781</v>
      </c>
      <c r="AA16" s="492" t="str">
        <f t="shared" si="8"/>
        <v>3200-200</v>
      </c>
    </row>
    <row r="17" spans="2:27" s="490" customFormat="1" ht="15">
      <c r="B17" s="330"/>
      <c r="C17" s="331"/>
      <c r="D17" s="295">
        <f>VLOOKUP(E17,'1.1a-Jaarprijzen'!$B$13:$G$32,6,FALSE)</f>
        <v>2</v>
      </c>
      <c r="E17" s="787" t="s">
        <v>720</v>
      </c>
      <c r="F17" s="295" t="s">
        <v>605</v>
      </c>
      <c r="G17" s="296" t="s">
        <v>525</v>
      </c>
      <c r="H17" s="294" t="s">
        <v>1020</v>
      </c>
      <c r="I17" s="297" t="str">
        <f t="shared" si="0"/>
        <v>entree, gang, hal, repro</v>
      </c>
      <c r="J17" s="295" t="s">
        <v>698</v>
      </c>
      <c r="K17" s="298">
        <v>8.1859010691964595</v>
      </c>
      <c r="L17" s="298">
        <v>0</v>
      </c>
      <c r="M17" s="299">
        <v>3260</v>
      </c>
      <c r="N17" s="300">
        <f t="shared" si="1"/>
        <v>260</v>
      </c>
      <c r="O17" s="484">
        <v>1</v>
      </c>
      <c r="P17" s="484">
        <v>1</v>
      </c>
      <c r="Q17" s="292">
        <f t="shared" si="2"/>
        <v>0</v>
      </c>
      <c r="R17" s="292">
        <f t="shared" si="3"/>
        <v>0</v>
      </c>
      <c r="S17" s="301">
        <f t="shared" si="4"/>
        <v>0</v>
      </c>
      <c r="T17" s="301">
        <f t="shared" si="5"/>
        <v>0</v>
      </c>
      <c r="U17" s="771" t="str">
        <f t="shared" si="6"/>
        <v>V</v>
      </c>
      <c r="V17" s="303" t="s">
        <v>1066</v>
      </c>
      <c r="W17" s="304">
        <f>(Q17+R17)*'1.0-Contractblad'!$L$37</f>
        <v>0</v>
      </c>
      <c r="X17" s="304">
        <f ca="1">VLOOKUP(E17,'1.1a-Jaarprijzen'!$B$35:$Q$57,16,FALSE)*K17</f>
        <v>0</v>
      </c>
      <c r="Z17" s="773">
        <f t="shared" si="7"/>
        <v>2128.3342779910795</v>
      </c>
      <c r="AA17" s="492" t="str">
        <f t="shared" si="8"/>
        <v>3260-260</v>
      </c>
    </row>
    <row r="18" spans="2:27" s="490" customFormat="1" ht="15">
      <c r="B18" s="330"/>
      <c r="C18" s="331"/>
      <c r="D18" s="295">
        <f>VLOOKUP(E18,'1.1a-Jaarprijzen'!$B$13:$G$32,6,FALSE)</f>
        <v>2</v>
      </c>
      <c r="E18" s="770" t="s">
        <v>720</v>
      </c>
      <c r="F18" s="295" t="s">
        <v>605</v>
      </c>
      <c r="G18" s="296" t="s">
        <v>526</v>
      </c>
      <c r="H18" s="294" t="s">
        <v>476</v>
      </c>
      <c r="I18" s="297" t="str">
        <f t="shared" si="0"/>
        <v>leslokaal/leerplein groep 4 t/m 8</v>
      </c>
      <c r="J18" s="295" t="s">
        <v>48</v>
      </c>
      <c r="K18" s="298">
        <v>132.39338097657699</v>
      </c>
      <c r="L18" s="298">
        <v>0</v>
      </c>
      <c r="M18" s="299">
        <v>18200</v>
      </c>
      <c r="N18" s="300">
        <f t="shared" si="1"/>
        <v>200</v>
      </c>
      <c r="O18" s="484">
        <v>1</v>
      </c>
      <c r="P18" s="484">
        <v>1</v>
      </c>
      <c r="Q18" s="292">
        <f t="shared" si="2"/>
        <v>0</v>
      </c>
      <c r="R18" s="292">
        <f t="shared" si="3"/>
        <v>0</v>
      </c>
      <c r="S18" s="301">
        <f t="shared" si="4"/>
        <v>0</v>
      </c>
      <c r="T18" s="301">
        <f t="shared" si="5"/>
        <v>0</v>
      </c>
      <c r="U18" s="771" t="str">
        <f t="shared" si="6"/>
        <v>L</v>
      </c>
      <c r="V18" s="303"/>
      <c r="W18" s="304">
        <f>(Q18+R18)*'1.0-Contractblad'!$L$37</f>
        <v>0</v>
      </c>
      <c r="X18" s="304">
        <f ca="1">VLOOKUP(E18,'1.1a-Jaarprijzen'!$B$35:$Q$57,16,FALSE)*K18</f>
        <v>0</v>
      </c>
      <c r="Z18" s="773">
        <f t="shared" si="7"/>
        <v>26478.676195315398</v>
      </c>
      <c r="AA18" s="492" t="str">
        <f t="shared" si="8"/>
        <v>18200-200</v>
      </c>
    </row>
    <row r="19" spans="2:27" s="490" customFormat="1" ht="15">
      <c r="B19" s="330"/>
      <c r="C19" s="331"/>
      <c r="D19" s="295">
        <f>VLOOKUP(E19,'1.1a-Jaarprijzen'!$B$13:$G$32,6,FALSE)</f>
        <v>2</v>
      </c>
      <c r="E19" s="787" t="s">
        <v>720</v>
      </c>
      <c r="F19" s="295" t="s">
        <v>605</v>
      </c>
      <c r="G19" s="296" t="s">
        <v>527</v>
      </c>
      <c r="H19" s="294" t="s">
        <v>1021</v>
      </c>
      <c r="I19" s="297" t="str">
        <f t="shared" si="0"/>
        <v>entree, gang, hal, repro</v>
      </c>
      <c r="J19" s="295" t="s">
        <v>48</v>
      </c>
      <c r="K19" s="298">
        <v>8.6152533552803607</v>
      </c>
      <c r="L19" s="298">
        <v>0</v>
      </c>
      <c r="M19" s="299">
        <v>3260</v>
      </c>
      <c r="N19" s="300">
        <f t="shared" si="1"/>
        <v>260</v>
      </c>
      <c r="O19" s="484">
        <v>1</v>
      </c>
      <c r="P19" s="484">
        <v>1</v>
      </c>
      <c r="Q19" s="292">
        <f t="shared" si="2"/>
        <v>0</v>
      </c>
      <c r="R19" s="292">
        <f t="shared" si="3"/>
        <v>0</v>
      </c>
      <c r="S19" s="301">
        <f t="shared" si="4"/>
        <v>0</v>
      </c>
      <c r="T19" s="301">
        <f t="shared" si="5"/>
        <v>0</v>
      </c>
      <c r="U19" s="771" t="str">
        <f t="shared" si="6"/>
        <v>V</v>
      </c>
      <c r="V19" s="303" t="s">
        <v>1066</v>
      </c>
      <c r="W19" s="304">
        <f>(Q19+R19)*'1.0-Contractblad'!$L$37</f>
        <v>0</v>
      </c>
      <c r="X19" s="304">
        <f ca="1">VLOOKUP(E19,'1.1a-Jaarprijzen'!$B$35:$Q$57,16,FALSE)*K19</f>
        <v>0</v>
      </c>
      <c r="Z19" s="773">
        <f t="shared" si="7"/>
        <v>2239.965872372894</v>
      </c>
      <c r="AA19" s="492" t="str">
        <f t="shared" si="8"/>
        <v>3260-260</v>
      </c>
    </row>
    <row r="20" spans="2:27" s="490" customFormat="1" ht="15">
      <c r="B20" s="330"/>
      <c r="C20" s="331"/>
      <c r="D20" s="295">
        <f>VLOOKUP(E20,'1.1a-Jaarprijzen'!$B$13:$G$32,6,FALSE)</f>
        <v>2</v>
      </c>
      <c r="E20" s="787" t="s">
        <v>720</v>
      </c>
      <c r="F20" s="295" t="s">
        <v>605</v>
      </c>
      <c r="G20" s="296" t="s">
        <v>528</v>
      </c>
      <c r="H20" s="294" t="s">
        <v>1021</v>
      </c>
      <c r="I20" s="297" t="str">
        <f t="shared" si="0"/>
        <v>entree, gang, hal, repro</v>
      </c>
      <c r="J20" s="295" t="s">
        <v>48</v>
      </c>
      <c r="K20" s="298">
        <v>5.1528371999773404</v>
      </c>
      <c r="L20" s="298">
        <v>0</v>
      </c>
      <c r="M20" s="299">
        <v>3260</v>
      </c>
      <c r="N20" s="300">
        <f t="shared" si="1"/>
        <v>260</v>
      </c>
      <c r="O20" s="484">
        <v>1</v>
      </c>
      <c r="P20" s="484">
        <v>1</v>
      </c>
      <c r="Q20" s="292">
        <f t="shared" si="2"/>
        <v>0</v>
      </c>
      <c r="R20" s="292">
        <f t="shared" si="3"/>
        <v>0</v>
      </c>
      <c r="S20" s="301">
        <f t="shared" si="4"/>
        <v>0</v>
      </c>
      <c r="T20" s="301">
        <f t="shared" si="5"/>
        <v>0</v>
      </c>
      <c r="U20" s="771" t="str">
        <f t="shared" si="6"/>
        <v>V</v>
      </c>
      <c r="V20" s="303" t="s">
        <v>1066</v>
      </c>
      <c r="W20" s="304">
        <f>(Q20+R20)*'1.0-Contractblad'!$L$37</f>
        <v>0</v>
      </c>
      <c r="X20" s="304">
        <f ca="1">VLOOKUP(E20,'1.1a-Jaarprijzen'!$B$35:$Q$57,16,FALSE)*K20</f>
        <v>0</v>
      </c>
      <c r="Z20" s="773">
        <f t="shared" si="7"/>
        <v>1339.7376719941085</v>
      </c>
      <c r="AA20" s="492" t="str">
        <f t="shared" si="8"/>
        <v>3260-260</v>
      </c>
    </row>
    <row r="21" spans="2:27" s="490" customFormat="1" ht="15">
      <c r="B21" s="330"/>
      <c r="C21" s="331"/>
      <c r="D21" s="295">
        <f>VLOOKUP(E21,'1.1a-Jaarprijzen'!$B$13:$G$32,6,FALSE)</f>
        <v>2</v>
      </c>
      <c r="E21" s="787" t="s">
        <v>720</v>
      </c>
      <c r="F21" s="295" t="s">
        <v>605</v>
      </c>
      <c r="G21" s="296" t="s">
        <v>690</v>
      </c>
      <c r="H21" s="294" t="s">
        <v>1021</v>
      </c>
      <c r="I21" s="297" t="str">
        <f t="shared" si="0"/>
        <v>entree, gang, hal, repro</v>
      </c>
      <c r="J21" s="295" t="s">
        <v>48</v>
      </c>
      <c r="K21" s="298">
        <v>28.418091429133401</v>
      </c>
      <c r="L21" s="298">
        <v>0</v>
      </c>
      <c r="M21" s="299">
        <v>3260</v>
      </c>
      <c r="N21" s="300">
        <f t="shared" si="1"/>
        <v>260</v>
      </c>
      <c r="O21" s="484">
        <v>1</v>
      </c>
      <c r="P21" s="484">
        <v>1</v>
      </c>
      <c r="Q21" s="292">
        <f t="shared" si="2"/>
        <v>0</v>
      </c>
      <c r="R21" s="292">
        <f t="shared" si="3"/>
        <v>0</v>
      </c>
      <c r="S21" s="301">
        <f t="shared" si="4"/>
        <v>0</v>
      </c>
      <c r="T21" s="301">
        <f t="shared" si="5"/>
        <v>0</v>
      </c>
      <c r="U21" s="771" t="str">
        <f t="shared" si="6"/>
        <v>V</v>
      </c>
      <c r="V21" s="303" t="s">
        <v>1066</v>
      </c>
      <c r="W21" s="304">
        <f>(Q21+R21)*'1.0-Contractblad'!$L$37</f>
        <v>0</v>
      </c>
      <c r="X21" s="304">
        <f ca="1">VLOOKUP(E21,'1.1a-Jaarprijzen'!$B$35:$Q$57,16,FALSE)*K21</f>
        <v>0</v>
      </c>
      <c r="Z21" s="773">
        <f t="shared" si="7"/>
        <v>7388.7037715746847</v>
      </c>
      <c r="AA21" s="492" t="str">
        <f t="shared" si="8"/>
        <v>3260-260</v>
      </c>
    </row>
    <row r="22" spans="2:27" s="490" customFormat="1" ht="15">
      <c r="B22" s="330"/>
      <c r="C22" s="331"/>
      <c r="D22" s="295">
        <f>VLOOKUP(E22,'1.1a-Jaarprijzen'!$B$13:$G$32,6,FALSE)</f>
        <v>2</v>
      </c>
      <c r="E22" s="787" t="s">
        <v>720</v>
      </c>
      <c r="F22" s="295" t="s">
        <v>605</v>
      </c>
      <c r="G22" s="296" t="s">
        <v>671</v>
      </c>
      <c r="H22" s="294" t="s">
        <v>1022</v>
      </c>
      <c r="I22" s="297" t="str">
        <f t="shared" si="0"/>
        <v>pantry/keuken</v>
      </c>
      <c r="J22" s="295" t="s">
        <v>789</v>
      </c>
      <c r="K22" s="298">
        <v>40.358957858676597</v>
      </c>
      <c r="L22" s="298">
        <v>0</v>
      </c>
      <c r="M22" s="299">
        <v>5260</v>
      </c>
      <c r="N22" s="300">
        <f t="shared" si="1"/>
        <v>260</v>
      </c>
      <c r="O22" s="484">
        <v>1</v>
      </c>
      <c r="P22" s="484">
        <v>1</v>
      </c>
      <c r="Q22" s="292">
        <f t="shared" si="2"/>
        <v>0</v>
      </c>
      <c r="R22" s="292">
        <f t="shared" si="3"/>
        <v>0</v>
      </c>
      <c r="S22" s="301">
        <f t="shared" si="4"/>
        <v>0</v>
      </c>
      <c r="T22" s="301">
        <f t="shared" si="5"/>
        <v>0</v>
      </c>
      <c r="U22" s="771" t="str">
        <f t="shared" si="6"/>
        <v>V</v>
      </c>
      <c r="V22" s="303" t="s">
        <v>1066</v>
      </c>
      <c r="W22" s="304">
        <f>(Q22+R22)*'1.0-Contractblad'!$L$37</f>
        <v>0</v>
      </c>
      <c r="X22" s="304">
        <f ca="1">VLOOKUP(E22,'1.1a-Jaarprijzen'!$B$35:$Q$57,16,FALSE)*K22</f>
        <v>0</v>
      </c>
      <c r="Z22" s="773">
        <f t="shared" si="7"/>
        <v>10493.329043255915</v>
      </c>
      <c r="AA22" s="492" t="str">
        <f t="shared" si="8"/>
        <v>5260-260</v>
      </c>
    </row>
    <row r="23" spans="2:27" s="490" customFormat="1" ht="15">
      <c r="B23" s="330"/>
      <c r="C23" s="331"/>
      <c r="D23" s="295">
        <f>VLOOKUP(E23,'1.1a-Jaarprijzen'!$B$13:$G$32,6,FALSE)</f>
        <v>2</v>
      </c>
      <c r="E23" s="770" t="s">
        <v>720</v>
      </c>
      <c r="F23" s="295" t="s">
        <v>605</v>
      </c>
      <c r="G23" s="296" t="s">
        <v>489</v>
      </c>
      <c r="H23" s="294" t="s">
        <v>403</v>
      </c>
      <c r="I23" s="297" t="str">
        <f t="shared" si="0"/>
        <v>leslokaal/leerplein groep 4 t/m 8</v>
      </c>
      <c r="J23" s="295" t="s">
        <v>699</v>
      </c>
      <c r="K23" s="298">
        <v>56.338646757035796</v>
      </c>
      <c r="L23" s="298">
        <v>0</v>
      </c>
      <c r="M23" s="299">
        <v>18200</v>
      </c>
      <c r="N23" s="300">
        <f t="shared" si="1"/>
        <v>200</v>
      </c>
      <c r="O23" s="484">
        <v>1</v>
      </c>
      <c r="P23" s="484">
        <v>1</v>
      </c>
      <c r="Q23" s="292">
        <f t="shared" si="2"/>
        <v>0</v>
      </c>
      <c r="R23" s="292">
        <f t="shared" si="3"/>
        <v>0</v>
      </c>
      <c r="S23" s="301">
        <f t="shared" si="4"/>
        <v>0</v>
      </c>
      <c r="T23" s="301">
        <f t="shared" si="5"/>
        <v>0</v>
      </c>
      <c r="U23" s="771" t="str">
        <f t="shared" si="6"/>
        <v>L</v>
      </c>
      <c r="V23" s="303"/>
      <c r="W23" s="304">
        <f>(Q23+R23)*'1.0-Contractblad'!$L$37</f>
        <v>0</v>
      </c>
      <c r="X23" s="304">
        <f ca="1">VLOOKUP(E23,'1.1a-Jaarprijzen'!$B$35:$Q$57,16,FALSE)*K23</f>
        <v>0</v>
      </c>
      <c r="Z23" s="773">
        <f t="shared" si="7"/>
        <v>11267.729351407159</v>
      </c>
      <c r="AA23" s="492" t="str">
        <f t="shared" si="8"/>
        <v>18200-200</v>
      </c>
    </row>
    <row r="24" spans="2:27" s="490" customFormat="1" ht="15">
      <c r="B24" s="330"/>
      <c r="C24" s="331"/>
      <c r="D24" s="295">
        <f>VLOOKUP(E24,'1.1a-Jaarprijzen'!$B$13:$G$32,6,FALSE)</f>
        <v>2</v>
      </c>
      <c r="E24" s="770" t="s">
        <v>720</v>
      </c>
      <c r="F24" s="295" t="s">
        <v>605</v>
      </c>
      <c r="G24" s="296" t="s">
        <v>490</v>
      </c>
      <c r="H24" s="294" t="s">
        <v>403</v>
      </c>
      <c r="I24" s="297" t="str">
        <f t="shared" si="0"/>
        <v>leslokaal/leerplein groep 4 t/m 8</v>
      </c>
      <c r="J24" s="295" t="s">
        <v>699</v>
      </c>
      <c r="K24" s="298">
        <v>55.977689193397701</v>
      </c>
      <c r="L24" s="298">
        <v>0</v>
      </c>
      <c r="M24" s="299">
        <v>18200</v>
      </c>
      <c r="N24" s="300">
        <f t="shared" si="1"/>
        <v>200</v>
      </c>
      <c r="O24" s="484">
        <v>1</v>
      </c>
      <c r="P24" s="484">
        <v>1</v>
      </c>
      <c r="Q24" s="292">
        <f t="shared" si="2"/>
        <v>0</v>
      </c>
      <c r="R24" s="292">
        <f t="shared" si="3"/>
        <v>0</v>
      </c>
      <c r="S24" s="301">
        <f t="shared" si="4"/>
        <v>0</v>
      </c>
      <c r="T24" s="301">
        <f t="shared" si="5"/>
        <v>0</v>
      </c>
      <c r="U24" s="771" t="str">
        <f t="shared" si="6"/>
        <v>L</v>
      </c>
      <c r="V24" s="303"/>
      <c r="W24" s="304">
        <f>(Q24+R24)*'1.0-Contractblad'!$L$37</f>
        <v>0</v>
      </c>
      <c r="X24" s="304">
        <f ca="1">VLOOKUP(E24,'1.1a-Jaarprijzen'!$B$35:$Q$57,16,FALSE)*K24</f>
        <v>0</v>
      </c>
      <c r="Z24" s="773">
        <f t="shared" si="7"/>
        <v>11195.53783867954</v>
      </c>
      <c r="AA24" s="492" t="str">
        <f t="shared" si="8"/>
        <v>18200-200</v>
      </c>
    </row>
    <row r="25" spans="2:27" s="490" customFormat="1" ht="15">
      <c r="B25" s="330"/>
      <c r="C25" s="331"/>
      <c r="D25" s="295">
        <f>VLOOKUP(E25,'1.1a-Jaarprijzen'!$B$13:$G$32,6,FALSE)</f>
        <v>2</v>
      </c>
      <c r="E25" s="770" t="s">
        <v>720</v>
      </c>
      <c r="F25" s="295" t="s">
        <v>605</v>
      </c>
      <c r="G25" s="296" t="s">
        <v>491</v>
      </c>
      <c r="H25" s="294" t="s">
        <v>403</v>
      </c>
      <c r="I25" s="297" t="str">
        <f t="shared" si="0"/>
        <v>leslokaal/leerplein groep 4 t/m 8</v>
      </c>
      <c r="J25" s="295" t="s">
        <v>699</v>
      </c>
      <c r="K25" s="298">
        <v>56.026467242537997</v>
      </c>
      <c r="L25" s="298">
        <v>0</v>
      </c>
      <c r="M25" s="299">
        <v>18200</v>
      </c>
      <c r="N25" s="300">
        <f t="shared" si="1"/>
        <v>200</v>
      </c>
      <c r="O25" s="484">
        <v>1</v>
      </c>
      <c r="P25" s="484">
        <v>1</v>
      </c>
      <c r="Q25" s="292">
        <f t="shared" si="2"/>
        <v>0</v>
      </c>
      <c r="R25" s="292">
        <f t="shared" si="3"/>
        <v>0</v>
      </c>
      <c r="S25" s="301">
        <f t="shared" si="4"/>
        <v>0</v>
      </c>
      <c r="T25" s="301">
        <f t="shared" si="5"/>
        <v>0</v>
      </c>
      <c r="U25" s="771" t="str">
        <f t="shared" si="6"/>
        <v>L</v>
      </c>
      <c r="V25" s="303"/>
      <c r="W25" s="304">
        <f>(Q25+R25)*'1.0-Contractblad'!$L$37</f>
        <v>0</v>
      </c>
      <c r="X25" s="304">
        <f ca="1">VLOOKUP(E25,'1.1a-Jaarprijzen'!$B$35:$Q$57,16,FALSE)*K25</f>
        <v>0</v>
      </c>
      <c r="Z25" s="773">
        <f t="shared" si="7"/>
        <v>11205.2934485076</v>
      </c>
      <c r="AA25" s="492" t="str">
        <f t="shared" si="8"/>
        <v>18200-200</v>
      </c>
    </row>
    <row r="26" spans="2:27" s="490" customFormat="1" ht="15">
      <c r="B26" s="330"/>
      <c r="C26" s="331"/>
      <c r="D26" s="295">
        <f>VLOOKUP(E26,'1.1a-Jaarprijzen'!$B$13:$G$32,6,FALSE)</f>
        <v>2</v>
      </c>
      <c r="E26" s="770" t="s">
        <v>720</v>
      </c>
      <c r="F26" s="295" t="s">
        <v>605</v>
      </c>
      <c r="G26" s="296" t="s">
        <v>492</v>
      </c>
      <c r="H26" s="294" t="s">
        <v>403</v>
      </c>
      <c r="I26" s="297" t="str">
        <f t="shared" si="0"/>
        <v>leslokaal/leerplein groep 4 t/m 8</v>
      </c>
      <c r="J26" s="295" t="s">
        <v>699</v>
      </c>
      <c r="K26" s="298">
        <v>55.919155534429301</v>
      </c>
      <c r="L26" s="298">
        <v>0</v>
      </c>
      <c r="M26" s="299">
        <v>18200</v>
      </c>
      <c r="N26" s="300">
        <f t="shared" si="1"/>
        <v>200</v>
      </c>
      <c r="O26" s="484">
        <v>1</v>
      </c>
      <c r="P26" s="484">
        <v>1</v>
      </c>
      <c r="Q26" s="292">
        <f t="shared" si="2"/>
        <v>0</v>
      </c>
      <c r="R26" s="292">
        <f t="shared" si="3"/>
        <v>0</v>
      </c>
      <c r="S26" s="301">
        <f t="shared" si="4"/>
        <v>0</v>
      </c>
      <c r="T26" s="301">
        <f t="shared" si="5"/>
        <v>0</v>
      </c>
      <c r="U26" s="771" t="str">
        <f t="shared" si="6"/>
        <v>L</v>
      </c>
      <c r="V26" s="303"/>
      <c r="W26" s="304">
        <f>(Q26+R26)*'1.0-Contractblad'!$L$37</f>
        <v>0</v>
      </c>
      <c r="X26" s="304">
        <f ca="1">VLOOKUP(E26,'1.1a-Jaarprijzen'!$B$35:$Q$57,16,FALSE)*K26</f>
        <v>0</v>
      </c>
      <c r="Z26" s="773">
        <f t="shared" si="7"/>
        <v>11183.83110688586</v>
      </c>
      <c r="AA26" s="492" t="str">
        <f t="shared" si="8"/>
        <v>18200-200</v>
      </c>
    </row>
    <row r="27" spans="2:27" s="490" customFormat="1" ht="15">
      <c r="B27" s="330"/>
      <c r="C27" s="331"/>
      <c r="D27" s="295">
        <f>VLOOKUP(E27,'1.1a-Jaarprijzen'!$B$13:$G$32,6,FALSE)</f>
        <v>2</v>
      </c>
      <c r="E27" s="787" t="s">
        <v>720</v>
      </c>
      <c r="F27" s="295" t="s">
        <v>605</v>
      </c>
      <c r="G27" s="296" t="s">
        <v>493</v>
      </c>
      <c r="H27" s="294" t="s">
        <v>1023</v>
      </c>
      <c r="I27" s="297" t="str">
        <f t="shared" si="0"/>
        <v>speellokaal</v>
      </c>
      <c r="J27" s="295" t="s">
        <v>699</v>
      </c>
      <c r="K27" s="298">
        <v>56.163045780130801</v>
      </c>
      <c r="L27" s="298">
        <v>0</v>
      </c>
      <c r="M27" s="299">
        <v>8260</v>
      </c>
      <c r="N27" s="300">
        <f t="shared" si="1"/>
        <v>260</v>
      </c>
      <c r="O27" s="484">
        <v>1</v>
      </c>
      <c r="P27" s="484">
        <v>1</v>
      </c>
      <c r="Q27" s="292">
        <f t="shared" si="2"/>
        <v>0</v>
      </c>
      <c r="R27" s="292">
        <f t="shared" si="3"/>
        <v>0</v>
      </c>
      <c r="S27" s="301">
        <f t="shared" si="4"/>
        <v>0</v>
      </c>
      <c r="T27" s="301">
        <f t="shared" si="5"/>
        <v>0</v>
      </c>
      <c r="U27" s="771" t="str">
        <f t="shared" si="6"/>
        <v>L</v>
      </c>
      <c r="V27" s="303" t="s">
        <v>1066</v>
      </c>
      <c r="W27" s="304">
        <f>(Q27+R27)*'1.0-Contractblad'!$L$37</f>
        <v>0</v>
      </c>
      <c r="X27" s="304">
        <f ca="1">VLOOKUP(E27,'1.1a-Jaarprijzen'!$B$35:$Q$57,16,FALSE)*K27</f>
        <v>0</v>
      </c>
      <c r="Z27" s="773">
        <f t="shared" si="7"/>
        <v>14602.391902834008</v>
      </c>
      <c r="AA27" s="492" t="str">
        <f t="shared" si="8"/>
        <v>8260-260</v>
      </c>
    </row>
    <row r="28" spans="2:27" s="490" customFormat="1" ht="15">
      <c r="B28" s="330"/>
      <c r="C28" s="331"/>
      <c r="D28" s="295">
        <f>VLOOKUP(E28,'1.1a-Jaarprijzen'!$B$13:$G$32,6,FALSE)</f>
        <v>2</v>
      </c>
      <c r="E28" s="770" t="s">
        <v>720</v>
      </c>
      <c r="F28" s="295" t="s">
        <v>605</v>
      </c>
      <c r="G28" s="296" t="s">
        <v>494</v>
      </c>
      <c r="H28" s="294" t="s">
        <v>403</v>
      </c>
      <c r="I28" s="297" t="str">
        <f t="shared" si="0"/>
        <v>leslokaal groep 1 t/m 3</v>
      </c>
      <c r="J28" s="295" t="s">
        <v>699</v>
      </c>
      <c r="K28" s="298">
        <v>54.553370158501203</v>
      </c>
      <c r="L28" s="298">
        <v>0</v>
      </c>
      <c r="M28" s="299">
        <v>7200</v>
      </c>
      <c r="N28" s="300">
        <f t="shared" si="1"/>
        <v>200</v>
      </c>
      <c r="O28" s="484">
        <v>1</v>
      </c>
      <c r="P28" s="484">
        <v>1</v>
      </c>
      <c r="Q28" s="292">
        <f t="shared" si="2"/>
        <v>0</v>
      </c>
      <c r="R28" s="292">
        <f t="shared" si="3"/>
        <v>0</v>
      </c>
      <c r="S28" s="301">
        <f t="shared" si="4"/>
        <v>0</v>
      </c>
      <c r="T28" s="301">
        <f t="shared" si="5"/>
        <v>0</v>
      </c>
      <c r="U28" s="771" t="str">
        <f t="shared" si="6"/>
        <v>L</v>
      </c>
      <c r="V28" s="303"/>
      <c r="W28" s="304">
        <f>(Q28+R28)*'1.0-Contractblad'!$L$37</f>
        <v>0</v>
      </c>
      <c r="X28" s="304">
        <f ca="1">VLOOKUP(E28,'1.1a-Jaarprijzen'!$B$35:$Q$57,16,FALSE)*K28</f>
        <v>0</v>
      </c>
      <c r="Z28" s="773">
        <f t="shared" si="7"/>
        <v>10910.67403170024</v>
      </c>
      <c r="AA28" s="492" t="str">
        <f t="shared" si="8"/>
        <v>7200-200</v>
      </c>
    </row>
    <row r="29" spans="2:27" s="490" customFormat="1" ht="15">
      <c r="B29" s="330"/>
      <c r="C29" s="331"/>
      <c r="D29" s="295">
        <f>VLOOKUP(E29,'1.1a-Jaarprijzen'!$B$13:$G$32,6,FALSE)</f>
        <v>2</v>
      </c>
      <c r="E29" s="770" t="s">
        <v>720</v>
      </c>
      <c r="F29" s="295" t="s">
        <v>605</v>
      </c>
      <c r="G29" s="296" t="s">
        <v>495</v>
      </c>
      <c r="H29" s="294" t="s">
        <v>403</v>
      </c>
      <c r="I29" s="297" t="str">
        <f t="shared" si="0"/>
        <v>leslokaal groep 1 t/m 3</v>
      </c>
      <c r="J29" s="295" t="s">
        <v>699</v>
      </c>
      <c r="K29" s="298">
        <v>64.699204379681703</v>
      </c>
      <c r="L29" s="298">
        <v>0</v>
      </c>
      <c r="M29" s="299">
        <v>7200</v>
      </c>
      <c r="N29" s="300">
        <f t="shared" si="1"/>
        <v>200</v>
      </c>
      <c r="O29" s="484">
        <v>1</v>
      </c>
      <c r="P29" s="484">
        <v>1</v>
      </c>
      <c r="Q29" s="292">
        <f t="shared" si="2"/>
        <v>0</v>
      </c>
      <c r="R29" s="292">
        <f t="shared" si="3"/>
        <v>0</v>
      </c>
      <c r="S29" s="301">
        <f t="shared" si="4"/>
        <v>0</v>
      </c>
      <c r="T29" s="301">
        <f t="shared" si="5"/>
        <v>0</v>
      </c>
      <c r="U29" s="771" t="str">
        <f t="shared" si="6"/>
        <v>L</v>
      </c>
      <c r="V29" s="303"/>
      <c r="W29" s="304">
        <f>(Q29+R29)*'1.0-Contractblad'!$L$37</f>
        <v>0</v>
      </c>
      <c r="X29" s="304">
        <f ca="1">VLOOKUP(E29,'1.1a-Jaarprijzen'!$B$35:$Q$57,16,FALSE)*K29</f>
        <v>0</v>
      </c>
      <c r="Z29" s="773">
        <f t="shared" si="7"/>
        <v>12939.840875936341</v>
      </c>
      <c r="AA29" s="492" t="str">
        <f t="shared" si="8"/>
        <v>7200-200</v>
      </c>
    </row>
    <row r="30" spans="2:27" s="490" customFormat="1" ht="15">
      <c r="B30" s="330"/>
      <c r="C30" s="331"/>
      <c r="D30" s="295">
        <f>VLOOKUP(E30,'1.1a-Jaarprijzen'!$B$13:$G$32,6,FALSE)</f>
        <v>2</v>
      </c>
      <c r="E30" s="772" t="s">
        <v>720</v>
      </c>
      <c r="F30" s="295" t="s">
        <v>605</v>
      </c>
      <c r="G30" s="296" t="s">
        <v>496</v>
      </c>
      <c r="H30" s="294" t="s">
        <v>403</v>
      </c>
      <c r="I30" s="297" t="str">
        <f t="shared" si="0"/>
        <v>Kinderopvang</v>
      </c>
      <c r="J30" s="295" t="s">
        <v>699</v>
      </c>
      <c r="K30" s="298">
        <v>62.328591191463502</v>
      </c>
      <c r="L30" s="298">
        <v>0</v>
      </c>
      <c r="M30" s="299">
        <v>22260</v>
      </c>
      <c r="N30" s="300">
        <f t="shared" si="1"/>
        <v>260</v>
      </c>
      <c r="O30" s="484">
        <v>1</v>
      </c>
      <c r="P30" s="484">
        <v>1</v>
      </c>
      <c r="Q30" s="292">
        <f t="shared" si="2"/>
        <v>0</v>
      </c>
      <c r="R30" s="292">
        <f t="shared" si="3"/>
        <v>0</v>
      </c>
      <c r="S30" s="301">
        <f t="shared" si="4"/>
        <v>0</v>
      </c>
      <c r="T30" s="301">
        <f t="shared" si="5"/>
        <v>0</v>
      </c>
      <c r="U30" s="771" t="str">
        <f t="shared" si="6"/>
        <v>L</v>
      </c>
      <c r="V30" s="303"/>
      <c r="W30" s="304">
        <f>(Q30+R30)*'1.0-Contractblad'!$L$37</f>
        <v>0</v>
      </c>
      <c r="X30" s="304">
        <f ca="1">VLOOKUP(E30,'1.1a-Jaarprijzen'!$B$35:$Q$57,16,FALSE)*K30</f>
        <v>0</v>
      </c>
      <c r="Z30" s="773">
        <f t="shared" si="7"/>
        <v>16205.433709780511</v>
      </c>
      <c r="AA30" s="492" t="str">
        <f t="shared" si="8"/>
        <v>22260-260</v>
      </c>
    </row>
    <row r="31" spans="2:27" s="490" customFormat="1" ht="15">
      <c r="B31" s="330"/>
      <c r="C31" s="331"/>
      <c r="D31" s="295">
        <f>VLOOKUP(E31,'1.1a-Jaarprijzen'!$B$13:$G$32,6,FALSE)</f>
        <v>2</v>
      </c>
      <c r="E31" s="772" t="s">
        <v>720</v>
      </c>
      <c r="F31" s="295" t="s">
        <v>605</v>
      </c>
      <c r="G31" s="296" t="s">
        <v>497</v>
      </c>
      <c r="H31" s="294" t="s">
        <v>403</v>
      </c>
      <c r="I31" s="297" t="str">
        <f t="shared" si="0"/>
        <v>Kinderopvang</v>
      </c>
      <c r="J31" s="295" t="s">
        <v>699</v>
      </c>
      <c r="K31" s="298">
        <v>55.792332606664601</v>
      </c>
      <c r="L31" s="298">
        <v>0</v>
      </c>
      <c r="M31" s="299">
        <v>22260</v>
      </c>
      <c r="N31" s="300">
        <f t="shared" si="1"/>
        <v>260</v>
      </c>
      <c r="O31" s="484">
        <v>1</v>
      </c>
      <c r="P31" s="484">
        <v>1</v>
      </c>
      <c r="Q31" s="292">
        <f t="shared" si="2"/>
        <v>0</v>
      </c>
      <c r="R31" s="292">
        <f t="shared" si="3"/>
        <v>0</v>
      </c>
      <c r="S31" s="301">
        <f t="shared" si="4"/>
        <v>0</v>
      </c>
      <c r="T31" s="301">
        <f t="shared" si="5"/>
        <v>0</v>
      </c>
      <c r="U31" s="771" t="str">
        <f t="shared" si="6"/>
        <v>L</v>
      </c>
      <c r="V31" s="303"/>
      <c r="W31" s="304">
        <f>(Q31+R31)*'1.0-Contractblad'!$L$37</f>
        <v>0</v>
      </c>
      <c r="X31" s="304">
        <f ca="1">VLOOKUP(E31,'1.1a-Jaarprijzen'!$B$35:$Q$57,16,FALSE)*K31</f>
        <v>0</v>
      </c>
      <c r="Z31" s="773">
        <f t="shared" si="7"/>
        <v>14506.006477732797</v>
      </c>
      <c r="AA31" s="492" t="str">
        <f t="shared" si="8"/>
        <v>22260-260</v>
      </c>
    </row>
    <row r="32" spans="2:27" s="490" customFormat="1" ht="15">
      <c r="B32" s="330"/>
      <c r="C32" s="331"/>
      <c r="D32" s="295">
        <f>VLOOKUP(E32,'1.1a-Jaarprijzen'!$B$13:$G$32,6,FALSE)</f>
        <v>2</v>
      </c>
      <c r="E32" s="770" t="s">
        <v>720</v>
      </c>
      <c r="F32" s="295" t="s">
        <v>605</v>
      </c>
      <c r="G32" s="296" t="s">
        <v>498</v>
      </c>
      <c r="H32" s="294" t="s">
        <v>403</v>
      </c>
      <c r="I32" s="297" t="str">
        <f t="shared" si="0"/>
        <v>leslokaal groep 1 t/m 3</v>
      </c>
      <c r="J32" s="295" t="s">
        <v>699</v>
      </c>
      <c r="K32" s="298">
        <v>56.153290170302697</v>
      </c>
      <c r="L32" s="298">
        <v>0</v>
      </c>
      <c r="M32" s="299">
        <v>7200</v>
      </c>
      <c r="N32" s="300">
        <f t="shared" si="1"/>
        <v>200</v>
      </c>
      <c r="O32" s="484">
        <v>1</v>
      </c>
      <c r="P32" s="484">
        <v>1</v>
      </c>
      <c r="Q32" s="292">
        <f t="shared" si="2"/>
        <v>0</v>
      </c>
      <c r="R32" s="292">
        <f t="shared" si="3"/>
        <v>0</v>
      </c>
      <c r="S32" s="301">
        <f t="shared" si="4"/>
        <v>0</v>
      </c>
      <c r="T32" s="301">
        <f t="shared" si="5"/>
        <v>0</v>
      </c>
      <c r="U32" s="771" t="str">
        <f t="shared" si="6"/>
        <v>L</v>
      </c>
      <c r="V32" s="303"/>
      <c r="W32" s="304">
        <f>(Q32+R32)*'1.0-Contractblad'!$L$37</f>
        <v>0</v>
      </c>
      <c r="X32" s="304">
        <f ca="1">VLOOKUP(E32,'1.1a-Jaarprijzen'!$B$35:$Q$57,16,FALSE)*K32</f>
        <v>0</v>
      </c>
      <c r="Z32" s="773">
        <f t="shared" si="7"/>
        <v>11230.65803406054</v>
      </c>
      <c r="AA32" s="492" t="str">
        <f t="shared" si="8"/>
        <v>7200-200</v>
      </c>
    </row>
    <row r="33" spans="2:27" s="490" customFormat="1" ht="15">
      <c r="B33" s="330"/>
      <c r="C33" s="331"/>
      <c r="D33" s="295">
        <f>VLOOKUP(E33,'1.1a-Jaarprijzen'!$B$13:$G$32,6,FALSE)</f>
        <v>2</v>
      </c>
      <c r="E33" s="770" t="s">
        <v>720</v>
      </c>
      <c r="F33" s="295" t="s">
        <v>605</v>
      </c>
      <c r="G33" s="296" t="s">
        <v>499</v>
      </c>
      <c r="H33" s="294" t="s">
        <v>403</v>
      </c>
      <c r="I33" s="297" t="str">
        <f t="shared" si="0"/>
        <v>leslokaal/leerplein groep 4 t/m 8</v>
      </c>
      <c r="J33" s="295" t="s">
        <v>699</v>
      </c>
      <c r="K33" s="298">
        <v>55.909399924601303</v>
      </c>
      <c r="L33" s="298">
        <v>0</v>
      </c>
      <c r="M33" s="299">
        <v>18200</v>
      </c>
      <c r="N33" s="300">
        <f t="shared" si="1"/>
        <v>200</v>
      </c>
      <c r="O33" s="484">
        <v>1</v>
      </c>
      <c r="P33" s="484">
        <v>1</v>
      </c>
      <c r="Q33" s="292">
        <f t="shared" si="2"/>
        <v>0</v>
      </c>
      <c r="R33" s="292">
        <f t="shared" si="3"/>
        <v>0</v>
      </c>
      <c r="S33" s="301">
        <f t="shared" si="4"/>
        <v>0</v>
      </c>
      <c r="T33" s="301">
        <f t="shared" si="5"/>
        <v>0</v>
      </c>
      <c r="U33" s="771" t="str">
        <f t="shared" si="6"/>
        <v>L</v>
      </c>
      <c r="V33" s="303"/>
      <c r="W33" s="304">
        <f>(Q33+R33)*'1.0-Contractblad'!$L$37</f>
        <v>0</v>
      </c>
      <c r="X33" s="304">
        <f ca="1">VLOOKUP(E33,'1.1a-Jaarprijzen'!$B$35:$Q$57,16,FALSE)*K33</f>
        <v>0</v>
      </c>
      <c r="Z33" s="773">
        <f t="shared" si="7"/>
        <v>11181.879984920261</v>
      </c>
      <c r="AA33" s="492" t="str">
        <f t="shared" si="8"/>
        <v>18200-200</v>
      </c>
    </row>
    <row r="34" spans="2:27" s="490" customFormat="1" ht="15">
      <c r="B34" s="330"/>
      <c r="C34" s="331"/>
      <c r="D34" s="295">
        <f>VLOOKUP(E34,'1.1a-Jaarprijzen'!$B$13:$G$32,6,FALSE)</f>
        <v>2</v>
      </c>
      <c r="E34" s="770" t="s">
        <v>720</v>
      </c>
      <c r="F34" s="295" t="s">
        <v>605</v>
      </c>
      <c r="G34" s="296" t="s">
        <v>500</v>
      </c>
      <c r="H34" s="294" t="s">
        <v>403</v>
      </c>
      <c r="I34" s="297" t="str">
        <f t="shared" si="0"/>
        <v>leslokaal/leerplein groep 4 t/m 8</v>
      </c>
      <c r="J34" s="295" t="s">
        <v>699</v>
      </c>
      <c r="K34" s="298">
        <v>55.655754069071797</v>
      </c>
      <c r="L34" s="298">
        <v>0</v>
      </c>
      <c r="M34" s="299">
        <v>18200</v>
      </c>
      <c r="N34" s="300">
        <f t="shared" si="1"/>
        <v>200</v>
      </c>
      <c r="O34" s="484">
        <v>1</v>
      </c>
      <c r="P34" s="484">
        <v>1</v>
      </c>
      <c r="Q34" s="292">
        <f t="shared" si="2"/>
        <v>0</v>
      </c>
      <c r="R34" s="292">
        <f t="shared" si="3"/>
        <v>0</v>
      </c>
      <c r="S34" s="301">
        <f t="shared" si="4"/>
        <v>0</v>
      </c>
      <c r="T34" s="301">
        <f t="shared" si="5"/>
        <v>0</v>
      </c>
      <c r="U34" s="771" t="str">
        <f t="shared" si="6"/>
        <v>L</v>
      </c>
      <c r="V34" s="303"/>
      <c r="W34" s="304">
        <f>(Q34+R34)*'1.0-Contractblad'!$L$37</f>
        <v>0</v>
      </c>
      <c r="X34" s="304">
        <f ca="1">VLOOKUP(E34,'1.1a-Jaarprijzen'!$B$35:$Q$57,16,FALSE)*K34</f>
        <v>0</v>
      </c>
      <c r="Z34" s="773">
        <f t="shared" si="7"/>
        <v>11131.15081381436</v>
      </c>
      <c r="AA34" s="492" t="str">
        <f t="shared" si="8"/>
        <v>18200-200</v>
      </c>
    </row>
    <row r="35" spans="2:27" s="490" customFormat="1" ht="15">
      <c r="B35" s="330"/>
      <c r="C35" s="331"/>
      <c r="D35" s="295">
        <f>VLOOKUP(E35,'1.1a-Jaarprijzen'!$B$13:$G$32,6,FALSE)</f>
        <v>2</v>
      </c>
      <c r="E35" s="770" t="s">
        <v>720</v>
      </c>
      <c r="F35" s="295" t="s">
        <v>605</v>
      </c>
      <c r="G35" s="296" t="s">
        <v>570</v>
      </c>
      <c r="H35" s="294" t="s">
        <v>388</v>
      </c>
      <c r="I35" s="297" t="str">
        <f t="shared" si="0"/>
        <v>niet van toepassing</v>
      </c>
      <c r="J35" s="295" t="s">
        <v>17</v>
      </c>
      <c r="K35" s="298">
        <v>0</v>
      </c>
      <c r="L35" s="298">
        <v>2.17</v>
      </c>
      <c r="M35" s="299" t="s">
        <v>17</v>
      </c>
      <c r="N35" s="300">
        <f t="shared" si="1"/>
        <v>0</v>
      </c>
      <c r="O35" s="484">
        <v>1</v>
      </c>
      <c r="P35" s="484">
        <v>1</v>
      </c>
      <c r="Q35" s="292">
        <f t="shared" si="2"/>
        <v>0</v>
      </c>
      <c r="R35" s="292">
        <f t="shared" si="3"/>
        <v>0</v>
      </c>
      <c r="S35" s="301">
        <f t="shared" si="4"/>
        <v>0</v>
      </c>
      <c r="T35" s="301">
        <f t="shared" si="5"/>
        <v>0</v>
      </c>
      <c r="U35" s="771">
        <f t="shared" si="6"/>
        <v>0</v>
      </c>
      <c r="V35" s="303"/>
      <c r="W35" s="304">
        <f>(Q35+R35)*'1.0-Contractblad'!$L$37</f>
        <v>0</v>
      </c>
      <c r="X35" s="304">
        <f ca="1">VLOOKUP(E35,'1.1a-Jaarprijzen'!$B$35:$Q$57,16,FALSE)*K35</f>
        <v>0</v>
      </c>
      <c r="Z35" s="773">
        <f t="shared" si="7"/>
        <v>0</v>
      </c>
      <c r="AA35" s="492" t="str">
        <f t="shared" si="8"/>
        <v>nvt-0</v>
      </c>
    </row>
    <row r="36" spans="2:27" s="490" customFormat="1" ht="15">
      <c r="B36" s="330"/>
      <c r="C36" s="331"/>
      <c r="D36" s="295">
        <f>VLOOKUP(E36,'1.1a-Jaarprijzen'!$B$13:$G$32,6,FALSE)</f>
        <v>2</v>
      </c>
      <c r="E36" s="770" t="s">
        <v>720</v>
      </c>
      <c r="F36" s="295" t="s">
        <v>605</v>
      </c>
      <c r="G36" s="296" t="s">
        <v>572</v>
      </c>
      <c r="H36" s="294" t="s">
        <v>391</v>
      </c>
      <c r="I36" s="297" t="str">
        <f t="shared" si="0"/>
        <v>niet van toepassing</v>
      </c>
      <c r="J36" s="295" t="s">
        <v>17</v>
      </c>
      <c r="K36" s="298">
        <v>0</v>
      </c>
      <c r="L36" s="298">
        <v>4.0199999999999996</v>
      </c>
      <c r="M36" s="299" t="s">
        <v>17</v>
      </c>
      <c r="N36" s="300">
        <f t="shared" si="1"/>
        <v>0</v>
      </c>
      <c r="O36" s="484">
        <v>1</v>
      </c>
      <c r="P36" s="484">
        <v>1</v>
      </c>
      <c r="Q36" s="292">
        <f t="shared" si="2"/>
        <v>0</v>
      </c>
      <c r="R36" s="292">
        <f t="shared" si="3"/>
        <v>0</v>
      </c>
      <c r="S36" s="301">
        <f t="shared" si="4"/>
        <v>0</v>
      </c>
      <c r="T36" s="301">
        <f t="shared" si="5"/>
        <v>0</v>
      </c>
      <c r="U36" s="771">
        <f t="shared" si="6"/>
        <v>0</v>
      </c>
      <c r="V36" s="303"/>
      <c r="W36" s="304">
        <f>(Q36+R36)*'1.0-Contractblad'!$L$37</f>
        <v>0</v>
      </c>
      <c r="X36" s="304">
        <f ca="1">VLOOKUP(E36,'1.1a-Jaarprijzen'!$B$35:$Q$57,16,FALSE)*K36</f>
        <v>0</v>
      </c>
      <c r="Z36" s="773">
        <f t="shared" si="7"/>
        <v>0</v>
      </c>
      <c r="AA36" s="492" t="str">
        <f t="shared" si="8"/>
        <v>nvt-0</v>
      </c>
    </row>
    <row r="37" spans="2:27" s="490" customFormat="1" ht="15">
      <c r="B37" s="330"/>
      <c r="C37" s="331"/>
      <c r="D37" s="295">
        <f>VLOOKUP(E37,'1.1a-Jaarprijzen'!$B$13:$G$32,6,FALSE)</f>
        <v>2</v>
      </c>
      <c r="E37" s="770" t="s">
        <v>720</v>
      </c>
      <c r="F37" s="295" t="s">
        <v>605</v>
      </c>
      <c r="G37" s="296" t="s">
        <v>574</v>
      </c>
      <c r="H37" s="294" t="s">
        <v>391</v>
      </c>
      <c r="I37" s="297" t="str">
        <f t="shared" si="0"/>
        <v>niet van toepassing</v>
      </c>
      <c r="J37" s="295" t="s">
        <v>17</v>
      </c>
      <c r="K37" s="298">
        <v>0</v>
      </c>
      <c r="L37" s="298">
        <v>3.77</v>
      </c>
      <c r="M37" s="299" t="s">
        <v>17</v>
      </c>
      <c r="N37" s="300">
        <f t="shared" si="1"/>
        <v>0</v>
      </c>
      <c r="O37" s="484">
        <v>1</v>
      </c>
      <c r="P37" s="484">
        <v>1</v>
      </c>
      <c r="Q37" s="292">
        <f t="shared" si="2"/>
        <v>0</v>
      </c>
      <c r="R37" s="292">
        <f t="shared" si="3"/>
        <v>0</v>
      </c>
      <c r="S37" s="301">
        <f t="shared" ref="S37:S100" si="9">IF($M37=0,0,VLOOKUP($M37,Kengetal,6,FALSE))</f>
        <v>0</v>
      </c>
      <c r="T37" s="301">
        <f t="shared" ref="T37:T100" si="10">IF($M37=0,0,VLOOKUP($M37,Kengetal,7,FALSE))</f>
        <v>0</v>
      </c>
      <c r="U37" s="771">
        <f t="shared" si="6"/>
        <v>0</v>
      </c>
      <c r="V37" s="303"/>
      <c r="W37" s="304">
        <f>(Q37+R37)*'1.0-Contractblad'!$L$37</f>
        <v>0</v>
      </c>
      <c r="X37" s="304">
        <f ca="1">VLOOKUP(E37,'1.1a-Jaarprijzen'!$B$35:$Q$57,16,FALSE)*K37</f>
        <v>0</v>
      </c>
      <c r="Z37" s="773">
        <f t="shared" si="7"/>
        <v>0</v>
      </c>
      <c r="AA37" s="492" t="str">
        <f t="shared" si="8"/>
        <v>nvt-0</v>
      </c>
    </row>
    <row r="38" spans="2:27" s="490" customFormat="1" ht="15">
      <c r="B38" s="330"/>
      <c r="C38" s="331"/>
      <c r="D38" s="295">
        <f>VLOOKUP(E38,'1.1a-Jaarprijzen'!$B$13:$G$32,6,FALSE)</f>
        <v>2</v>
      </c>
      <c r="E38" s="787" t="s">
        <v>720</v>
      </c>
      <c r="F38" s="295" t="s">
        <v>605</v>
      </c>
      <c r="G38" s="296" t="s">
        <v>694</v>
      </c>
      <c r="H38" s="294" t="s">
        <v>1024</v>
      </c>
      <c r="I38" s="297" t="str">
        <f t="shared" si="0"/>
        <v>administratieve -,  vergaderruimte</v>
      </c>
      <c r="J38" s="295" t="s">
        <v>789</v>
      </c>
      <c r="K38" s="298">
        <v>11.64</v>
      </c>
      <c r="L38" s="298"/>
      <c r="M38" s="299">
        <v>1260</v>
      </c>
      <c r="N38" s="300">
        <f t="shared" si="1"/>
        <v>260</v>
      </c>
      <c r="O38" s="484">
        <v>1</v>
      </c>
      <c r="P38" s="484">
        <v>1</v>
      </c>
      <c r="Q38" s="292">
        <f t="shared" si="2"/>
        <v>0</v>
      </c>
      <c r="R38" s="292">
        <f t="shared" si="3"/>
        <v>0</v>
      </c>
      <c r="S38" s="301">
        <f t="shared" si="9"/>
        <v>0</v>
      </c>
      <c r="T38" s="301">
        <f t="shared" si="10"/>
        <v>0</v>
      </c>
      <c r="U38" s="771" t="str">
        <f t="shared" si="6"/>
        <v>V</v>
      </c>
      <c r="V38" s="303" t="s">
        <v>1066</v>
      </c>
      <c r="W38" s="304">
        <f>(Q38+R38)*'1.0-Contractblad'!$L$37</f>
        <v>0</v>
      </c>
      <c r="X38" s="304">
        <f ca="1">VLOOKUP(E38,'1.1a-Jaarprijzen'!$B$35:$Q$57,16,FALSE)*K38</f>
        <v>0</v>
      </c>
      <c r="Z38" s="773">
        <f t="shared" si="7"/>
        <v>3026.4</v>
      </c>
      <c r="AA38" s="492" t="str">
        <f t="shared" si="8"/>
        <v>1260-260</v>
      </c>
    </row>
    <row r="39" spans="2:27" s="490" customFormat="1" ht="15">
      <c r="B39" s="330"/>
      <c r="C39" s="331"/>
      <c r="D39" s="295">
        <f>VLOOKUP(E39,'1.1a-Jaarprijzen'!$B$13:$G$32,6,FALSE)</f>
        <v>2</v>
      </c>
      <c r="E39" s="770" t="s">
        <v>720</v>
      </c>
      <c r="F39" s="295" t="s">
        <v>605</v>
      </c>
      <c r="G39" s="296" t="s">
        <v>576</v>
      </c>
      <c r="H39" s="294" t="s">
        <v>721</v>
      </c>
      <c r="I39" s="297" t="str">
        <f t="shared" si="0"/>
        <v>niet van toepassing</v>
      </c>
      <c r="J39" s="295" t="s">
        <v>17</v>
      </c>
      <c r="K39" s="298">
        <v>0</v>
      </c>
      <c r="L39" s="298">
        <v>0</v>
      </c>
      <c r="M39" s="299" t="s">
        <v>17</v>
      </c>
      <c r="N39" s="300">
        <f t="shared" si="1"/>
        <v>0</v>
      </c>
      <c r="O39" s="484">
        <v>1</v>
      </c>
      <c r="P39" s="484">
        <v>1</v>
      </c>
      <c r="Q39" s="292">
        <f t="shared" si="2"/>
        <v>0</v>
      </c>
      <c r="R39" s="292">
        <f t="shared" si="3"/>
        <v>0</v>
      </c>
      <c r="S39" s="301">
        <f t="shared" si="9"/>
        <v>0</v>
      </c>
      <c r="T39" s="301">
        <f t="shared" si="10"/>
        <v>0</v>
      </c>
      <c r="U39" s="771">
        <f t="shared" si="6"/>
        <v>0</v>
      </c>
      <c r="V39" s="303"/>
      <c r="W39" s="304">
        <f>(Q39+R39)*'1.0-Contractblad'!$L$37</f>
        <v>0</v>
      </c>
      <c r="X39" s="304">
        <f ca="1">VLOOKUP(E39,'1.1a-Jaarprijzen'!$B$35:$Q$57,16,FALSE)*K39</f>
        <v>0</v>
      </c>
      <c r="Z39" s="773">
        <f t="shared" si="7"/>
        <v>0</v>
      </c>
      <c r="AA39" s="492" t="str">
        <f t="shared" si="8"/>
        <v>nvt-0</v>
      </c>
    </row>
    <row r="40" spans="2:27" s="490" customFormat="1" ht="15">
      <c r="B40" s="330"/>
      <c r="C40" s="331"/>
      <c r="D40" s="295">
        <f>VLOOKUP(E40,'1.1a-Jaarprijzen'!$B$13:$G$32,6,FALSE)</f>
        <v>2</v>
      </c>
      <c r="E40" s="770" t="s">
        <v>720</v>
      </c>
      <c r="F40" s="295" t="s">
        <v>605</v>
      </c>
      <c r="G40" s="296" t="s">
        <v>577</v>
      </c>
      <c r="H40" s="294" t="s">
        <v>721</v>
      </c>
      <c r="I40" s="297" t="str">
        <f t="shared" si="0"/>
        <v>niet van toepassing</v>
      </c>
      <c r="J40" s="298" t="s">
        <v>17</v>
      </c>
      <c r="K40" s="298">
        <v>0</v>
      </c>
      <c r="L40" s="298">
        <v>0</v>
      </c>
      <c r="M40" s="299" t="s">
        <v>17</v>
      </c>
      <c r="N40" s="300">
        <f t="shared" si="1"/>
        <v>0</v>
      </c>
      <c r="O40" s="484">
        <v>1</v>
      </c>
      <c r="P40" s="484">
        <v>1</v>
      </c>
      <c r="Q40" s="292">
        <f t="shared" si="2"/>
        <v>0</v>
      </c>
      <c r="R40" s="292">
        <f t="shared" si="3"/>
        <v>0</v>
      </c>
      <c r="S40" s="301">
        <f t="shared" si="9"/>
        <v>0</v>
      </c>
      <c r="T40" s="301">
        <f t="shared" si="10"/>
        <v>0</v>
      </c>
      <c r="U40" s="771">
        <f t="shared" si="6"/>
        <v>0</v>
      </c>
      <c r="V40" s="303"/>
      <c r="W40" s="304">
        <f>(Q40+R40)*'1.0-Contractblad'!$L$37</f>
        <v>0</v>
      </c>
      <c r="X40" s="304">
        <f ca="1">VLOOKUP(E40,'1.1a-Jaarprijzen'!$B$35:$Q$57,16,FALSE)*K40</f>
        <v>0</v>
      </c>
      <c r="Z40" s="773">
        <f t="shared" si="7"/>
        <v>0</v>
      </c>
      <c r="AA40" s="492" t="str">
        <f t="shared" si="8"/>
        <v>nvt-0</v>
      </c>
    </row>
    <row r="41" spans="2:27" s="490" customFormat="1" ht="15">
      <c r="B41" s="330"/>
      <c r="C41" s="331"/>
      <c r="D41" s="295">
        <f>VLOOKUP(E41,'1.1a-Jaarprijzen'!$B$13:$G$32,6,FALSE)</f>
        <v>2</v>
      </c>
      <c r="E41" s="770" t="s">
        <v>720</v>
      </c>
      <c r="F41" s="295" t="s">
        <v>605</v>
      </c>
      <c r="G41" s="296" t="s">
        <v>578</v>
      </c>
      <c r="H41" s="294" t="s">
        <v>721</v>
      </c>
      <c r="I41" s="297" t="str">
        <f t="shared" si="0"/>
        <v>niet van toepassing</v>
      </c>
      <c r="J41" s="298" t="s">
        <v>17</v>
      </c>
      <c r="K41" s="298">
        <v>0</v>
      </c>
      <c r="L41" s="298">
        <v>0</v>
      </c>
      <c r="M41" s="299" t="s">
        <v>17</v>
      </c>
      <c r="N41" s="300">
        <f t="shared" si="1"/>
        <v>0</v>
      </c>
      <c r="O41" s="484">
        <v>1</v>
      </c>
      <c r="P41" s="484">
        <v>1</v>
      </c>
      <c r="Q41" s="292">
        <f t="shared" si="2"/>
        <v>0</v>
      </c>
      <c r="R41" s="292">
        <f t="shared" si="3"/>
        <v>0</v>
      </c>
      <c r="S41" s="301">
        <f t="shared" si="9"/>
        <v>0</v>
      </c>
      <c r="T41" s="301">
        <f t="shared" si="10"/>
        <v>0</v>
      </c>
      <c r="U41" s="771">
        <f t="shared" si="6"/>
        <v>0</v>
      </c>
      <c r="V41" s="303"/>
      <c r="W41" s="304">
        <f>(Q41+R41)*'1.0-Contractblad'!$L$37</f>
        <v>0</v>
      </c>
      <c r="X41" s="304">
        <f ca="1">VLOOKUP(E41,'1.1a-Jaarprijzen'!$B$35:$Q$57,16,FALSE)*K41</f>
        <v>0</v>
      </c>
      <c r="Z41" s="773">
        <f t="shared" si="7"/>
        <v>0</v>
      </c>
      <c r="AA41" s="492" t="str">
        <f t="shared" si="8"/>
        <v>nvt-0</v>
      </c>
    </row>
    <row r="42" spans="2:27" s="490" customFormat="1" ht="15">
      <c r="B42" s="330"/>
      <c r="C42" s="331"/>
      <c r="D42" s="295">
        <f>VLOOKUP(E42,'1.1a-Jaarprijzen'!$B$13:$G$32,6,FALSE)</f>
        <v>2</v>
      </c>
      <c r="E42" s="770" t="s">
        <v>720</v>
      </c>
      <c r="F42" s="295" t="s">
        <v>605</v>
      </c>
      <c r="G42" s="296" t="s">
        <v>579</v>
      </c>
      <c r="H42" s="294" t="s">
        <v>721</v>
      </c>
      <c r="I42" s="297" t="str">
        <f t="shared" si="0"/>
        <v>niet van toepassing</v>
      </c>
      <c r="J42" s="295" t="s">
        <v>17</v>
      </c>
      <c r="K42" s="298">
        <v>0</v>
      </c>
      <c r="L42" s="298">
        <v>0</v>
      </c>
      <c r="M42" s="299" t="s">
        <v>17</v>
      </c>
      <c r="N42" s="300">
        <f t="shared" si="1"/>
        <v>0</v>
      </c>
      <c r="O42" s="484">
        <v>1</v>
      </c>
      <c r="P42" s="484">
        <v>1</v>
      </c>
      <c r="Q42" s="292">
        <f t="shared" si="2"/>
        <v>0</v>
      </c>
      <c r="R42" s="292">
        <f t="shared" si="3"/>
        <v>0</v>
      </c>
      <c r="S42" s="301">
        <f t="shared" si="9"/>
        <v>0</v>
      </c>
      <c r="T42" s="301">
        <f t="shared" si="10"/>
        <v>0</v>
      </c>
      <c r="U42" s="771">
        <f t="shared" si="6"/>
        <v>0</v>
      </c>
      <c r="V42" s="303"/>
      <c r="W42" s="304">
        <f>(Q42+R42)*'1.0-Contractblad'!$L$37</f>
        <v>0</v>
      </c>
      <c r="X42" s="304">
        <f ca="1">VLOOKUP(E42,'1.1a-Jaarprijzen'!$B$35:$Q$57,16,FALSE)*K42</f>
        <v>0</v>
      </c>
      <c r="Z42" s="773">
        <f t="shared" si="7"/>
        <v>0</v>
      </c>
      <c r="AA42" s="492" t="str">
        <f t="shared" si="8"/>
        <v>nvt-0</v>
      </c>
    </row>
    <row r="43" spans="2:27" s="490" customFormat="1" ht="15">
      <c r="B43" s="330"/>
      <c r="C43" s="331"/>
      <c r="D43" s="295">
        <f>VLOOKUP(E43,'1.1a-Jaarprijzen'!$B$13:$G$32,6,FALSE)</f>
        <v>2</v>
      </c>
      <c r="E43" s="770" t="s">
        <v>720</v>
      </c>
      <c r="F43" s="295" t="s">
        <v>605</v>
      </c>
      <c r="G43" s="296" t="s">
        <v>586</v>
      </c>
      <c r="H43" s="294" t="s">
        <v>721</v>
      </c>
      <c r="I43" s="297" t="str">
        <f t="shared" si="0"/>
        <v>niet van toepassing</v>
      </c>
      <c r="J43" s="295" t="s">
        <v>17</v>
      </c>
      <c r="K43" s="298">
        <v>0</v>
      </c>
      <c r="L43" s="298">
        <v>0</v>
      </c>
      <c r="M43" s="299" t="s">
        <v>17</v>
      </c>
      <c r="N43" s="300">
        <f t="shared" si="1"/>
        <v>0</v>
      </c>
      <c r="O43" s="484">
        <v>1</v>
      </c>
      <c r="P43" s="484">
        <v>1</v>
      </c>
      <c r="Q43" s="292">
        <f t="shared" si="2"/>
        <v>0</v>
      </c>
      <c r="R43" s="292">
        <f t="shared" si="3"/>
        <v>0</v>
      </c>
      <c r="S43" s="301">
        <f t="shared" si="9"/>
        <v>0</v>
      </c>
      <c r="T43" s="301">
        <f t="shared" si="10"/>
        <v>0</v>
      </c>
      <c r="U43" s="771">
        <f t="shared" si="6"/>
        <v>0</v>
      </c>
      <c r="V43" s="303"/>
      <c r="W43" s="304">
        <f>(Q43+R43)*'1.0-Contractblad'!$L$37</f>
        <v>0</v>
      </c>
      <c r="X43" s="304">
        <f ca="1">VLOOKUP(E43,'1.1a-Jaarprijzen'!$B$35:$Q$57,16,FALSE)*K43</f>
        <v>0</v>
      </c>
      <c r="Z43" s="773">
        <f t="shared" si="7"/>
        <v>0</v>
      </c>
      <c r="AA43" s="492" t="str">
        <f t="shared" si="8"/>
        <v>nvt-0</v>
      </c>
    </row>
    <row r="44" spans="2:27" s="490" customFormat="1" ht="15">
      <c r="B44" s="330"/>
      <c r="C44" s="331"/>
      <c r="D44" s="295">
        <f>VLOOKUP(E44,'1.1a-Jaarprijzen'!$B$13:$G$32,6,FALSE)</f>
        <v>2</v>
      </c>
      <c r="E44" s="770" t="s">
        <v>720</v>
      </c>
      <c r="F44" s="295" t="s">
        <v>605</v>
      </c>
      <c r="G44" s="296" t="s">
        <v>587</v>
      </c>
      <c r="H44" s="294" t="s">
        <v>721</v>
      </c>
      <c r="I44" s="297" t="str">
        <f t="shared" si="0"/>
        <v>niet van toepassing</v>
      </c>
      <c r="J44" s="295" t="s">
        <v>17</v>
      </c>
      <c r="K44" s="298">
        <v>0</v>
      </c>
      <c r="L44" s="298">
        <v>0</v>
      </c>
      <c r="M44" s="299" t="s">
        <v>17</v>
      </c>
      <c r="N44" s="300">
        <f t="shared" si="1"/>
        <v>0</v>
      </c>
      <c r="O44" s="484">
        <v>1</v>
      </c>
      <c r="P44" s="484">
        <v>1</v>
      </c>
      <c r="Q44" s="292">
        <f t="shared" si="2"/>
        <v>0</v>
      </c>
      <c r="R44" s="292">
        <f t="shared" si="3"/>
        <v>0</v>
      </c>
      <c r="S44" s="301">
        <f t="shared" si="9"/>
        <v>0</v>
      </c>
      <c r="T44" s="301">
        <f t="shared" si="10"/>
        <v>0</v>
      </c>
      <c r="U44" s="771">
        <f t="shared" ref="U44:U107" si="11">IF(M44="","",VLOOKUP(M44,Kengetal,14,FALSE))</f>
        <v>0</v>
      </c>
      <c r="V44" s="303"/>
      <c r="W44" s="304">
        <f>(Q44+R44)*'1.0-Contractblad'!$L$37</f>
        <v>0</v>
      </c>
      <c r="X44" s="304">
        <f ca="1">VLOOKUP(E44,'1.1a-Jaarprijzen'!$B$35:$Q$57,16,FALSE)*K44</f>
        <v>0</v>
      </c>
      <c r="Z44" s="773">
        <f t="shared" si="7"/>
        <v>0</v>
      </c>
      <c r="AA44" s="492" t="str">
        <f t="shared" si="8"/>
        <v>nvt-0</v>
      </c>
    </row>
    <row r="45" spans="2:27" s="490" customFormat="1" ht="15">
      <c r="B45" s="330"/>
      <c r="C45" s="331"/>
      <c r="D45" s="295">
        <f>VLOOKUP(E45,'1.1a-Jaarprijzen'!$B$13:$G$32,6,FALSE)</f>
        <v>2</v>
      </c>
      <c r="E45" s="787" t="s">
        <v>720</v>
      </c>
      <c r="F45" s="295" t="s">
        <v>605</v>
      </c>
      <c r="G45" s="296" t="s">
        <v>557</v>
      </c>
      <c r="H45" s="294" t="s">
        <v>1025</v>
      </c>
      <c r="I45" s="297" t="str">
        <f t="shared" si="0"/>
        <v>administratieve -,  vergaderruimte</v>
      </c>
      <c r="J45" s="295" t="s">
        <v>699</v>
      </c>
      <c r="K45" s="298">
        <v>30.1643455883558</v>
      </c>
      <c r="L45" s="298">
        <v>0</v>
      </c>
      <c r="M45" s="299">
        <v>1260</v>
      </c>
      <c r="N45" s="300">
        <f t="shared" ref="N45:N108" si="12">VLOOKUP(M45,Kengetal,3,FALSE)</f>
        <v>260</v>
      </c>
      <c r="O45" s="484">
        <v>1</v>
      </c>
      <c r="P45" s="484">
        <v>1</v>
      </c>
      <c r="Q45" s="292">
        <f t="shared" ref="Q45:Q108" si="13">S45*K45*O45</f>
        <v>0</v>
      </c>
      <c r="R45" s="292">
        <f t="shared" ref="R45:R108" si="14">T45*K45*P45</f>
        <v>0</v>
      </c>
      <c r="S45" s="301">
        <f t="shared" si="9"/>
        <v>0</v>
      </c>
      <c r="T45" s="301">
        <f t="shared" si="10"/>
        <v>0</v>
      </c>
      <c r="U45" s="771" t="str">
        <f t="shared" si="11"/>
        <v>V</v>
      </c>
      <c r="V45" s="303" t="s">
        <v>1066</v>
      </c>
      <c r="W45" s="304">
        <f>(Q45+R45)*'1.0-Contractblad'!$L$37</f>
        <v>0</v>
      </c>
      <c r="X45" s="304">
        <f ca="1">VLOOKUP(E45,'1.1a-Jaarprijzen'!$B$35:$Q$57,16,FALSE)*K45</f>
        <v>0</v>
      </c>
      <c r="Z45" s="773">
        <f t="shared" ref="Z45:Z108" si="15">K45*N45</f>
        <v>7842.7298529725085</v>
      </c>
      <c r="AA45" s="492" t="str">
        <f t="shared" ref="AA45:AA108" si="16">CONCATENATE(M45,"-",N45)</f>
        <v>1260-260</v>
      </c>
    </row>
    <row r="46" spans="2:27" s="490" customFormat="1" ht="15">
      <c r="B46" s="330"/>
      <c r="C46" s="331"/>
      <c r="D46" s="295">
        <f>VLOOKUP(E46,'1.1a-Jaarprijzen'!$B$13:$G$32,6,FALSE)</f>
        <v>2</v>
      </c>
      <c r="E46" s="787" t="s">
        <v>720</v>
      </c>
      <c r="F46" s="295" t="s">
        <v>605</v>
      </c>
      <c r="G46" s="296" t="s">
        <v>559</v>
      </c>
      <c r="H46" s="294" t="s">
        <v>564</v>
      </c>
      <c r="I46" s="297" t="str">
        <f t="shared" si="0"/>
        <v>pantry/keuken</v>
      </c>
      <c r="J46" s="295" t="s">
        <v>699</v>
      </c>
      <c r="K46" s="298">
        <v>9.35589850420053</v>
      </c>
      <c r="L46" s="298">
        <v>0</v>
      </c>
      <c r="M46" s="299">
        <v>5260</v>
      </c>
      <c r="N46" s="300">
        <f t="shared" si="12"/>
        <v>260</v>
      </c>
      <c r="O46" s="484">
        <v>1</v>
      </c>
      <c r="P46" s="484">
        <v>1</v>
      </c>
      <c r="Q46" s="292">
        <f t="shared" si="13"/>
        <v>0</v>
      </c>
      <c r="R46" s="292">
        <f t="shared" si="14"/>
        <v>0</v>
      </c>
      <c r="S46" s="301">
        <f t="shared" si="9"/>
        <v>0</v>
      </c>
      <c r="T46" s="301">
        <f t="shared" si="10"/>
        <v>0</v>
      </c>
      <c r="U46" s="771" t="str">
        <f t="shared" si="11"/>
        <v>V</v>
      </c>
      <c r="V46" s="303" t="s">
        <v>1066</v>
      </c>
      <c r="W46" s="304">
        <f>(Q46+R46)*'1.0-Contractblad'!$L$37</f>
        <v>0</v>
      </c>
      <c r="X46" s="304">
        <f ca="1">VLOOKUP(E46,'1.1a-Jaarprijzen'!$B$35:$Q$57,16,FALSE)*K46</f>
        <v>0</v>
      </c>
      <c r="Z46" s="773">
        <f t="shared" si="15"/>
        <v>2432.533611092138</v>
      </c>
      <c r="AA46" s="492" t="str">
        <f t="shared" si="16"/>
        <v>5260-260</v>
      </c>
    </row>
    <row r="47" spans="2:27" s="490" customFormat="1" ht="15">
      <c r="B47" s="330"/>
      <c r="C47" s="331"/>
      <c r="D47" s="295">
        <f>VLOOKUP(E47,'1.1a-Jaarprijzen'!$B$13:$G$32,6,FALSE)</f>
        <v>2</v>
      </c>
      <c r="E47" s="770" t="s">
        <v>720</v>
      </c>
      <c r="F47" s="295" t="s">
        <v>605</v>
      </c>
      <c r="G47" s="296" t="s">
        <v>560</v>
      </c>
      <c r="H47" s="294" t="s">
        <v>394</v>
      </c>
      <c r="I47" s="297" t="str">
        <f t="shared" si="0"/>
        <v>administratieve -,  vergaderruimte</v>
      </c>
      <c r="J47" s="295" t="s">
        <v>699</v>
      </c>
      <c r="K47" s="298">
        <v>18.270696675259401</v>
      </c>
      <c r="L47" s="298">
        <v>0</v>
      </c>
      <c r="M47" s="299">
        <v>1200</v>
      </c>
      <c r="N47" s="300">
        <f t="shared" si="12"/>
        <v>200</v>
      </c>
      <c r="O47" s="484">
        <v>1</v>
      </c>
      <c r="P47" s="484">
        <v>1</v>
      </c>
      <c r="Q47" s="292">
        <f t="shared" si="13"/>
        <v>0</v>
      </c>
      <c r="R47" s="292">
        <f t="shared" si="14"/>
        <v>0</v>
      </c>
      <c r="S47" s="301">
        <f t="shared" si="9"/>
        <v>0</v>
      </c>
      <c r="T47" s="301">
        <f t="shared" si="10"/>
        <v>0</v>
      </c>
      <c r="U47" s="771" t="str">
        <f t="shared" si="11"/>
        <v>V</v>
      </c>
      <c r="V47" s="303"/>
      <c r="W47" s="304">
        <f>(Q47+R47)*'1.0-Contractblad'!$L$37</f>
        <v>0</v>
      </c>
      <c r="X47" s="304">
        <f ca="1">VLOOKUP(E47,'1.1a-Jaarprijzen'!$B$35:$Q$57,16,FALSE)*K47</f>
        <v>0</v>
      </c>
      <c r="Z47" s="773">
        <f t="shared" si="15"/>
        <v>3654.1393350518802</v>
      </c>
      <c r="AA47" s="492" t="str">
        <f t="shared" si="16"/>
        <v>1200-200</v>
      </c>
    </row>
    <row r="48" spans="2:27" s="490" customFormat="1" ht="15">
      <c r="B48" s="330"/>
      <c r="C48" s="331"/>
      <c r="D48" s="295">
        <f>VLOOKUP(E48,'1.1a-Jaarprijzen'!$B$13:$G$32,6,FALSE)</f>
        <v>2</v>
      </c>
      <c r="E48" s="770" t="s">
        <v>720</v>
      </c>
      <c r="F48" s="295" t="s">
        <v>605</v>
      </c>
      <c r="G48" s="296" t="s">
        <v>562</v>
      </c>
      <c r="H48" s="294" t="s">
        <v>722</v>
      </c>
      <c r="I48" s="297" t="str">
        <f t="shared" si="0"/>
        <v>entree, gang, hal, repro</v>
      </c>
      <c r="J48" s="295" t="s">
        <v>699</v>
      </c>
      <c r="K48" s="298">
        <v>6.4</v>
      </c>
      <c r="L48" s="298"/>
      <c r="M48" s="299">
        <v>3040</v>
      </c>
      <c r="N48" s="300">
        <f t="shared" si="12"/>
        <v>40</v>
      </c>
      <c r="O48" s="484">
        <v>1</v>
      </c>
      <c r="P48" s="484">
        <v>1</v>
      </c>
      <c r="Q48" s="292">
        <f t="shared" si="13"/>
        <v>0</v>
      </c>
      <c r="R48" s="292">
        <f t="shared" si="14"/>
        <v>0</v>
      </c>
      <c r="S48" s="301">
        <f t="shared" si="9"/>
        <v>0</v>
      </c>
      <c r="T48" s="301">
        <f t="shared" si="10"/>
        <v>0</v>
      </c>
      <c r="U48" s="771" t="str">
        <f t="shared" si="11"/>
        <v>V</v>
      </c>
      <c r="V48" s="303"/>
      <c r="W48" s="304">
        <f>(Q48+R48)*'1.0-Contractblad'!$L$37</f>
        <v>0</v>
      </c>
      <c r="X48" s="304">
        <f ca="1">VLOOKUP(E48,'1.1a-Jaarprijzen'!$B$35:$Q$57,16,FALSE)*K48</f>
        <v>0</v>
      </c>
      <c r="Z48" s="773">
        <f t="shared" si="15"/>
        <v>256</v>
      </c>
      <c r="AA48" s="492" t="str">
        <f t="shared" si="16"/>
        <v>3040-40</v>
      </c>
    </row>
    <row r="49" spans="2:27" s="490" customFormat="1" ht="15">
      <c r="B49" s="330"/>
      <c r="C49" s="331"/>
      <c r="D49" s="295">
        <f>VLOOKUP(E49,'1.1a-Jaarprijzen'!$B$13:$G$32,6,FALSE)</f>
        <v>2</v>
      </c>
      <c r="E49" s="770" t="s">
        <v>720</v>
      </c>
      <c r="F49" s="295" t="s">
        <v>605</v>
      </c>
      <c r="G49" s="296" t="s">
        <v>510</v>
      </c>
      <c r="H49" s="294" t="s">
        <v>403</v>
      </c>
      <c r="I49" s="297" t="str">
        <f t="shared" si="0"/>
        <v>leslokaal/leerplein groep 4 t/m 8</v>
      </c>
      <c r="J49" s="295" t="s">
        <v>461</v>
      </c>
      <c r="K49" s="298">
        <v>102.853394417217</v>
      </c>
      <c r="L49" s="298">
        <v>0</v>
      </c>
      <c r="M49" s="299">
        <v>18200</v>
      </c>
      <c r="N49" s="300">
        <f t="shared" si="12"/>
        <v>200</v>
      </c>
      <c r="O49" s="484">
        <v>1</v>
      </c>
      <c r="P49" s="484">
        <v>1</v>
      </c>
      <c r="Q49" s="292">
        <f t="shared" si="13"/>
        <v>0</v>
      </c>
      <c r="R49" s="292">
        <f t="shared" si="14"/>
        <v>0</v>
      </c>
      <c r="S49" s="301">
        <f t="shared" si="9"/>
        <v>0</v>
      </c>
      <c r="T49" s="301">
        <f t="shared" si="10"/>
        <v>0</v>
      </c>
      <c r="U49" s="771" t="str">
        <f t="shared" si="11"/>
        <v>L</v>
      </c>
      <c r="V49" s="303"/>
      <c r="W49" s="304">
        <f>(Q49+R49)*'1.0-Contractblad'!$L$37</f>
        <v>0</v>
      </c>
      <c r="X49" s="304">
        <f ca="1">VLOOKUP(E49,'1.1a-Jaarprijzen'!$B$35:$Q$57,16,FALSE)*K49</f>
        <v>0</v>
      </c>
      <c r="Z49" s="773">
        <f t="shared" si="15"/>
        <v>20570.678883443401</v>
      </c>
      <c r="AA49" s="492" t="str">
        <f t="shared" si="16"/>
        <v>18200-200</v>
      </c>
    </row>
    <row r="50" spans="2:27" s="490" customFormat="1" ht="15">
      <c r="B50" s="330"/>
      <c r="C50" s="331"/>
      <c r="D50" s="295">
        <f>VLOOKUP(E50,'1.1a-Jaarprijzen'!$B$13:$G$32,6,FALSE)</f>
        <v>2</v>
      </c>
      <c r="E50" s="770" t="s">
        <v>720</v>
      </c>
      <c r="F50" s="295" t="s">
        <v>605</v>
      </c>
      <c r="G50" s="296" t="s">
        <v>534</v>
      </c>
      <c r="H50" s="294" t="s">
        <v>693</v>
      </c>
      <c r="I50" s="297" t="str">
        <f t="shared" si="0"/>
        <v>sanitaire ruimte (toilet-/doucheruimte)</v>
      </c>
      <c r="J50" s="295" t="s">
        <v>700</v>
      </c>
      <c r="K50" s="298">
        <v>6.6107562640203001</v>
      </c>
      <c r="L50" s="298">
        <v>0</v>
      </c>
      <c r="M50" s="299">
        <v>4200</v>
      </c>
      <c r="N50" s="300">
        <f t="shared" si="12"/>
        <v>200</v>
      </c>
      <c r="O50" s="484">
        <v>1</v>
      </c>
      <c r="P50" s="484">
        <v>1</v>
      </c>
      <c r="Q50" s="292">
        <f t="shared" si="13"/>
        <v>0</v>
      </c>
      <c r="R50" s="292">
        <f t="shared" si="14"/>
        <v>0</v>
      </c>
      <c r="S50" s="301">
        <f t="shared" si="9"/>
        <v>0</v>
      </c>
      <c r="T50" s="301">
        <f t="shared" si="10"/>
        <v>0</v>
      </c>
      <c r="U50" s="771" t="str">
        <f t="shared" si="11"/>
        <v>S</v>
      </c>
      <c r="V50" s="303"/>
      <c r="W50" s="304">
        <f>(Q50+R50)*'1.0-Contractblad'!$L$37</f>
        <v>0</v>
      </c>
      <c r="X50" s="304">
        <f ca="1">VLOOKUP(E50,'1.1a-Jaarprijzen'!$B$35:$Q$57,16,FALSE)*K50</f>
        <v>0</v>
      </c>
      <c r="Z50" s="773">
        <f t="shared" si="15"/>
        <v>1322.1512528040601</v>
      </c>
      <c r="AA50" s="492" t="str">
        <f t="shared" si="16"/>
        <v>4200-200</v>
      </c>
    </row>
    <row r="51" spans="2:27" s="490" customFormat="1" ht="15">
      <c r="B51" s="330"/>
      <c r="C51" s="331"/>
      <c r="D51" s="295">
        <f>VLOOKUP(E51,'1.1a-Jaarprijzen'!$B$13:$G$32,6,FALSE)</f>
        <v>2</v>
      </c>
      <c r="E51" s="770" t="s">
        <v>720</v>
      </c>
      <c r="F51" s="295" t="s">
        <v>605</v>
      </c>
      <c r="G51" s="296" t="s">
        <v>536</v>
      </c>
      <c r="H51" s="294" t="s">
        <v>693</v>
      </c>
      <c r="I51" s="297" t="str">
        <f t="shared" si="0"/>
        <v>sanitaire ruimte (toilet-/doucheruimte)</v>
      </c>
      <c r="J51" s="295" t="s">
        <v>700</v>
      </c>
      <c r="K51" s="298">
        <v>6.5739787604652502</v>
      </c>
      <c r="L51" s="298">
        <v>0</v>
      </c>
      <c r="M51" s="299">
        <v>4200</v>
      </c>
      <c r="N51" s="300">
        <f t="shared" si="12"/>
        <v>200</v>
      </c>
      <c r="O51" s="484">
        <v>1</v>
      </c>
      <c r="P51" s="484">
        <v>1</v>
      </c>
      <c r="Q51" s="292">
        <f t="shared" si="13"/>
        <v>0</v>
      </c>
      <c r="R51" s="292">
        <f t="shared" si="14"/>
        <v>0</v>
      </c>
      <c r="S51" s="301">
        <f t="shared" si="9"/>
        <v>0</v>
      </c>
      <c r="T51" s="301">
        <f t="shared" si="10"/>
        <v>0</v>
      </c>
      <c r="U51" s="771" t="str">
        <f t="shared" si="11"/>
        <v>S</v>
      </c>
      <c r="V51" s="303"/>
      <c r="W51" s="304">
        <f>(Q51+R51)*'1.0-Contractblad'!$L$37</f>
        <v>0</v>
      </c>
      <c r="X51" s="304">
        <f ca="1">VLOOKUP(E51,'1.1a-Jaarprijzen'!$B$35:$Q$57,16,FALSE)*K51</f>
        <v>0</v>
      </c>
      <c r="Z51" s="773">
        <f t="shared" si="15"/>
        <v>1314.7957520930499</v>
      </c>
      <c r="AA51" s="492" t="str">
        <f t="shared" si="16"/>
        <v>4200-200</v>
      </c>
    </row>
    <row r="52" spans="2:27" s="490" customFormat="1" ht="15">
      <c r="B52" s="330"/>
      <c r="C52" s="331"/>
      <c r="D52" s="295">
        <f>VLOOKUP(E52,'1.1a-Jaarprijzen'!$B$13:$G$32,6,FALSE)</f>
        <v>2</v>
      </c>
      <c r="E52" s="787" t="s">
        <v>720</v>
      </c>
      <c r="F52" s="295" t="s">
        <v>605</v>
      </c>
      <c r="G52" s="296" t="s">
        <v>537</v>
      </c>
      <c r="H52" s="294" t="s">
        <v>1026</v>
      </c>
      <c r="I52" s="297" t="str">
        <f t="shared" si="0"/>
        <v>sanitaire ruimte (toilet-/doucheruimte)</v>
      </c>
      <c r="J52" s="295" t="s">
        <v>700</v>
      </c>
      <c r="K52" s="298">
        <v>3.8044922182734902</v>
      </c>
      <c r="L52" s="298">
        <v>0</v>
      </c>
      <c r="M52" s="299">
        <v>4260</v>
      </c>
      <c r="N52" s="300">
        <f t="shared" si="12"/>
        <v>260</v>
      </c>
      <c r="O52" s="484">
        <v>1</v>
      </c>
      <c r="P52" s="484">
        <v>1</v>
      </c>
      <c r="Q52" s="292">
        <f t="shared" si="13"/>
        <v>0</v>
      </c>
      <c r="R52" s="292">
        <f t="shared" si="14"/>
        <v>0</v>
      </c>
      <c r="S52" s="301">
        <f t="shared" si="9"/>
        <v>0</v>
      </c>
      <c r="T52" s="301">
        <f t="shared" si="10"/>
        <v>0</v>
      </c>
      <c r="U52" s="771" t="str">
        <f t="shared" si="11"/>
        <v>S</v>
      </c>
      <c r="V52" s="303" t="s">
        <v>1066</v>
      </c>
      <c r="W52" s="304">
        <f>(Q52+R52)*'1.0-Contractblad'!$L$37</f>
        <v>0</v>
      </c>
      <c r="X52" s="304">
        <f ca="1">VLOOKUP(E52,'1.1a-Jaarprijzen'!$B$35:$Q$57,16,FALSE)*K52</f>
        <v>0</v>
      </c>
      <c r="Z52" s="773">
        <f t="shared" si="15"/>
        <v>989.1679767511074</v>
      </c>
      <c r="AA52" s="492" t="str">
        <f t="shared" si="16"/>
        <v>4260-260</v>
      </c>
    </row>
    <row r="53" spans="2:27" s="490" customFormat="1" ht="15">
      <c r="B53" s="330"/>
      <c r="C53" s="331"/>
      <c r="D53" s="295">
        <f>VLOOKUP(E53,'1.1a-Jaarprijzen'!$B$13:$G$32,6,FALSE)</f>
        <v>2</v>
      </c>
      <c r="E53" s="770" t="s">
        <v>720</v>
      </c>
      <c r="F53" s="295" t="s">
        <v>605</v>
      </c>
      <c r="G53" s="296" t="s">
        <v>538</v>
      </c>
      <c r="H53" s="294" t="s">
        <v>693</v>
      </c>
      <c r="I53" s="297" t="str">
        <f t="shared" si="0"/>
        <v>sanitaire ruimte (toilet-/doucheruimte)</v>
      </c>
      <c r="J53" s="295" t="s">
        <v>700</v>
      </c>
      <c r="K53" s="298">
        <v>6.8865875406831698</v>
      </c>
      <c r="L53" s="298">
        <v>0</v>
      </c>
      <c r="M53" s="299">
        <v>4200</v>
      </c>
      <c r="N53" s="300">
        <f t="shared" si="12"/>
        <v>200</v>
      </c>
      <c r="O53" s="484">
        <v>1</v>
      </c>
      <c r="P53" s="484">
        <v>1</v>
      </c>
      <c r="Q53" s="292">
        <f t="shared" si="13"/>
        <v>0</v>
      </c>
      <c r="R53" s="292">
        <f t="shared" si="14"/>
        <v>0</v>
      </c>
      <c r="S53" s="301">
        <f t="shared" si="9"/>
        <v>0</v>
      </c>
      <c r="T53" s="301">
        <f t="shared" si="10"/>
        <v>0</v>
      </c>
      <c r="U53" s="771" t="str">
        <f t="shared" si="11"/>
        <v>S</v>
      </c>
      <c r="V53" s="303"/>
      <c r="W53" s="304">
        <f>(Q53+R53)*'1.0-Contractblad'!$L$37</f>
        <v>0</v>
      </c>
      <c r="X53" s="304">
        <f ca="1">VLOOKUP(E53,'1.1a-Jaarprijzen'!$B$35:$Q$57,16,FALSE)*K53</f>
        <v>0</v>
      </c>
      <c r="Z53" s="773">
        <f t="shared" si="15"/>
        <v>1377.3175081366339</v>
      </c>
      <c r="AA53" s="492" t="str">
        <f t="shared" si="16"/>
        <v>4200-200</v>
      </c>
    </row>
    <row r="54" spans="2:27" s="490" customFormat="1" ht="15">
      <c r="B54" s="330"/>
      <c r="C54" s="331"/>
      <c r="D54" s="295">
        <f>VLOOKUP(E54,'1.1a-Jaarprijzen'!$B$13:$G$32,6,FALSE)</f>
        <v>2</v>
      </c>
      <c r="E54" s="770" t="s">
        <v>720</v>
      </c>
      <c r="F54" s="295" t="s">
        <v>605</v>
      </c>
      <c r="G54" s="296" t="s">
        <v>539</v>
      </c>
      <c r="H54" s="294" t="s">
        <v>477</v>
      </c>
      <c r="I54" s="297" t="str">
        <f t="shared" si="0"/>
        <v>sanitaire ruimte (toilet-/doucheruimte)</v>
      </c>
      <c r="J54" s="295" t="s">
        <v>700</v>
      </c>
      <c r="K54" s="298">
        <v>1.31119113573407</v>
      </c>
      <c r="L54" s="298">
        <v>0</v>
      </c>
      <c r="M54" s="299">
        <v>4200</v>
      </c>
      <c r="N54" s="300">
        <f t="shared" si="12"/>
        <v>200</v>
      </c>
      <c r="O54" s="484">
        <v>1</v>
      </c>
      <c r="P54" s="484">
        <v>1</v>
      </c>
      <c r="Q54" s="292">
        <f t="shared" si="13"/>
        <v>0</v>
      </c>
      <c r="R54" s="292">
        <f t="shared" si="14"/>
        <v>0</v>
      </c>
      <c r="S54" s="301">
        <f t="shared" si="9"/>
        <v>0</v>
      </c>
      <c r="T54" s="301">
        <f t="shared" si="10"/>
        <v>0</v>
      </c>
      <c r="U54" s="771" t="str">
        <f t="shared" si="11"/>
        <v>S</v>
      </c>
      <c r="V54" s="303"/>
      <c r="W54" s="304">
        <f>(Q54+R54)*'1.0-Contractblad'!$L$37</f>
        <v>0</v>
      </c>
      <c r="X54" s="304">
        <f ca="1">VLOOKUP(E54,'1.1a-Jaarprijzen'!$B$35:$Q$57,16,FALSE)*K54</f>
        <v>0</v>
      </c>
      <c r="Z54" s="773">
        <f t="shared" si="15"/>
        <v>262.23822714681398</v>
      </c>
      <c r="AA54" s="492" t="str">
        <f t="shared" si="16"/>
        <v>4200-200</v>
      </c>
    </row>
    <row r="55" spans="2:27" s="490" customFormat="1" ht="15">
      <c r="B55" s="330"/>
      <c r="C55" s="331"/>
      <c r="D55" s="295">
        <f>VLOOKUP(E55,'1.1a-Jaarprijzen'!$B$13:$G$32,6,FALSE)</f>
        <v>2</v>
      </c>
      <c r="E55" s="770" t="s">
        <v>720</v>
      </c>
      <c r="F55" s="295" t="s">
        <v>605</v>
      </c>
      <c r="G55" s="296" t="s">
        <v>541</v>
      </c>
      <c r="H55" s="294" t="s">
        <v>477</v>
      </c>
      <c r="I55" s="297" t="str">
        <f t="shared" si="0"/>
        <v>sanitaire ruimte (toilet-/doucheruimte)</v>
      </c>
      <c r="J55" s="295" t="s">
        <v>700</v>
      </c>
      <c r="K55" s="298">
        <v>1.2844321329639901</v>
      </c>
      <c r="L55" s="298">
        <v>0</v>
      </c>
      <c r="M55" s="299">
        <v>4200</v>
      </c>
      <c r="N55" s="300">
        <f t="shared" si="12"/>
        <v>200</v>
      </c>
      <c r="O55" s="484">
        <v>1</v>
      </c>
      <c r="P55" s="484">
        <v>1</v>
      </c>
      <c r="Q55" s="292">
        <f t="shared" si="13"/>
        <v>0</v>
      </c>
      <c r="R55" s="292">
        <f t="shared" si="14"/>
        <v>0</v>
      </c>
      <c r="S55" s="301">
        <f t="shared" si="9"/>
        <v>0</v>
      </c>
      <c r="T55" s="301">
        <f t="shared" si="10"/>
        <v>0</v>
      </c>
      <c r="U55" s="771" t="str">
        <f t="shared" si="11"/>
        <v>S</v>
      </c>
      <c r="V55" s="303"/>
      <c r="W55" s="304">
        <f>(Q55+R55)*'1.0-Contractblad'!$L$37</f>
        <v>0</v>
      </c>
      <c r="X55" s="304">
        <f ca="1">VLOOKUP(E55,'1.1a-Jaarprijzen'!$B$35:$Q$57,16,FALSE)*K55</f>
        <v>0</v>
      </c>
      <c r="Z55" s="773">
        <f t="shared" si="15"/>
        <v>256.88642659279799</v>
      </c>
      <c r="AA55" s="492" t="str">
        <f t="shared" si="16"/>
        <v>4200-200</v>
      </c>
    </row>
    <row r="56" spans="2:27" s="490" customFormat="1" ht="15">
      <c r="B56" s="330"/>
      <c r="C56" s="331"/>
      <c r="D56" s="295">
        <f>VLOOKUP(E56,'1.1a-Jaarprijzen'!$B$13:$G$32,6,FALSE)</f>
        <v>2</v>
      </c>
      <c r="E56" s="770" t="s">
        <v>720</v>
      </c>
      <c r="F56" s="295" t="s">
        <v>605</v>
      </c>
      <c r="G56" s="296" t="s">
        <v>542</v>
      </c>
      <c r="H56" s="294" t="s">
        <v>477</v>
      </c>
      <c r="I56" s="297" t="str">
        <f t="shared" si="0"/>
        <v>sanitaire ruimte (toilet-/doucheruimte)</v>
      </c>
      <c r="J56" s="295" t="s">
        <v>700</v>
      </c>
      <c r="K56" s="298">
        <v>1.2576731301939099</v>
      </c>
      <c r="L56" s="298">
        <v>0</v>
      </c>
      <c r="M56" s="299">
        <v>4200</v>
      </c>
      <c r="N56" s="300">
        <f t="shared" si="12"/>
        <v>200</v>
      </c>
      <c r="O56" s="484">
        <v>1</v>
      </c>
      <c r="P56" s="484">
        <v>1</v>
      </c>
      <c r="Q56" s="292">
        <f t="shared" si="13"/>
        <v>0</v>
      </c>
      <c r="R56" s="292">
        <f t="shared" si="14"/>
        <v>0</v>
      </c>
      <c r="S56" s="301">
        <f t="shared" si="9"/>
        <v>0</v>
      </c>
      <c r="T56" s="301">
        <f t="shared" si="10"/>
        <v>0</v>
      </c>
      <c r="U56" s="771" t="str">
        <f t="shared" si="11"/>
        <v>S</v>
      </c>
      <c r="V56" s="303"/>
      <c r="W56" s="304">
        <f>(Q56+R56)*'1.0-Contractblad'!$L$37</f>
        <v>0</v>
      </c>
      <c r="X56" s="304">
        <f ca="1">VLOOKUP(E56,'1.1a-Jaarprijzen'!$B$35:$Q$57,16,FALSE)*K56</f>
        <v>0</v>
      </c>
      <c r="Z56" s="773">
        <f t="shared" si="15"/>
        <v>251.53462603878199</v>
      </c>
      <c r="AA56" s="492" t="str">
        <f t="shared" si="16"/>
        <v>4200-200</v>
      </c>
    </row>
    <row r="57" spans="2:27" s="490" customFormat="1" ht="15">
      <c r="B57" s="330"/>
      <c r="C57" s="331"/>
      <c r="D57" s="295">
        <f>VLOOKUP(E57,'1.1a-Jaarprijzen'!$B$13:$G$32,6,FALSE)</f>
        <v>2</v>
      </c>
      <c r="E57" s="787" t="s">
        <v>720</v>
      </c>
      <c r="F57" s="295" t="s">
        <v>605</v>
      </c>
      <c r="G57" s="296" t="s">
        <v>543</v>
      </c>
      <c r="H57" s="294" t="s">
        <v>1027</v>
      </c>
      <c r="I57" s="297" t="str">
        <f t="shared" si="0"/>
        <v>sanitaire ruimte (toilet-/doucheruimte)</v>
      </c>
      <c r="J57" s="295" t="s">
        <v>700</v>
      </c>
      <c r="K57" s="298">
        <v>6.5923675122427703</v>
      </c>
      <c r="L57" s="298">
        <v>0</v>
      </c>
      <c r="M57" s="299">
        <v>4260</v>
      </c>
      <c r="N57" s="300">
        <f t="shared" si="12"/>
        <v>260</v>
      </c>
      <c r="O57" s="484">
        <v>1</v>
      </c>
      <c r="P57" s="484">
        <v>1</v>
      </c>
      <c r="Q57" s="292">
        <f t="shared" si="13"/>
        <v>0</v>
      </c>
      <c r="R57" s="292">
        <f t="shared" si="14"/>
        <v>0</v>
      </c>
      <c r="S57" s="301">
        <f t="shared" si="9"/>
        <v>0</v>
      </c>
      <c r="T57" s="301">
        <f t="shared" si="10"/>
        <v>0</v>
      </c>
      <c r="U57" s="771" t="str">
        <f t="shared" si="11"/>
        <v>S</v>
      </c>
      <c r="V57" s="303" t="s">
        <v>1066</v>
      </c>
      <c r="W57" s="304">
        <f>(Q57+R57)*'1.0-Contractblad'!$L$37</f>
        <v>0</v>
      </c>
      <c r="X57" s="304">
        <f ca="1">VLOOKUP(E57,'1.1a-Jaarprijzen'!$B$35:$Q$57,16,FALSE)*K57</f>
        <v>0</v>
      </c>
      <c r="Z57" s="773">
        <f t="shared" si="15"/>
        <v>1714.0155531831203</v>
      </c>
      <c r="AA57" s="492" t="str">
        <f t="shared" si="16"/>
        <v>4260-260</v>
      </c>
    </row>
    <row r="58" spans="2:27" s="490" customFormat="1" ht="15">
      <c r="B58" s="330"/>
      <c r="C58" s="331"/>
      <c r="D58" s="295">
        <f>VLOOKUP(E58,'1.1a-Jaarprijzen'!$B$13:$G$32,6,FALSE)</f>
        <v>2</v>
      </c>
      <c r="E58" s="787" t="s">
        <v>720</v>
      </c>
      <c r="F58" s="295" t="s">
        <v>605</v>
      </c>
      <c r="G58" s="296" t="s">
        <v>544</v>
      </c>
      <c r="H58" s="294" t="s">
        <v>1027</v>
      </c>
      <c r="I58" s="297" t="str">
        <f t="shared" si="0"/>
        <v>sanitaire ruimte (toilet-/doucheruimte)</v>
      </c>
      <c r="J58" s="295" t="s">
        <v>700</v>
      </c>
      <c r="K58" s="298">
        <v>4.7067435201206402</v>
      </c>
      <c r="L58" s="298">
        <v>0</v>
      </c>
      <c r="M58" s="299">
        <v>4260</v>
      </c>
      <c r="N58" s="300">
        <f t="shared" si="12"/>
        <v>260</v>
      </c>
      <c r="O58" s="484">
        <v>1</v>
      </c>
      <c r="P58" s="484">
        <v>1</v>
      </c>
      <c r="Q58" s="292">
        <f t="shared" si="13"/>
        <v>0</v>
      </c>
      <c r="R58" s="292">
        <f t="shared" si="14"/>
        <v>0</v>
      </c>
      <c r="S58" s="301">
        <f t="shared" si="9"/>
        <v>0</v>
      </c>
      <c r="T58" s="301">
        <f t="shared" si="10"/>
        <v>0</v>
      </c>
      <c r="U58" s="771" t="str">
        <f t="shared" si="11"/>
        <v>S</v>
      </c>
      <c r="V58" s="303" t="s">
        <v>1066</v>
      </c>
      <c r="W58" s="304">
        <f>(Q58+R58)*'1.0-Contractblad'!$L$37</f>
        <v>0</v>
      </c>
      <c r="X58" s="304">
        <f ca="1">VLOOKUP(E58,'1.1a-Jaarprijzen'!$B$35:$Q$57,16,FALSE)*K58</f>
        <v>0</v>
      </c>
      <c r="Z58" s="773">
        <f t="shared" si="15"/>
        <v>1223.7533152313665</v>
      </c>
      <c r="AA58" s="492" t="str">
        <f t="shared" si="16"/>
        <v>4260-260</v>
      </c>
    </row>
    <row r="59" spans="2:27" s="490" customFormat="1" ht="15">
      <c r="B59" s="330"/>
      <c r="C59" s="331"/>
      <c r="D59" s="295">
        <f>VLOOKUP(E59,'1.1a-Jaarprijzen'!$B$13:$G$32,6,FALSE)</f>
        <v>2</v>
      </c>
      <c r="E59" s="770" t="s">
        <v>720</v>
      </c>
      <c r="F59" s="295" t="s">
        <v>605</v>
      </c>
      <c r="G59" s="296" t="s">
        <v>723</v>
      </c>
      <c r="H59" s="294" t="s">
        <v>400</v>
      </c>
      <c r="I59" s="297" t="str">
        <f t="shared" si="0"/>
        <v>trappenhuis</v>
      </c>
      <c r="J59" s="295" t="s">
        <v>48</v>
      </c>
      <c r="K59" s="298">
        <v>2.3132730739354601</v>
      </c>
      <c r="L59" s="298">
        <v>0</v>
      </c>
      <c r="M59" s="299">
        <v>9040</v>
      </c>
      <c r="N59" s="300">
        <f t="shared" si="12"/>
        <v>40</v>
      </c>
      <c r="O59" s="484">
        <v>1</v>
      </c>
      <c r="P59" s="484">
        <v>1</v>
      </c>
      <c r="Q59" s="292">
        <f t="shared" si="13"/>
        <v>0</v>
      </c>
      <c r="R59" s="292">
        <f t="shared" si="14"/>
        <v>0</v>
      </c>
      <c r="S59" s="301">
        <f t="shared" si="9"/>
        <v>0</v>
      </c>
      <c r="T59" s="301">
        <f t="shared" si="10"/>
        <v>0</v>
      </c>
      <c r="U59" s="771" t="str">
        <f t="shared" si="11"/>
        <v>V</v>
      </c>
      <c r="V59" s="303"/>
      <c r="W59" s="304">
        <f>(Q59+R59)*'1.0-Contractblad'!$L$37</f>
        <v>0</v>
      </c>
      <c r="X59" s="304">
        <f ca="1">VLOOKUP(E59,'1.1a-Jaarprijzen'!$B$35:$Q$57,16,FALSE)*K59</f>
        <v>0</v>
      </c>
      <c r="Z59" s="773">
        <f t="shared" si="15"/>
        <v>92.530922957418397</v>
      </c>
      <c r="AA59" s="492" t="str">
        <f t="shared" si="16"/>
        <v>9040-40</v>
      </c>
    </row>
    <row r="60" spans="2:27" s="490" customFormat="1" ht="15">
      <c r="B60" s="330"/>
      <c r="C60" s="331"/>
      <c r="D60" s="295">
        <f>VLOOKUP(E60,'1.1a-Jaarprijzen'!$B$13:$G$32,6,FALSE)</f>
        <v>2</v>
      </c>
      <c r="E60" s="787" t="s">
        <v>720</v>
      </c>
      <c r="F60" s="295" t="s">
        <v>605</v>
      </c>
      <c r="G60" s="296" t="s">
        <v>724</v>
      </c>
      <c r="H60" s="294" t="s">
        <v>1028</v>
      </c>
      <c r="I60" s="297" t="str">
        <f t="shared" si="0"/>
        <v>trappenhuis</v>
      </c>
      <c r="J60" s="295" t="s">
        <v>697</v>
      </c>
      <c r="K60" s="298">
        <v>4.7704711886715998</v>
      </c>
      <c r="L60" s="298">
        <v>0</v>
      </c>
      <c r="M60" s="299">
        <v>9260</v>
      </c>
      <c r="N60" s="300">
        <f t="shared" si="12"/>
        <v>260</v>
      </c>
      <c r="O60" s="484">
        <v>1</v>
      </c>
      <c r="P60" s="484">
        <v>1</v>
      </c>
      <c r="Q60" s="292">
        <f t="shared" si="13"/>
        <v>0</v>
      </c>
      <c r="R60" s="292">
        <f t="shared" si="14"/>
        <v>0</v>
      </c>
      <c r="S60" s="301">
        <f t="shared" si="9"/>
        <v>0</v>
      </c>
      <c r="T60" s="301">
        <f t="shared" si="10"/>
        <v>0</v>
      </c>
      <c r="U60" s="771" t="str">
        <f t="shared" si="11"/>
        <v>V</v>
      </c>
      <c r="V60" s="303" t="s">
        <v>1066</v>
      </c>
      <c r="W60" s="304">
        <f>(Q60+R60)*'1.0-Contractblad'!$L$37</f>
        <v>0</v>
      </c>
      <c r="X60" s="304">
        <f ca="1">VLOOKUP(E60,'1.1a-Jaarprijzen'!$B$35:$Q$57,16,FALSE)*K60</f>
        <v>0</v>
      </c>
      <c r="Z60" s="773">
        <f t="shared" si="15"/>
        <v>1240.3225090546159</v>
      </c>
      <c r="AA60" s="492" t="str">
        <f t="shared" si="16"/>
        <v>9260-260</v>
      </c>
    </row>
    <row r="61" spans="2:27" s="490" customFormat="1" ht="15">
      <c r="B61" s="330"/>
      <c r="C61" s="331"/>
      <c r="D61" s="295">
        <f>VLOOKUP(E61,'1.1a-Jaarprijzen'!$B$13:$G$32,6,FALSE)</f>
        <v>2</v>
      </c>
      <c r="E61" s="787" t="s">
        <v>720</v>
      </c>
      <c r="F61" s="295" t="s">
        <v>261</v>
      </c>
      <c r="G61" s="296" t="s">
        <v>529</v>
      </c>
      <c r="H61" s="294" t="s">
        <v>1021</v>
      </c>
      <c r="I61" s="297" t="str">
        <f t="shared" si="0"/>
        <v>entree, gang, hal, repro</v>
      </c>
      <c r="J61" s="295" t="s">
        <v>48</v>
      </c>
      <c r="K61" s="298">
        <v>4.8979265257735101</v>
      </c>
      <c r="L61" s="298">
        <v>0</v>
      </c>
      <c r="M61" s="299">
        <v>3260</v>
      </c>
      <c r="N61" s="300">
        <f t="shared" si="12"/>
        <v>260</v>
      </c>
      <c r="O61" s="484">
        <v>1</v>
      </c>
      <c r="P61" s="484">
        <v>1</v>
      </c>
      <c r="Q61" s="292">
        <f t="shared" si="13"/>
        <v>0</v>
      </c>
      <c r="R61" s="292">
        <f t="shared" si="14"/>
        <v>0</v>
      </c>
      <c r="S61" s="301">
        <f t="shared" si="9"/>
        <v>0</v>
      </c>
      <c r="T61" s="301">
        <f t="shared" si="10"/>
        <v>0</v>
      </c>
      <c r="U61" s="771" t="str">
        <f t="shared" si="11"/>
        <v>V</v>
      </c>
      <c r="V61" s="303" t="s">
        <v>1066</v>
      </c>
      <c r="W61" s="304">
        <f>(Q61+R61)*'1.0-Contractblad'!$L$37</f>
        <v>0</v>
      </c>
      <c r="X61" s="304">
        <f ca="1">VLOOKUP(E61,'1.1a-Jaarprijzen'!$B$35:$Q$57,16,FALSE)*K61</f>
        <v>0</v>
      </c>
      <c r="Z61" s="773">
        <f t="shared" si="15"/>
        <v>1273.4608967011127</v>
      </c>
      <c r="AA61" s="492" t="str">
        <f t="shared" si="16"/>
        <v>3260-260</v>
      </c>
    </row>
    <row r="62" spans="2:27" s="490" customFormat="1" ht="15">
      <c r="B62" s="330"/>
      <c r="C62" s="331"/>
      <c r="D62" s="295">
        <f>VLOOKUP(E62,'1.1a-Jaarprijzen'!$B$13:$G$32,6,FALSE)</f>
        <v>2</v>
      </c>
      <c r="E62" s="770" t="s">
        <v>720</v>
      </c>
      <c r="F62" s="295" t="s">
        <v>261</v>
      </c>
      <c r="G62" s="296" t="s">
        <v>530</v>
      </c>
      <c r="H62" s="294" t="s">
        <v>387</v>
      </c>
      <c r="I62" s="297" t="str">
        <f t="shared" si="0"/>
        <v>entree, gang, hal, repro</v>
      </c>
      <c r="J62" s="295" t="s">
        <v>48</v>
      </c>
      <c r="K62" s="298">
        <v>1.6233795013850401</v>
      </c>
      <c r="L62" s="298">
        <v>0</v>
      </c>
      <c r="M62" s="299">
        <v>3040</v>
      </c>
      <c r="N62" s="300">
        <f t="shared" si="12"/>
        <v>40</v>
      </c>
      <c r="O62" s="484">
        <v>1</v>
      </c>
      <c r="P62" s="484">
        <v>1</v>
      </c>
      <c r="Q62" s="292">
        <f t="shared" si="13"/>
        <v>0</v>
      </c>
      <c r="R62" s="292">
        <f t="shared" si="14"/>
        <v>0</v>
      </c>
      <c r="S62" s="301">
        <f t="shared" si="9"/>
        <v>0</v>
      </c>
      <c r="T62" s="301">
        <f t="shared" si="10"/>
        <v>0</v>
      </c>
      <c r="U62" s="771" t="str">
        <f t="shared" si="11"/>
        <v>V</v>
      </c>
      <c r="V62" s="303"/>
      <c r="W62" s="304">
        <f>(Q62+R62)*'1.0-Contractblad'!$L$37</f>
        <v>0</v>
      </c>
      <c r="X62" s="304">
        <f ca="1">VLOOKUP(E62,'1.1a-Jaarprijzen'!$B$35:$Q$57,16,FALSE)*K62</f>
        <v>0</v>
      </c>
      <c r="Z62" s="773">
        <f t="shared" si="15"/>
        <v>64.935180055401602</v>
      </c>
      <c r="AA62" s="492" t="str">
        <f t="shared" si="16"/>
        <v>3040-40</v>
      </c>
    </row>
    <row r="63" spans="2:27" s="490" customFormat="1" ht="15">
      <c r="B63" s="330"/>
      <c r="C63" s="331"/>
      <c r="D63" s="295">
        <f>VLOOKUP(E63,'1.1a-Jaarprijzen'!$B$13:$G$32,6,FALSE)</f>
        <v>2</v>
      </c>
      <c r="E63" s="770" t="s">
        <v>720</v>
      </c>
      <c r="F63" s="295" t="s">
        <v>261</v>
      </c>
      <c r="G63" s="296" t="s">
        <v>580</v>
      </c>
      <c r="H63" s="294" t="s">
        <v>391</v>
      </c>
      <c r="I63" s="297" t="str">
        <f t="shared" si="0"/>
        <v>niet van toepassing</v>
      </c>
      <c r="J63" s="295" t="s">
        <v>17</v>
      </c>
      <c r="K63" s="298">
        <v>0</v>
      </c>
      <c r="L63" s="298">
        <v>7.4</v>
      </c>
      <c r="M63" s="299" t="s">
        <v>17</v>
      </c>
      <c r="N63" s="300">
        <f t="shared" si="12"/>
        <v>0</v>
      </c>
      <c r="O63" s="484">
        <v>1</v>
      </c>
      <c r="P63" s="484">
        <v>1</v>
      </c>
      <c r="Q63" s="292">
        <f t="shared" si="13"/>
        <v>0</v>
      </c>
      <c r="R63" s="292">
        <f t="shared" si="14"/>
        <v>0</v>
      </c>
      <c r="S63" s="301">
        <f t="shared" si="9"/>
        <v>0</v>
      </c>
      <c r="T63" s="301">
        <f t="shared" si="10"/>
        <v>0</v>
      </c>
      <c r="U63" s="771">
        <f t="shared" si="11"/>
        <v>0</v>
      </c>
      <c r="V63" s="303"/>
      <c r="W63" s="304">
        <f>(Q63+R63)*'1.0-Contractblad'!$L$37</f>
        <v>0</v>
      </c>
      <c r="X63" s="304">
        <f ca="1">VLOOKUP(E63,'1.1a-Jaarprijzen'!$B$35:$Q$57,16,FALSE)*K63</f>
        <v>0</v>
      </c>
      <c r="Z63" s="773">
        <f t="shared" si="15"/>
        <v>0</v>
      </c>
      <c r="AA63" s="492" t="str">
        <f t="shared" si="16"/>
        <v>nvt-0</v>
      </c>
    </row>
    <row r="64" spans="2:27" s="490" customFormat="1" ht="15">
      <c r="B64" s="330"/>
      <c r="C64" s="331"/>
      <c r="D64" s="295">
        <f>VLOOKUP(E64,'1.1a-Jaarprijzen'!$B$13:$G$32,6,FALSE)</f>
        <v>2</v>
      </c>
      <c r="E64" s="770" t="s">
        <v>720</v>
      </c>
      <c r="F64" s="295" t="s">
        <v>261</v>
      </c>
      <c r="G64" s="296" t="s">
        <v>581</v>
      </c>
      <c r="H64" s="294" t="s">
        <v>391</v>
      </c>
      <c r="I64" s="297" t="str">
        <f t="shared" si="0"/>
        <v>niet van toepassing</v>
      </c>
      <c r="J64" s="295" t="s">
        <v>17</v>
      </c>
      <c r="K64" s="298">
        <v>0</v>
      </c>
      <c r="L64" s="298">
        <v>3.63</v>
      </c>
      <c r="M64" s="299" t="s">
        <v>17</v>
      </c>
      <c r="N64" s="300">
        <f t="shared" si="12"/>
        <v>0</v>
      </c>
      <c r="O64" s="484">
        <v>1</v>
      </c>
      <c r="P64" s="484">
        <v>1</v>
      </c>
      <c r="Q64" s="292">
        <f t="shared" si="13"/>
        <v>0</v>
      </c>
      <c r="R64" s="292">
        <f t="shared" si="14"/>
        <v>0</v>
      </c>
      <c r="S64" s="301">
        <f t="shared" si="9"/>
        <v>0</v>
      </c>
      <c r="T64" s="301">
        <f t="shared" si="10"/>
        <v>0</v>
      </c>
      <c r="U64" s="771">
        <f t="shared" si="11"/>
        <v>0</v>
      </c>
      <c r="V64" s="303"/>
      <c r="W64" s="304">
        <f>(Q64+R64)*'1.0-Contractblad'!$L$37</f>
        <v>0</v>
      </c>
      <c r="X64" s="304">
        <f ca="1">VLOOKUP(E64,'1.1a-Jaarprijzen'!$B$35:$Q$57,16,FALSE)*K64</f>
        <v>0</v>
      </c>
      <c r="Z64" s="773">
        <f t="shared" si="15"/>
        <v>0</v>
      </c>
      <c r="AA64" s="492" t="str">
        <f t="shared" si="16"/>
        <v>nvt-0</v>
      </c>
    </row>
    <row r="65" spans="2:27" s="490" customFormat="1" ht="15">
      <c r="B65" s="330"/>
      <c r="C65" s="331"/>
      <c r="D65" s="295">
        <f>VLOOKUP(E65,'1.1a-Jaarprijzen'!$B$13:$G$32,6,FALSE)</f>
        <v>2</v>
      </c>
      <c r="E65" s="770" t="s">
        <v>720</v>
      </c>
      <c r="F65" s="295" t="s">
        <v>261</v>
      </c>
      <c r="G65" s="296" t="s">
        <v>588</v>
      </c>
      <c r="H65" s="294" t="s">
        <v>391</v>
      </c>
      <c r="I65" s="297" t="str">
        <f t="shared" si="0"/>
        <v>niet van toepassing</v>
      </c>
      <c r="J65" s="295" t="s">
        <v>17</v>
      </c>
      <c r="K65" s="298">
        <v>0</v>
      </c>
      <c r="L65" s="298">
        <v>14.49</v>
      </c>
      <c r="M65" s="299" t="s">
        <v>17</v>
      </c>
      <c r="N65" s="300">
        <f t="shared" si="12"/>
        <v>0</v>
      </c>
      <c r="O65" s="484">
        <v>1</v>
      </c>
      <c r="P65" s="484">
        <v>1</v>
      </c>
      <c r="Q65" s="292">
        <f t="shared" si="13"/>
        <v>0</v>
      </c>
      <c r="R65" s="292">
        <f t="shared" si="14"/>
        <v>0</v>
      </c>
      <c r="S65" s="301">
        <f t="shared" si="9"/>
        <v>0</v>
      </c>
      <c r="T65" s="301">
        <f t="shared" si="10"/>
        <v>0</v>
      </c>
      <c r="U65" s="771">
        <f t="shared" si="11"/>
        <v>0</v>
      </c>
      <c r="V65" s="303"/>
      <c r="W65" s="304">
        <f>(Q65+R65)*'1.0-Contractblad'!$L$37</f>
        <v>0</v>
      </c>
      <c r="X65" s="304">
        <f ca="1">VLOOKUP(E65,'1.1a-Jaarprijzen'!$B$35:$Q$57,16,FALSE)*K65</f>
        <v>0</v>
      </c>
      <c r="Z65" s="773">
        <f t="shared" si="15"/>
        <v>0</v>
      </c>
      <c r="AA65" s="492" t="str">
        <f t="shared" si="16"/>
        <v>nvt-0</v>
      </c>
    </row>
    <row r="66" spans="2:27" s="490" customFormat="1" ht="15">
      <c r="B66" s="330"/>
      <c r="C66" s="331"/>
      <c r="D66" s="295">
        <f>VLOOKUP(E66,'1.1a-Jaarprijzen'!$B$13:$G$32,6,FALSE)</f>
        <v>2</v>
      </c>
      <c r="E66" s="787" t="s">
        <v>720</v>
      </c>
      <c r="F66" s="295" t="s">
        <v>261</v>
      </c>
      <c r="G66" s="296" t="s">
        <v>563</v>
      </c>
      <c r="H66" s="294" t="s">
        <v>1029</v>
      </c>
      <c r="I66" s="297" t="str">
        <f t="shared" si="0"/>
        <v>administratieve -,  vergaderruimte</v>
      </c>
      <c r="J66" s="295" t="s">
        <v>699</v>
      </c>
      <c r="K66" s="298">
        <v>55.899644314773198</v>
      </c>
      <c r="L66" s="298">
        <v>0</v>
      </c>
      <c r="M66" s="299">
        <v>1260</v>
      </c>
      <c r="N66" s="300">
        <f t="shared" si="12"/>
        <v>260</v>
      </c>
      <c r="O66" s="484">
        <v>1</v>
      </c>
      <c r="P66" s="484">
        <v>1</v>
      </c>
      <c r="Q66" s="292">
        <f t="shared" si="13"/>
        <v>0</v>
      </c>
      <c r="R66" s="292">
        <f t="shared" si="14"/>
        <v>0</v>
      </c>
      <c r="S66" s="301">
        <f t="shared" si="9"/>
        <v>0</v>
      </c>
      <c r="T66" s="301">
        <f t="shared" si="10"/>
        <v>0</v>
      </c>
      <c r="U66" s="771" t="str">
        <f t="shared" si="11"/>
        <v>V</v>
      </c>
      <c r="V66" s="303" t="s">
        <v>1066</v>
      </c>
      <c r="W66" s="304">
        <f>(Q66+R66)*'1.0-Contractblad'!$L$37</f>
        <v>0</v>
      </c>
      <c r="X66" s="304">
        <f ca="1">VLOOKUP(E66,'1.1a-Jaarprijzen'!$B$35:$Q$57,16,FALSE)*K66</f>
        <v>0</v>
      </c>
      <c r="Z66" s="773">
        <f t="shared" si="15"/>
        <v>14533.907521841031</v>
      </c>
      <c r="AA66" s="492" t="str">
        <f t="shared" si="16"/>
        <v>1260-260</v>
      </c>
    </row>
    <row r="67" spans="2:27" s="490" customFormat="1" ht="15">
      <c r="B67" s="330"/>
      <c r="C67" s="331"/>
      <c r="D67" s="295">
        <f>VLOOKUP(E67,'1.1a-Jaarprijzen'!$B$13:$G$32,6,FALSE)</f>
        <v>2</v>
      </c>
      <c r="E67" s="770" t="s">
        <v>720</v>
      </c>
      <c r="F67" s="295" t="s">
        <v>261</v>
      </c>
      <c r="G67" s="296" t="s">
        <v>718</v>
      </c>
      <c r="H67" s="294" t="s">
        <v>394</v>
      </c>
      <c r="I67" s="297" t="str">
        <f t="shared" si="0"/>
        <v>administratieve -,  vergaderruimte</v>
      </c>
      <c r="J67" s="295" t="s">
        <v>699</v>
      </c>
      <c r="K67" s="298">
        <v>12.949361931786999</v>
      </c>
      <c r="L67" s="298">
        <v>0</v>
      </c>
      <c r="M67" s="299">
        <v>1040</v>
      </c>
      <c r="N67" s="300">
        <f t="shared" si="12"/>
        <v>40</v>
      </c>
      <c r="O67" s="484">
        <v>1</v>
      </c>
      <c r="P67" s="484">
        <v>1</v>
      </c>
      <c r="Q67" s="292">
        <f t="shared" si="13"/>
        <v>0</v>
      </c>
      <c r="R67" s="292">
        <f t="shared" si="14"/>
        <v>0</v>
      </c>
      <c r="S67" s="301">
        <f t="shared" si="9"/>
        <v>0</v>
      </c>
      <c r="T67" s="301">
        <f t="shared" si="10"/>
        <v>0</v>
      </c>
      <c r="U67" s="771" t="str">
        <f t="shared" si="11"/>
        <v>V</v>
      </c>
      <c r="V67" s="303"/>
      <c r="W67" s="304">
        <f>(Q67+R67)*'1.0-Contractblad'!$L$37</f>
        <v>0</v>
      </c>
      <c r="X67" s="304">
        <f ca="1">VLOOKUP(E67,'1.1a-Jaarprijzen'!$B$35:$Q$57,16,FALSE)*K67</f>
        <v>0</v>
      </c>
      <c r="Z67" s="773">
        <f t="shared" si="15"/>
        <v>517.97447727147994</v>
      </c>
      <c r="AA67" s="492" t="str">
        <f t="shared" si="16"/>
        <v>1040-40</v>
      </c>
    </row>
    <row r="68" spans="2:27" s="490" customFormat="1" ht="15">
      <c r="B68" s="330"/>
      <c r="C68" s="331"/>
      <c r="D68" s="295">
        <f>VLOOKUP(E68,'1.1a-Jaarprijzen'!$B$13:$G$32,6,FALSE)</f>
        <v>2</v>
      </c>
      <c r="E68" s="787" t="s">
        <v>720</v>
      </c>
      <c r="F68" s="295" t="s">
        <v>261</v>
      </c>
      <c r="G68" s="296" t="s">
        <v>545</v>
      </c>
      <c r="H68" s="294" t="s">
        <v>477</v>
      </c>
      <c r="I68" s="297" t="str">
        <f t="shared" si="0"/>
        <v>sanitaire ruimte (toilet-/doucheruimte)</v>
      </c>
      <c r="J68" s="295" t="s">
        <v>700</v>
      </c>
      <c r="K68" s="298">
        <v>1.6412188365650999</v>
      </c>
      <c r="L68" s="298">
        <v>0</v>
      </c>
      <c r="M68" s="299">
        <v>4260</v>
      </c>
      <c r="N68" s="300">
        <f t="shared" si="12"/>
        <v>260</v>
      </c>
      <c r="O68" s="484">
        <v>1</v>
      </c>
      <c r="P68" s="484">
        <v>1</v>
      </c>
      <c r="Q68" s="292">
        <f t="shared" si="13"/>
        <v>0</v>
      </c>
      <c r="R68" s="292">
        <f t="shared" si="14"/>
        <v>0</v>
      </c>
      <c r="S68" s="301">
        <f t="shared" si="9"/>
        <v>0</v>
      </c>
      <c r="T68" s="301">
        <f t="shared" si="10"/>
        <v>0</v>
      </c>
      <c r="U68" s="771" t="str">
        <f t="shared" si="11"/>
        <v>S</v>
      </c>
      <c r="V68" s="303" t="s">
        <v>1066</v>
      </c>
      <c r="W68" s="304">
        <f>(Q68+R68)*'1.0-Contractblad'!$L$37</f>
        <v>0</v>
      </c>
      <c r="X68" s="304">
        <f ca="1">VLOOKUP(E68,'1.1a-Jaarprijzen'!$B$35:$Q$57,16,FALSE)*K68</f>
        <v>0</v>
      </c>
      <c r="Z68" s="773">
        <f t="shared" si="15"/>
        <v>426.71689750692599</v>
      </c>
      <c r="AA68" s="492" t="str">
        <f t="shared" si="16"/>
        <v>4260-260</v>
      </c>
    </row>
    <row r="69" spans="2:27" s="490" customFormat="1" ht="15">
      <c r="B69" s="330"/>
      <c r="C69" s="331"/>
      <c r="D69" s="295">
        <f>VLOOKUP(E69,'1.1a-Jaarprijzen'!$B$13:$G$32,6,FALSE)</f>
        <v>2</v>
      </c>
      <c r="E69" s="787" t="s">
        <v>720</v>
      </c>
      <c r="F69" s="295" t="s">
        <v>261</v>
      </c>
      <c r="G69" s="296" t="s">
        <v>546</v>
      </c>
      <c r="H69" s="294" t="s">
        <v>477</v>
      </c>
      <c r="I69" s="297" t="str">
        <f t="shared" si="0"/>
        <v>sanitaire ruimte (toilet-/doucheruimte)</v>
      </c>
      <c r="J69" s="295" t="s">
        <v>700</v>
      </c>
      <c r="K69" s="298">
        <v>1.31119113573407</v>
      </c>
      <c r="L69" s="298">
        <v>0</v>
      </c>
      <c r="M69" s="299">
        <v>4260</v>
      </c>
      <c r="N69" s="300">
        <f t="shared" si="12"/>
        <v>260</v>
      </c>
      <c r="O69" s="484">
        <v>1</v>
      </c>
      <c r="P69" s="484">
        <v>1</v>
      </c>
      <c r="Q69" s="292">
        <f t="shared" si="13"/>
        <v>0</v>
      </c>
      <c r="R69" s="292">
        <f t="shared" si="14"/>
        <v>0</v>
      </c>
      <c r="S69" s="301">
        <f t="shared" si="9"/>
        <v>0</v>
      </c>
      <c r="T69" s="301">
        <f t="shared" si="10"/>
        <v>0</v>
      </c>
      <c r="U69" s="771" t="str">
        <f t="shared" si="11"/>
        <v>S</v>
      </c>
      <c r="V69" s="303" t="s">
        <v>1066</v>
      </c>
      <c r="W69" s="304">
        <f>(Q69+R69)*'1.0-Contractblad'!$L$37</f>
        <v>0</v>
      </c>
      <c r="X69" s="304">
        <f ca="1">VLOOKUP(E69,'1.1a-Jaarprijzen'!$B$35:$Q$57,16,FALSE)*K69</f>
        <v>0</v>
      </c>
      <c r="Z69" s="773">
        <f t="shared" si="15"/>
        <v>340.90969529085817</v>
      </c>
      <c r="AA69" s="492" t="str">
        <f t="shared" si="16"/>
        <v>4260-260</v>
      </c>
    </row>
    <row r="70" spans="2:27" s="490" customFormat="1" ht="15">
      <c r="B70" s="330"/>
      <c r="C70" s="331"/>
      <c r="D70" s="295">
        <f>VLOOKUP(E70,'1.1a-Jaarprijzen'!$B$13:$G$32,6,FALSE)</f>
        <v>2</v>
      </c>
      <c r="E70" s="294" t="s">
        <v>720</v>
      </c>
      <c r="F70" s="295" t="s">
        <v>605</v>
      </c>
      <c r="G70" s="296" t="s">
        <v>725</v>
      </c>
      <c r="H70" s="294" t="s">
        <v>726</v>
      </c>
      <c r="I70" s="297" t="str">
        <f t="shared" si="0"/>
        <v>trappenhuis</v>
      </c>
      <c r="J70" s="295" t="s">
        <v>465</v>
      </c>
      <c r="K70" s="298">
        <v>4.8</v>
      </c>
      <c r="L70" s="298"/>
      <c r="M70" s="299">
        <v>9200</v>
      </c>
      <c r="N70" s="300">
        <f t="shared" si="12"/>
        <v>200</v>
      </c>
      <c r="O70" s="484">
        <v>1</v>
      </c>
      <c r="P70" s="484">
        <v>1</v>
      </c>
      <c r="Q70" s="292">
        <f t="shared" si="13"/>
        <v>0</v>
      </c>
      <c r="R70" s="292">
        <f t="shared" si="14"/>
        <v>0</v>
      </c>
      <c r="S70" s="301">
        <f t="shared" si="9"/>
        <v>0</v>
      </c>
      <c r="T70" s="301">
        <f t="shared" si="10"/>
        <v>0</v>
      </c>
      <c r="U70" s="771" t="str">
        <f t="shared" si="11"/>
        <v>V</v>
      </c>
      <c r="V70" s="303"/>
      <c r="W70" s="304">
        <f>(Q70+R70)*'1.0-Contractblad'!$L$37</f>
        <v>0</v>
      </c>
      <c r="X70" s="304">
        <f ca="1">VLOOKUP(E70,'1.1a-Jaarprijzen'!$B$35:$Q$57,16,FALSE)*K70</f>
        <v>0</v>
      </c>
      <c r="Z70" s="773">
        <f t="shared" si="15"/>
        <v>960</v>
      </c>
      <c r="AA70" s="492" t="str">
        <f t="shared" si="16"/>
        <v>9200-200</v>
      </c>
    </row>
    <row r="71" spans="2:27" s="490" customFormat="1" ht="15">
      <c r="B71" s="330"/>
      <c r="C71" s="331"/>
      <c r="D71" s="295">
        <f>VLOOKUP(E71,'1.1a-Jaarprijzen'!$B$13:$G$32,6,FALSE)</f>
        <v>2</v>
      </c>
      <c r="E71" s="294" t="s">
        <v>720</v>
      </c>
      <c r="F71" s="295" t="s">
        <v>605</v>
      </c>
      <c r="G71" s="296" t="s">
        <v>727</v>
      </c>
      <c r="H71" s="294" t="s">
        <v>387</v>
      </c>
      <c r="I71" s="297" t="str">
        <f t="shared" si="0"/>
        <v>entree, gang, hal, repro</v>
      </c>
      <c r="J71" s="295" t="s">
        <v>465</v>
      </c>
      <c r="K71" s="298">
        <v>38.25</v>
      </c>
      <c r="L71" s="298"/>
      <c r="M71" s="299">
        <v>3200</v>
      </c>
      <c r="N71" s="300">
        <f t="shared" si="12"/>
        <v>200</v>
      </c>
      <c r="O71" s="484">
        <v>1</v>
      </c>
      <c r="P71" s="484">
        <v>1</v>
      </c>
      <c r="Q71" s="292">
        <f t="shared" si="13"/>
        <v>0</v>
      </c>
      <c r="R71" s="292">
        <f t="shared" si="14"/>
        <v>0</v>
      </c>
      <c r="S71" s="301">
        <f t="shared" si="9"/>
        <v>0</v>
      </c>
      <c r="T71" s="301">
        <f t="shared" si="10"/>
        <v>0</v>
      </c>
      <c r="U71" s="771" t="str">
        <f t="shared" si="11"/>
        <v>V</v>
      </c>
      <c r="V71" s="303"/>
      <c r="W71" s="304">
        <f>(Q71+R71)*'1.0-Contractblad'!$L$37</f>
        <v>0</v>
      </c>
      <c r="X71" s="304">
        <f ca="1">VLOOKUP(E71,'1.1a-Jaarprijzen'!$B$35:$Q$57,16,FALSE)*K71</f>
        <v>0</v>
      </c>
      <c r="Z71" s="773">
        <f t="shared" si="15"/>
        <v>7650</v>
      </c>
      <c r="AA71" s="492" t="str">
        <f t="shared" si="16"/>
        <v>3200-200</v>
      </c>
    </row>
    <row r="72" spans="2:27" s="490" customFormat="1" ht="15">
      <c r="B72" s="330"/>
      <c r="C72" s="331"/>
      <c r="D72" s="295">
        <f>VLOOKUP(E72,'1.1a-Jaarprijzen'!$B$13:$G$32,6,FALSE)</f>
        <v>2</v>
      </c>
      <c r="E72" s="294" t="s">
        <v>720</v>
      </c>
      <c r="F72" s="295" t="s">
        <v>605</v>
      </c>
      <c r="G72" s="296" t="s">
        <v>728</v>
      </c>
      <c r="H72" s="294" t="s">
        <v>477</v>
      </c>
      <c r="I72" s="297" t="str">
        <f t="shared" si="0"/>
        <v>sanitaire ruimte (toilet-/doucheruimte)</v>
      </c>
      <c r="J72" s="295" t="s">
        <v>465</v>
      </c>
      <c r="K72" s="298">
        <v>2.286</v>
      </c>
      <c r="L72" s="298"/>
      <c r="M72" s="299">
        <v>4200</v>
      </c>
      <c r="N72" s="300">
        <f t="shared" si="12"/>
        <v>200</v>
      </c>
      <c r="O72" s="484">
        <v>1</v>
      </c>
      <c r="P72" s="484">
        <v>1</v>
      </c>
      <c r="Q72" s="292">
        <f t="shared" si="13"/>
        <v>0</v>
      </c>
      <c r="R72" s="292">
        <f t="shared" si="14"/>
        <v>0</v>
      </c>
      <c r="S72" s="301">
        <f t="shared" si="9"/>
        <v>0</v>
      </c>
      <c r="T72" s="301">
        <f t="shared" si="10"/>
        <v>0</v>
      </c>
      <c r="U72" s="771" t="str">
        <f t="shared" si="11"/>
        <v>S</v>
      </c>
      <c r="V72" s="303"/>
      <c r="W72" s="304">
        <f>(Q72+R72)*'1.0-Contractblad'!$L$37</f>
        <v>0</v>
      </c>
      <c r="X72" s="304">
        <f ca="1">VLOOKUP(E72,'1.1a-Jaarprijzen'!$B$35:$Q$57,16,FALSE)*K72</f>
        <v>0</v>
      </c>
      <c r="Z72" s="773">
        <f t="shared" si="15"/>
        <v>457.2</v>
      </c>
      <c r="AA72" s="492" t="str">
        <f t="shared" si="16"/>
        <v>4200-200</v>
      </c>
    </row>
    <row r="73" spans="2:27" s="490" customFormat="1" ht="15">
      <c r="B73" s="330"/>
      <c r="C73" s="331"/>
      <c r="D73" s="295">
        <f>VLOOKUP(E73,'1.1a-Jaarprijzen'!$B$13:$G$32,6,FALSE)</f>
        <v>2</v>
      </c>
      <c r="E73" s="294" t="s">
        <v>720</v>
      </c>
      <c r="F73" s="295" t="s">
        <v>605</v>
      </c>
      <c r="G73" s="296" t="s">
        <v>729</v>
      </c>
      <c r="H73" s="294" t="s">
        <v>403</v>
      </c>
      <c r="I73" s="297" t="str">
        <f t="shared" si="0"/>
        <v>leslokaal/leerplein groep 4 t/m 8</v>
      </c>
      <c r="J73" s="295" t="s">
        <v>465</v>
      </c>
      <c r="K73" s="298">
        <v>51.68</v>
      </c>
      <c r="L73" s="298"/>
      <c r="M73" s="299">
        <v>18200</v>
      </c>
      <c r="N73" s="300">
        <f t="shared" si="12"/>
        <v>200</v>
      </c>
      <c r="O73" s="484">
        <v>1</v>
      </c>
      <c r="P73" s="484">
        <v>1</v>
      </c>
      <c r="Q73" s="292">
        <f t="shared" si="13"/>
        <v>0</v>
      </c>
      <c r="R73" s="292">
        <f t="shared" si="14"/>
        <v>0</v>
      </c>
      <c r="S73" s="301">
        <f t="shared" si="9"/>
        <v>0</v>
      </c>
      <c r="T73" s="301">
        <f t="shared" si="10"/>
        <v>0</v>
      </c>
      <c r="U73" s="771" t="str">
        <f t="shared" si="11"/>
        <v>L</v>
      </c>
      <c r="V73" s="303"/>
      <c r="W73" s="304">
        <f>(Q73+R73)*'1.0-Contractblad'!$L$37</f>
        <v>0</v>
      </c>
      <c r="X73" s="304">
        <f ca="1">VLOOKUP(E73,'1.1a-Jaarprijzen'!$B$35:$Q$57,16,FALSE)*K73</f>
        <v>0</v>
      </c>
      <c r="Z73" s="773">
        <f t="shared" si="15"/>
        <v>10336</v>
      </c>
      <c r="AA73" s="492" t="str">
        <f t="shared" si="16"/>
        <v>18200-200</v>
      </c>
    </row>
    <row r="74" spans="2:27" s="490" customFormat="1" ht="15">
      <c r="B74" s="330"/>
      <c r="C74" s="331"/>
      <c r="D74" s="295">
        <f>VLOOKUP(E74,'1.1a-Jaarprijzen'!$B$13:$G$32,6,FALSE)</f>
        <v>2</v>
      </c>
      <c r="E74" s="294" t="s">
        <v>720</v>
      </c>
      <c r="F74" s="295" t="s">
        <v>605</v>
      </c>
      <c r="G74" s="296" t="s">
        <v>730</v>
      </c>
      <c r="H74" s="294" t="s">
        <v>477</v>
      </c>
      <c r="I74" s="297" t="str">
        <f t="shared" si="0"/>
        <v>sanitaire ruimte (toilet-/doucheruimte)</v>
      </c>
      <c r="J74" s="295" t="s">
        <v>465</v>
      </c>
      <c r="K74" s="298">
        <v>2.286</v>
      </c>
      <c r="L74" s="298"/>
      <c r="M74" s="299">
        <v>4200</v>
      </c>
      <c r="N74" s="300">
        <f t="shared" si="12"/>
        <v>200</v>
      </c>
      <c r="O74" s="484">
        <v>1</v>
      </c>
      <c r="P74" s="484">
        <v>1</v>
      </c>
      <c r="Q74" s="292">
        <f t="shared" si="13"/>
        <v>0</v>
      </c>
      <c r="R74" s="292">
        <f t="shared" si="14"/>
        <v>0</v>
      </c>
      <c r="S74" s="301">
        <f t="shared" si="9"/>
        <v>0</v>
      </c>
      <c r="T74" s="301">
        <f t="shared" si="10"/>
        <v>0</v>
      </c>
      <c r="U74" s="771" t="str">
        <f t="shared" si="11"/>
        <v>S</v>
      </c>
      <c r="V74" s="303"/>
      <c r="W74" s="304">
        <f>(Q74+R74)*'1.0-Contractblad'!$L$37</f>
        <v>0</v>
      </c>
      <c r="X74" s="304">
        <f ca="1">VLOOKUP(E74,'1.1a-Jaarprijzen'!$B$35:$Q$57,16,FALSE)*K74</f>
        <v>0</v>
      </c>
      <c r="Z74" s="773">
        <f t="shared" si="15"/>
        <v>457.2</v>
      </c>
      <c r="AA74" s="492" t="str">
        <f t="shared" si="16"/>
        <v>4200-200</v>
      </c>
    </row>
    <row r="75" spans="2:27" s="490" customFormat="1" ht="15">
      <c r="B75" s="330"/>
      <c r="C75" s="331"/>
      <c r="D75" s="295">
        <f>VLOOKUP(E75,'1.1a-Jaarprijzen'!$B$13:$G$32,6,FALSE)</f>
        <v>2</v>
      </c>
      <c r="E75" s="294" t="s">
        <v>720</v>
      </c>
      <c r="F75" s="295" t="s">
        <v>605</v>
      </c>
      <c r="G75" s="296" t="s">
        <v>731</v>
      </c>
      <c r="H75" s="294" t="s">
        <v>403</v>
      </c>
      <c r="I75" s="297" t="str">
        <f t="shared" si="0"/>
        <v>leslokaal/leerplein groep 4 t/m 8</v>
      </c>
      <c r="J75" s="295" t="s">
        <v>465</v>
      </c>
      <c r="K75" s="298">
        <v>51.68</v>
      </c>
      <c r="L75" s="298"/>
      <c r="M75" s="299">
        <v>18200</v>
      </c>
      <c r="N75" s="300">
        <f t="shared" si="12"/>
        <v>200</v>
      </c>
      <c r="O75" s="484">
        <v>1</v>
      </c>
      <c r="P75" s="484">
        <v>1</v>
      </c>
      <c r="Q75" s="292">
        <f t="shared" si="13"/>
        <v>0</v>
      </c>
      <c r="R75" s="292">
        <f t="shared" si="14"/>
        <v>0</v>
      </c>
      <c r="S75" s="301">
        <f t="shared" si="9"/>
        <v>0</v>
      </c>
      <c r="T75" s="301">
        <f t="shared" si="10"/>
        <v>0</v>
      </c>
      <c r="U75" s="771" t="str">
        <f t="shared" si="11"/>
        <v>L</v>
      </c>
      <c r="V75" s="303"/>
      <c r="W75" s="304">
        <f>(Q75+R75)*'1.0-Contractblad'!$L$37</f>
        <v>0</v>
      </c>
      <c r="X75" s="304">
        <f ca="1">VLOOKUP(E75,'1.1a-Jaarprijzen'!$B$35:$Q$57,16,FALSE)*K75</f>
        <v>0</v>
      </c>
      <c r="Z75" s="773">
        <f t="shared" si="15"/>
        <v>10336</v>
      </c>
      <c r="AA75" s="492" t="str">
        <f t="shared" si="16"/>
        <v>18200-200</v>
      </c>
    </row>
    <row r="76" spans="2:27" s="490" customFormat="1" ht="15">
      <c r="B76" s="330"/>
      <c r="C76" s="331"/>
      <c r="D76" s="295">
        <f>VLOOKUP(E76,'1.1a-Jaarprijzen'!$B$13:$G$32,6,FALSE)</f>
        <v>2</v>
      </c>
      <c r="E76" s="294" t="s">
        <v>720</v>
      </c>
      <c r="F76" s="295" t="s">
        <v>605</v>
      </c>
      <c r="G76" s="296" t="s">
        <v>732</v>
      </c>
      <c r="H76" s="294" t="s">
        <v>477</v>
      </c>
      <c r="I76" s="297" t="str">
        <f>IF($M76="",0,VLOOKUP($M76,Kengetal,4,FALSE))</f>
        <v>sanitaire ruimte (toilet-/doucheruimte)</v>
      </c>
      <c r="J76" s="295" t="s">
        <v>465</v>
      </c>
      <c r="K76" s="298">
        <v>2.286</v>
      </c>
      <c r="L76" s="298"/>
      <c r="M76" s="299">
        <v>4200</v>
      </c>
      <c r="N76" s="300">
        <f t="shared" si="12"/>
        <v>200</v>
      </c>
      <c r="O76" s="484">
        <v>1</v>
      </c>
      <c r="P76" s="484">
        <v>1</v>
      </c>
      <c r="Q76" s="292">
        <f t="shared" si="13"/>
        <v>0</v>
      </c>
      <c r="R76" s="292">
        <f t="shared" si="14"/>
        <v>0</v>
      </c>
      <c r="S76" s="301">
        <f t="shared" si="9"/>
        <v>0</v>
      </c>
      <c r="T76" s="301">
        <f t="shared" si="10"/>
        <v>0</v>
      </c>
      <c r="U76" s="771" t="str">
        <f t="shared" si="11"/>
        <v>S</v>
      </c>
      <c r="V76" s="303"/>
      <c r="W76" s="304">
        <f>(Q76+R76)*'1.0-Contractblad'!$L$37</f>
        <v>0</v>
      </c>
      <c r="X76" s="304">
        <f ca="1">VLOOKUP(E76,'1.1a-Jaarprijzen'!$B$35:$Q$57,16,FALSE)*K76</f>
        <v>0</v>
      </c>
      <c r="Z76" s="773">
        <f t="shared" si="15"/>
        <v>457.2</v>
      </c>
      <c r="AA76" s="492" t="str">
        <f t="shared" si="16"/>
        <v>4200-200</v>
      </c>
    </row>
    <row r="77" spans="2:27" s="490" customFormat="1" ht="15">
      <c r="B77" s="330"/>
      <c r="C77" s="331"/>
      <c r="D77" s="295">
        <f>VLOOKUP(E77,'1.1a-Jaarprijzen'!$B$13:$G$32,6,FALSE)</f>
        <v>2</v>
      </c>
      <c r="E77" s="294" t="s">
        <v>720</v>
      </c>
      <c r="F77" s="295" t="s">
        <v>605</v>
      </c>
      <c r="G77" s="296" t="s">
        <v>733</v>
      </c>
      <c r="H77" s="294" t="s">
        <v>387</v>
      </c>
      <c r="I77" s="297" t="str">
        <f>IF($M77="",0,VLOOKUP($M77,Kengetal,4,FALSE))</f>
        <v>entree, gang, hal, repro</v>
      </c>
      <c r="J77" s="295" t="s">
        <v>465</v>
      </c>
      <c r="K77" s="298">
        <v>44.25</v>
      </c>
      <c r="L77" s="298"/>
      <c r="M77" s="299">
        <v>3200</v>
      </c>
      <c r="N77" s="300">
        <f t="shared" si="12"/>
        <v>200</v>
      </c>
      <c r="O77" s="484">
        <v>1</v>
      </c>
      <c r="P77" s="484">
        <v>1</v>
      </c>
      <c r="Q77" s="292">
        <f t="shared" si="13"/>
        <v>0</v>
      </c>
      <c r="R77" s="292">
        <f t="shared" si="14"/>
        <v>0</v>
      </c>
      <c r="S77" s="301">
        <f t="shared" si="9"/>
        <v>0</v>
      </c>
      <c r="T77" s="301">
        <f t="shared" si="10"/>
        <v>0</v>
      </c>
      <c r="U77" s="771" t="str">
        <f t="shared" si="11"/>
        <v>V</v>
      </c>
      <c r="V77" s="303"/>
      <c r="W77" s="304">
        <f>(Q77+R77)*'1.0-Contractblad'!$L$37</f>
        <v>0</v>
      </c>
      <c r="X77" s="304">
        <f ca="1">VLOOKUP(E77,'1.1a-Jaarprijzen'!$B$35:$Q$57,16,FALSE)*K77</f>
        <v>0</v>
      </c>
      <c r="Z77" s="773">
        <f t="shared" si="15"/>
        <v>8850</v>
      </c>
      <c r="AA77" s="492" t="str">
        <f t="shared" si="16"/>
        <v>3200-200</v>
      </c>
    </row>
    <row r="78" spans="2:27" s="490" customFormat="1" ht="15">
      <c r="B78" s="330"/>
      <c r="C78" s="331"/>
      <c r="D78" s="295">
        <f>VLOOKUP(E78,'1.1a-Jaarprijzen'!$B$13:$G$32,6,FALSE)</f>
        <v>2</v>
      </c>
      <c r="E78" s="294" t="s">
        <v>720</v>
      </c>
      <c r="F78" s="295" t="s">
        <v>605</v>
      </c>
      <c r="G78" s="296" t="s">
        <v>734</v>
      </c>
      <c r="H78" s="294" t="s">
        <v>735</v>
      </c>
      <c r="I78" s="297" t="str">
        <f>IF($M78="",0,VLOOKUP($M78,Kengetal,4,FALSE))</f>
        <v>niet van toepassing</v>
      </c>
      <c r="J78" s="295" t="s">
        <v>465</v>
      </c>
      <c r="K78" s="298"/>
      <c r="L78" s="298">
        <v>2.286</v>
      </c>
      <c r="M78" s="299" t="s">
        <v>17</v>
      </c>
      <c r="N78" s="300">
        <f t="shared" si="12"/>
        <v>0</v>
      </c>
      <c r="O78" s="484">
        <v>1</v>
      </c>
      <c r="P78" s="484">
        <v>1</v>
      </c>
      <c r="Q78" s="292">
        <f t="shared" si="13"/>
        <v>0</v>
      </c>
      <c r="R78" s="292">
        <f t="shared" si="14"/>
        <v>0</v>
      </c>
      <c r="S78" s="301">
        <f t="shared" si="9"/>
        <v>0</v>
      </c>
      <c r="T78" s="301">
        <f t="shared" si="10"/>
        <v>0</v>
      </c>
      <c r="U78" s="771">
        <f t="shared" si="11"/>
        <v>0</v>
      </c>
      <c r="V78" s="303"/>
      <c r="W78" s="304">
        <f>(Q78+R78)*'1.0-Contractblad'!$L$37</f>
        <v>0</v>
      </c>
      <c r="X78" s="304">
        <f ca="1">VLOOKUP(E78,'1.1a-Jaarprijzen'!$B$35:$Q$57,16,FALSE)*K78</f>
        <v>0</v>
      </c>
      <c r="Z78" s="773">
        <f t="shared" si="15"/>
        <v>0</v>
      </c>
      <c r="AA78" s="492" t="str">
        <f t="shared" si="16"/>
        <v>nvt-0</v>
      </c>
    </row>
    <row r="79" spans="2:27" s="490" customFormat="1" ht="15">
      <c r="B79" s="330"/>
      <c r="C79" s="331"/>
      <c r="D79" s="295">
        <f>VLOOKUP(E79,'1.1a-Jaarprijzen'!$B$13:$G$32,6,FALSE)</f>
        <v>2</v>
      </c>
      <c r="E79" s="294" t="s">
        <v>720</v>
      </c>
      <c r="F79" s="295" t="s">
        <v>605</v>
      </c>
      <c r="G79" s="296" t="s">
        <v>736</v>
      </c>
      <c r="H79" s="294" t="s">
        <v>403</v>
      </c>
      <c r="I79" s="297" t="str">
        <f>IF($M79="",0,VLOOKUP($M79,Kengetal,4,FALSE))</f>
        <v>leslokaal/leerplein groep 4 t/m 8</v>
      </c>
      <c r="J79" s="295" t="s">
        <v>465</v>
      </c>
      <c r="K79" s="298">
        <v>51.68</v>
      </c>
      <c r="L79" s="298"/>
      <c r="M79" s="299">
        <v>18200</v>
      </c>
      <c r="N79" s="300">
        <f t="shared" si="12"/>
        <v>200</v>
      </c>
      <c r="O79" s="484">
        <v>1</v>
      </c>
      <c r="P79" s="484">
        <v>1</v>
      </c>
      <c r="Q79" s="292">
        <f t="shared" si="13"/>
        <v>0</v>
      </c>
      <c r="R79" s="292">
        <f t="shared" si="14"/>
        <v>0</v>
      </c>
      <c r="S79" s="301">
        <f t="shared" si="9"/>
        <v>0</v>
      </c>
      <c r="T79" s="301">
        <f t="shared" si="10"/>
        <v>0</v>
      </c>
      <c r="U79" s="771" t="str">
        <f t="shared" si="11"/>
        <v>L</v>
      </c>
      <c r="V79" s="303"/>
      <c r="W79" s="304">
        <f>(Q79+R79)*'1.0-Contractblad'!$L$37</f>
        <v>0</v>
      </c>
      <c r="X79" s="304">
        <f ca="1">VLOOKUP(E79,'1.1a-Jaarprijzen'!$B$35:$Q$57,16,FALSE)*K79</f>
        <v>0</v>
      </c>
      <c r="Z79" s="773">
        <f t="shared" si="15"/>
        <v>10336</v>
      </c>
      <c r="AA79" s="492" t="str">
        <f t="shared" si="16"/>
        <v>18200-200</v>
      </c>
    </row>
    <row r="80" spans="2:27" s="490" customFormat="1" ht="15">
      <c r="B80" s="330"/>
      <c r="C80" s="331"/>
      <c r="D80" s="295">
        <f>VLOOKUP(E80,'1.1a-Jaarprijzen'!$B$13:$G$32,6,FALSE)</f>
        <v>2</v>
      </c>
      <c r="E80" s="294" t="s">
        <v>720</v>
      </c>
      <c r="F80" s="295" t="s">
        <v>605</v>
      </c>
      <c r="G80" s="296" t="s">
        <v>737</v>
      </c>
      <c r="H80" s="294" t="s">
        <v>477</v>
      </c>
      <c r="I80" s="297" t="str">
        <f t="shared" ref="I80:I119" si="17">IF($M80="",0,VLOOKUP($M80,Kengetal,4,FALSE))</f>
        <v>sanitaire ruimte (toilet-/doucheruimte)</v>
      </c>
      <c r="J80" s="295" t="s">
        <v>465</v>
      </c>
      <c r="K80" s="298">
        <v>2.286</v>
      </c>
      <c r="L80" s="298"/>
      <c r="M80" s="299">
        <v>4200</v>
      </c>
      <c r="N80" s="300">
        <f t="shared" si="12"/>
        <v>200</v>
      </c>
      <c r="O80" s="484">
        <v>1</v>
      </c>
      <c r="P80" s="484">
        <v>1</v>
      </c>
      <c r="Q80" s="292">
        <f t="shared" si="13"/>
        <v>0</v>
      </c>
      <c r="R80" s="292">
        <f t="shared" si="14"/>
        <v>0</v>
      </c>
      <c r="S80" s="301">
        <f t="shared" si="9"/>
        <v>0</v>
      </c>
      <c r="T80" s="301">
        <f t="shared" si="10"/>
        <v>0</v>
      </c>
      <c r="U80" s="771" t="str">
        <f t="shared" si="11"/>
        <v>S</v>
      </c>
      <c r="V80" s="303"/>
      <c r="W80" s="304">
        <f>(Q80+R80)*'1.0-Contractblad'!$L$37</f>
        <v>0</v>
      </c>
      <c r="X80" s="304">
        <f ca="1">VLOOKUP(E80,'1.1a-Jaarprijzen'!$B$35:$Q$57,16,FALSE)*K80</f>
        <v>0</v>
      </c>
      <c r="Z80" s="773">
        <f t="shared" si="15"/>
        <v>457.2</v>
      </c>
      <c r="AA80" s="492" t="str">
        <f t="shared" si="16"/>
        <v>4200-200</v>
      </c>
    </row>
    <row r="81" spans="2:27" s="490" customFormat="1" ht="15">
      <c r="B81" s="330"/>
      <c r="C81" s="331"/>
      <c r="D81" s="295">
        <f>VLOOKUP(E81,'1.1a-Jaarprijzen'!$B$13:$G$32,6,FALSE)</f>
        <v>2</v>
      </c>
      <c r="E81" s="294" t="s">
        <v>720</v>
      </c>
      <c r="F81" s="295" t="s">
        <v>605</v>
      </c>
      <c r="G81" s="296" t="s">
        <v>738</v>
      </c>
      <c r="H81" s="294" t="s">
        <v>403</v>
      </c>
      <c r="I81" s="297" t="str">
        <f t="shared" si="17"/>
        <v>leslokaal/leerplein groep 4 t/m 8</v>
      </c>
      <c r="J81" s="295" t="s">
        <v>465</v>
      </c>
      <c r="K81" s="298">
        <v>51.68</v>
      </c>
      <c r="L81" s="298"/>
      <c r="M81" s="299">
        <v>18200</v>
      </c>
      <c r="N81" s="300">
        <f t="shared" si="12"/>
        <v>200</v>
      </c>
      <c r="O81" s="484">
        <v>1</v>
      </c>
      <c r="P81" s="484">
        <v>1</v>
      </c>
      <c r="Q81" s="292">
        <f t="shared" si="13"/>
        <v>0</v>
      </c>
      <c r="R81" s="292">
        <f t="shared" si="14"/>
        <v>0</v>
      </c>
      <c r="S81" s="301">
        <f t="shared" si="9"/>
        <v>0</v>
      </c>
      <c r="T81" s="301">
        <f t="shared" si="10"/>
        <v>0</v>
      </c>
      <c r="U81" s="771" t="str">
        <f t="shared" si="11"/>
        <v>L</v>
      </c>
      <c r="V81" s="303"/>
      <c r="W81" s="304">
        <f>(Q81+R81)*'1.0-Contractblad'!$L$37</f>
        <v>0</v>
      </c>
      <c r="X81" s="304">
        <f ca="1">VLOOKUP(E81,'1.1a-Jaarprijzen'!$B$35:$Q$57,16,FALSE)*K81</f>
        <v>0</v>
      </c>
      <c r="Z81" s="773">
        <f t="shared" si="15"/>
        <v>10336</v>
      </c>
      <c r="AA81" s="492" t="str">
        <f t="shared" si="16"/>
        <v>18200-200</v>
      </c>
    </row>
    <row r="82" spans="2:27" s="490" customFormat="1" ht="15">
      <c r="B82" s="330"/>
      <c r="C82" s="331"/>
      <c r="D82" s="295">
        <f>VLOOKUP(E82,'1.1a-Jaarprijzen'!$B$13:$G$32,6,FALSE)</f>
        <v>2</v>
      </c>
      <c r="E82" s="294" t="s">
        <v>720</v>
      </c>
      <c r="F82" s="295" t="s">
        <v>605</v>
      </c>
      <c r="G82" s="296" t="s">
        <v>739</v>
      </c>
      <c r="H82" s="294" t="s">
        <v>477</v>
      </c>
      <c r="I82" s="297" t="str">
        <f t="shared" si="17"/>
        <v>sanitaire ruimte (toilet-/doucheruimte)</v>
      </c>
      <c r="J82" s="295" t="s">
        <v>465</v>
      </c>
      <c r="K82" s="298">
        <v>2.286</v>
      </c>
      <c r="L82" s="298"/>
      <c r="M82" s="299">
        <v>4200</v>
      </c>
      <c r="N82" s="300">
        <f t="shared" si="12"/>
        <v>200</v>
      </c>
      <c r="O82" s="484">
        <v>1</v>
      </c>
      <c r="P82" s="484">
        <v>1</v>
      </c>
      <c r="Q82" s="292">
        <f t="shared" si="13"/>
        <v>0</v>
      </c>
      <c r="R82" s="292">
        <f t="shared" si="14"/>
        <v>0</v>
      </c>
      <c r="S82" s="301">
        <f t="shared" si="9"/>
        <v>0</v>
      </c>
      <c r="T82" s="301">
        <f t="shared" si="10"/>
        <v>0</v>
      </c>
      <c r="U82" s="771" t="str">
        <f t="shared" si="11"/>
        <v>S</v>
      </c>
      <c r="V82" s="303"/>
      <c r="W82" s="304">
        <f>(Q82+R82)*'1.0-Contractblad'!$L$37</f>
        <v>0</v>
      </c>
      <c r="X82" s="304">
        <f ca="1">VLOOKUP(E82,'1.1a-Jaarprijzen'!$B$35:$Q$57,16,FALSE)*K82</f>
        <v>0</v>
      </c>
      <c r="Z82" s="773">
        <f t="shared" si="15"/>
        <v>457.2</v>
      </c>
      <c r="AA82" s="492" t="str">
        <f t="shared" si="16"/>
        <v>4200-200</v>
      </c>
    </row>
    <row r="83" spans="2:27" s="490" customFormat="1" ht="15">
      <c r="B83" s="330"/>
      <c r="C83" s="331"/>
      <c r="D83" s="295">
        <f>VLOOKUP(E83,'1.1a-Jaarprijzen'!$B$13:$G$32,6,FALSE)</f>
        <v>2</v>
      </c>
      <c r="E83" s="294" t="s">
        <v>740</v>
      </c>
      <c r="F83" s="295" t="s">
        <v>605</v>
      </c>
      <c r="G83" s="296">
        <v>-101</v>
      </c>
      <c r="H83" s="294" t="s">
        <v>741</v>
      </c>
      <c r="I83" s="297" t="str">
        <f t="shared" si="17"/>
        <v>niet van toepassing</v>
      </c>
      <c r="J83" s="295" t="s">
        <v>17</v>
      </c>
      <c r="K83" s="298"/>
      <c r="L83" s="298">
        <v>40.590000000000003</v>
      </c>
      <c r="M83" s="299" t="s">
        <v>17</v>
      </c>
      <c r="N83" s="300">
        <f t="shared" si="12"/>
        <v>0</v>
      </c>
      <c r="O83" s="484">
        <v>1</v>
      </c>
      <c r="P83" s="484">
        <v>1</v>
      </c>
      <c r="Q83" s="292">
        <f t="shared" si="13"/>
        <v>0</v>
      </c>
      <c r="R83" s="292">
        <f t="shared" si="14"/>
        <v>0</v>
      </c>
      <c r="S83" s="301">
        <f t="shared" si="9"/>
        <v>0</v>
      </c>
      <c r="T83" s="301">
        <f t="shared" si="10"/>
        <v>0</v>
      </c>
      <c r="U83" s="771">
        <f t="shared" si="11"/>
        <v>0</v>
      </c>
      <c r="V83" s="303"/>
      <c r="W83" s="304">
        <f>(Q83+R83)*'1.0-Contractblad'!$L$37</f>
        <v>0</v>
      </c>
      <c r="X83" s="304">
        <f ca="1">VLOOKUP(E83,'1.1a-Jaarprijzen'!$B$35:$Q$57,16,FALSE)*K83</f>
        <v>0</v>
      </c>
      <c r="Z83" s="773">
        <f t="shared" si="15"/>
        <v>0</v>
      </c>
      <c r="AA83" s="492" t="str">
        <f t="shared" si="16"/>
        <v>nvt-0</v>
      </c>
    </row>
    <row r="84" spans="2:27" s="490" customFormat="1" ht="15">
      <c r="B84" s="330"/>
      <c r="C84" s="331"/>
      <c r="D84" s="295">
        <f>VLOOKUP(E84,'1.1a-Jaarprijzen'!$B$13:$G$32,6,FALSE)</f>
        <v>2</v>
      </c>
      <c r="E84" s="294" t="s">
        <v>740</v>
      </c>
      <c r="F84" s="295" t="s">
        <v>605</v>
      </c>
      <c r="G84" s="296" t="s">
        <v>474</v>
      </c>
      <c r="H84" s="294" t="s">
        <v>393</v>
      </c>
      <c r="I84" s="297" t="str">
        <f t="shared" si="17"/>
        <v>entree, gang, hal, repro</v>
      </c>
      <c r="J84" s="295" t="s">
        <v>461</v>
      </c>
      <c r="K84" s="298">
        <v>11.625</v>
      </c>
      <c r="L84" s="298"/>
      <c r="M84" s="299">
        <v>3200</v>
      </c>
      <c r="N84" s="300">
        <f t="shared" si="12"/>
        <v>200</v>
      </c>
      <c r="O84" s="484">
        <v>1</v>
      </c>
      <c r="P84" s="484">
        <v>1</v>
      </c>
      <c r="Q84" s="292">
        <f t="shared" si="13"/>
        <v>0</v>
      </c>
      <c r="R84" s="292">
        <f t="shared" si="14"/>
        <v>0</v>
      </c>
      <c r="S84" s="301">
        <f t="shared" si="9"/>
        <v>0</v>
      </c>
      <c r="T84" s="301">
        <f t="shared" si="10"/>
        <v>0</v>
      </c>
      <c r="U84" s="771" t="str">
        <f t="shared" si="11"/>
        <v>V</v>
      </c>
      <c r="V84" s="303"/>
      <c r="W84" s="304">
        <f>(Q84+R84)*'1.0-Contractblad'!$L$37</f>
        <v>0</v>
      </c>
      <c r="X84" s="304">
        <f ca="1">VLOOKUP(E84,'1.1a-Jaarprijzen'!$B$35:$Q$57,16,FALSE)*K84</f>
        <v>0</v>
      </c>
      <c r="Z84" s="773">
        <f t="shared" si="15"/>
        <v>2325</v>
      </c>
      <c r="AA84" s="492" t="str">
        <f t="shared" si="16"/>
        <v>3200-200</v>
      </c>
    </row>
    <row r="85" spans="2:27" s="490" customFormat="1" ht="15">
      <c r="B85" s="330"/>
      <c r="C85" s="331"/>
      <c r="D85" s="295">
        <f>VLOOKUP(E85,'1.1a-Jaarprijzen'!$B$13:$G$32,6,FALSE)</f>
        <v>2</v>
      </c>
      <c r="E85" s="294" t="s">
        <v>740</v>
      </c>
      <c r="F85" s="295" t="s">
        <v>605</v>
      </c>
      <c r="G85" s="296" t="s">
        <v>467</v>
      </c>
      <c r="H85" s="294" t="s">
        <v>742</v>
      </c>
      <c r="I85" s="297" t="str">
        <f t="shared" si="17"/>
        <v>entree, gang, hal, repro</v>
      </c>
      <c r="J85" s="295" t="s">
        <v>696</v>
      </c>
      <c r="K85" s="298">
        <v>109.7</v>
      </c>
      <c r="L85" s="298"/>
      <c r="M85" s="299">
        <v>3200</v>
      </c>
      <c r="N85" s="300">
        <f t="shared" si="12"/>
        <v>200</v>
      </c>
      <c r="O85" s="484">
        <v>1</v>
      </c>
      <c r="P85" s="484">
        <v>1</v>
      </c>
      <c r="Q85" s="292">
        <f t="shared" si="13"/>
        <v>0</v>
      </c>
      <c r="R85" s="292">
        <f t="shared" si="14"/>
        <v>0</v>
      </c>
      <c r="S85" s="301">
        <f t="shared" si="9"/>
        <v>0</v>
      </c>
      <c r="T85" s="301">
        <f t="shared" si="10"/>
        <v>0</v>
      </c>
      <c r="U85" s="771" t="str">
        <f t="shared" si="11"/>
        <v>V</v>
      </c>
      <c r="V85" s="303"/>
      <c r="W85" s="304">
        <f>(Q85+R85)*'1.0-Contractblad'!$L$37</f>
        <v>0</v>
      </c>
      <c r="X85" s="304">
        <f ca="1">VLOOKUP(E85,'1.1a-Jaarprijzen'!$B$35:$Q$57,16,FALSE)*K85</f>
        <v>0</v>
      </c>
      <c r="Z85" s="773">
        <f t="shared" si="15"/>
        <v>21940</v>
      </c>
      <c r="AA85" s="492" t="str">
        <f t="shared" si="16"/>
        <v>3200-200</v>
      </c>
    </row>
    <row r="86" spans="2:27" s="490" customFormat="1" ht="15">
      <c r="B86" s="330"/>
      <c r="C86" s="331"/>
      <c r="D86" s="295">
        <f>VLOOKUP(E86,'1.1a-Jaarprijzen'!$B$13:$G$32,6,FALSE)</f>
        <v>2</v>
      </c>
      <c r="E86" s="294" t="s">
        <v>740</v>
      </c>
      <c r="F86" s="295" t="s">
        <v>605</v>
      </c>
      <c r="G86" s="296" t="s">
        <v>468</v>
      </c>
      <c r="H86" s="294" t="s">
        <v>676</v>
      </c>
      <c r="I86" s="297" t="str">
        <f t="shared" si="17"/>
        <v>administratieve -,  vergaderruimte</v>
      </c>
      <c r="J86" s="295" t="s">
        <v>696</v>
      </c>
      <c r="K86" s="298">
        <v>47.95</v>
      </c>
      <c r="L86" s="298"/>
      <c r="M86" s="299">
        <v>1040</v>
      </c>
      <c r="N86" s="300">
        <f t="shared" si="12"/>
        <v>40</v>
      </c>
      <c r="O86" s="484">
        <v>1</v>
      </c>
      <c r="P86" s="484">
        <v>1</v>
      </c>
      <c r="Q86" s="292">
        <f t="shared" si="13"/>
        <v>0</v>
      </c>
      <c r="R86" s="292">
        <f t="shared" si="14"/>
        <v>0</v>
      </c>
      <c r="S86" s="301">
        <f t="shared" si="9"/>
        <v>0</v>
      </c>
      <c r="T86" s="301">
        <f t="shared" si="10"/>
        <v>0</v>
      </c>
      <c r="U86" s="771" t="str">
        <f t="shared" si="11"/>
        <v>V</v>
      </c>
      <c r="V86" s="303"/>
      <c r="W86" s="304">
        <f>(Q86+R86)*'1.0-Contractblad'!$L$37</f>
        <v>0</v>
      </c>
      <c r="X86" s="304">
        <f ca="1">VLOOKUP(E86,'1.1a-Jaarprijzen'!$B$35:$Q$57,16,FALSE)*K86</f>
        <v>0</v>
      </c>
      <c r="Z86" s="773">
        <f t="shared" si="15"/>
        <v>1918</v>
      </c>
      <c r="AA86" s="492" t="str">
        <f t="shared" si="16"/>
        <v>1040-40</v>
      </c>
    </row>
    <row r="87" spans="2:27" s="490" customFormat="1" ht="15">
      <c r="B87" s="330"/>
      <c r="C87" s="331"/>
      <c r="D87" s="295">
        <f>VLOOKUP(E87,'1.1a-Jaarprijzen'!$B$13:$G$32,6,FALSE)</f>
        <v>2</v>
      </c>
      <c r="E87" s="294" t="s">
        <v>740</v>
      </c>
      <c r="F87" s="295" t="s">
        <v>605</v>
      </c>
      <c r="G87" s="296" t="s">
        <v>469</v>
      </c>
      <c r="H87" s="294" t="s">
        <v>571</v>
      </c>
      <c r="I87" s="297" t="str">
        <f t="shared" si="17"/>
        <v>niet van toepassing</v>
      </c>
      <c r="J87" s="295" t="s">
        <v>696</v>
      </c>
      <c r="K87" s="298"/>
      <c r="L87" s="298">
        <v>3.15</v>
      </c>
      <c r="M87" s="299" t="s">
        <v>17</v>
      </c>
      <c r="N87" s="300">
        <f t="shared" si="12"/>
        <v>0</v>
      </c>
      <c r="O87" s="484">
        <v>1</v>
      </c>
      <c r="P87" s="484">
        <v>1</v>
      </c>
      <c r="Q87" s="292">
        <f t="shared" si="13"/>
        <v>0</v>
      </c>
      <c r="R87" s="292">
        <f t="shared" si="14"/>
        <v>0</v>
      </c>
      <c r="S87" s="301">
        <f t="shared" si="9"/>
        <v>0</v>
      </c>
      <c r="T87" s="301">
        <f t="shared" si="10"/>
        <v>0</v>
      </c>
      <c r="U87" s="771">
        <f t="shared" si="11"/>
        <v>0</v>
      </c>
      <c r="V87" s="303"/>
      <c r="W87" s="304">
        <f>(Q87+R87)*'1.0-Contractblad'!$L$37</f>
        <v>0</v>
      </c>
      <c r="X87" s="304">
        <f ca="1">VLOOKUP(E87,'1.1a-Jaarprijzen'!$B$35:$Q$57,16,FALSE)*K87</f>
        <v>0</v>
      </c>
      <c r="Z87" s="773">
        <f t="shared" si="15"/>
        <v>0</v>
      </c>
      <c r="AA87" s="492" t="str">
        <f t="shared" si="16"/>
        <v>nvt-0</v>
      </c>
    </row>
    <row r="88" spans="2:27" s="490" customFormat="1" ht="15">
      <c r="B88" s="330"/>
      <c r="C88" s="331"/>
      <c r="D88" s="295">
        <f>VLOOKUP(E88,'1.1a-Jaarprijzen'!$B$13:$G$32,6,FALSE)</f>
        <v>2</v>
      </c>
      <c r="E88" s="294" t="s">
        <v>740</v>
      </c>
      <c r="F88" s="295" t="s">
        <v>605</v>
      </c>
      <c r="G88" s="296" t="s">
        <v>470</v>
      </c>
      <c r="H88" s="294" t="s">
        <v>401</v>
      </c>
      <c r="I88" s="297" t="str">
        <f t="shared" si="17"/>
        <v>niet van toepassing</v>
      </c>
      <c r="J88" s="295" t="s">
        <v>696</v>
      </c>
      <c r="K88" s="298"/>
      <c r="L88" s="298">
        <v>1.4400000000000002</v>
      </c>
      <c r="M88" s="299" t="s">
        <v>17</v>
      </c>
      <c r="N88" s="300">
        <f t="shared" si="12"/>
        <v>0</v>
      </c>
      <c r="O88" s="484">
        <v>1</v>
      </c>
      <c r="P88" s="484">
        <v>1</v>
      </c>
      <c r="Q88" s="292">
        <f t="shared" si="13"/>
        <v>0</v>
      </c>
      <c r="R88" s="292">
        <f t="shared" si="14"/>
        <v>0</v>
      </c>
      <c r="S88" s="301">
        <f t="shared" si="9"/>
        <v>0</v>
      </c>
      <c r="T88" s="301">
        <f t="shared" si="10"/>
        <v>0</v>
      </c>
      <c r="U88" s="771">
        <f t="shared" si="11"/>
        <v>0</v>
      </c>
      <c r="V88" s="303"/>
      <c r="W88" s="304">
        <f>(Q88+R88)*'1.0-Contractblad'!$L$37</f>
        <v>0</v>
      </c>
      <c r="X88" s="304">
        <f ca="1">VLOOKUP(E88,'1.1a-Jaarprijzen'!$B$35:$Q$57,16,FALSE)*K88</f>
        <v>0</v>
      </c>
      <c r="Z88" s="773">
        <f t="shared" si="15"/>
        <v>0</v>
      </c>
      <c r="AA88" s="492" t="str">
        <f t="shared" si="16"/>
        <v>nvt-0</v>
      </c>
    </row>
    <row r="89" spans="2:27" s="490" customFormat="1" ht="15">
      <c r="B89" s="330"/>
      <c r="C89" s="331"/>
      <c r="D89" s="295">
        <f>VLOOKUP(E89,'1.1a-Jaarprijzen'!$B$13:$G$32,6,FALSE)</f>
        <v>2</v>
      </c>
      <c r="E89" s="294" t="s">
        <v>740</v>
      </c>
      <c r="F89" s="295" t="s">
        <v>605</v>
      </c>
      <c r="G89" s="296" t="s">
        <v>472</v>
      </c>
      <c r="H89" s="294" t="s">
        <v>396</v>
      </c>
      <c r="I89" s="297" t="str">
        <f t="shared" si="17"/>
        <v>aula, gemeenschappelijke ruimte, bibliotheek</v>
      </c>
      <c r="J89" s="295" t="s">
        <v>696</v>
      </c>
      <c r="K89" s="298">
        <v>88.350000000000009</v>
      </c>
      <c r="L89" s="298"/>
      <c r="M89" s="299">
        <v>2200</v>
      </c>
      <c r="N89" s="300">
        <f t="shared" si="12"/>
        <v>200</v>
      </c>
      <c r="O89" s="484">
        <v>1</v>
      </c>
      <c r="P89" s="484">
        <v>1</v>
      </c>
      <c r="Q89" s="292">
        <f t="shared" si="13"/>
        <v>0</v>
      </c>
      <c r="R89" s="292">
        <f t="shared" si="14"/>
        <v>0</v>
      </c>
      <c r="S89" s="301">
        <f t="shared" si="9"/>
        <v>0</v>
      </c>
      <c r="T89" s="301">
        <f t="shared" si="10"/>
        <v>0</v>
      </c>
      <c r="U89" s="771" t="str">
        <f t="shared" si="11"/>
        <v>V</v>
      </c>
      <c r="V89" s="303"/>
      <c r="W89" s="304">
        <f>(Q89+R89)*'1.0-Contractblad'!$L$37</f>
        <v>0</v>
      </c>
      <c r="X89" s="304">
        <f ca="1">VLOOKUP(E89,'1.1a-Jaarprijzen'!$B$35:$Q$57,16,FALSE)*K89</f>
        <v>0</v>
      </c>
      <c r="Z89" s="773">
        <f t="shared" si="15"/>
        <v>17670</v>
      </c>
      <c r="AA89" s="492" t="str">
        <f t="shared" si="16"/>
        <v>2200-200</v>
      </c>
    </row>
    <row r="90" spans="2:27" s="490" customFormat="1" ht="15">
      <c r="B90" s="330"/>
      <c r="C90" s="331"/>
      <c r="D90" s="295">
        <f>VLOOKUP(E90,'1.1a-Jaarprijzen'!$B$13:$G$32,6,FALSE)</f>
        <v>2</v>
      </c>
      <c r="E90" s="294" t="s">
        <v>740</v>
      </c>
      <c r="F90" s="295" t="s">
        <v>605</v>
      </c>
      <c r="G90" s="296" t="s">
        <v>473</v>
      </c>
      <c r="H90" s="294" t="s">
        <v>387</v>
      </c>
      <c r="I90" s="297" t="str">
        <f t="shared" si="17"/>
        <v>entree, gang, hal, repro</v>
      </c>
      <c r="J90" s="295" t="s">
        <v>464</v>
      </c>
      <c r="K90" s="298">
        <v>17.600000000000001</v>
      </c>
      <c r="L90" s="298"/>
      <c r="M90" s="299">
        <v>3200</v>
      </c>
      <c r="N90" s="300">
        <f t="shared" si="12"/>
        <v>200</v>
      </c>
      <c r="O90" s="484">
        <v>1</v>
      </c>
      <c r="P90" s="484">
        <v>1</v>
      </c>
      <c r="Q90" s="292">
        <f t="shared" si="13"/>
        <v>0</v>
      </c>
      <c r="R90" s="292">
        <f t="shared" si="14"/>
        <v>0</v>
      </c>
      <c r="S90" s="301">
        <f t="shared" si="9"/>
        <v>0</v>
      </c>
      <c r="T90" s="301">
        <f t="shared" si="10"/>
        <v>0</v>
      </c>
      <c r="U90" s="771" t="str">
        <f t="shared" si="11"/>
        <v>V</v>
      </c>
      <c r="V90" s="303"/>
      <c r="W90" s="304">
        <f>(Q90+R90)*'1.0-Contractblad'!$L$37</f>
        <v>0</v>
      </c>
      <c r="X90" s="304">
        <f ca="1">VLOOKUP(E90,'1.1a-Jaarprijzen'!$B$35:$Q$57,16,FALSE)*K90</f>
        <v>0</v>
      </c>
      <c r="Z90" s="773">
        <f t="shared" si="15"/>
        <v>3520.0000000000005</v>
      </c>
      <c r="AA90" s="492" t="str">
        <f t="shared" si="16"/>
        <v>3200-200</v>
      </c>
    </row>
    <row r="91" spans="2:27" s="490" customFormat="1" ht="15">
      <c r="B91" s="330"/>
      <c r="C91" s="331"/>
      <c r="D91" s="295">
        <f>VLOOKUP(E91,'1.1a-Jaarprijzen'!$B$13:$G$32,6,FALSE)</f>
        <v>2</v>
      </c>
      <c r="E91" s="294" t="s">
        <v>740</v>
      </c>
      <c r="F91" s="295" t="s">
        <v>605</v>
      </c>
      <c r="G91" s="296" t="s">
        <v>597</v>
      </c>
      <c r="H91" s="294" t="s">
        <v>743</v>
      </c>
      <c r="I91" s="297" t="str">
        <f t="shared" si="17"/>
        <v>aula, gemeenschappelijke ruimte, bibliotheek</v>
      </c>
      <c r="J91" s="295" t="s">
        <v>696</v>
      </c>
      <c r="K91" s="298">
        <v>31</v>
      </c>
      <c r="L91" s="298"/>
      <c r="M91" s="299">
        <v>2200</v>
      </c>
      <c r="N91" s="300">
        <f t="shared" si="12"/>
        <v>200</v>
      </c>
      <c r="O91" s="484">
        <v>1</v>
      </c>
      <c r="P91" s="484">
        <v>1</v>
      </c>
      <c r="Q91" s="292">
        <f t="shared" si="13"/>
        <v>0</v>
      </c>
      <c r="R91" s="292">
        <f t="shared" si="14"/>
        <v>0</v>
      </c>
      <c r="S91" s="301">
        <f t="shared" si="9"/>
        <v>0</v>
      </c>
      <c r="T91" s="301">
        <f t="shared" si="10"/>
        <v>0</v>
      </c>
      <c r="U91" s="771" t="str">
        <f t="shared" si="11"/>
        <v>V</v>
      </c>
      <c r="V91" s="303"/>
      <c r="W91" s="304">
        <f>(Q91+R91)*'1.0-Contractblad'!$L$37</f>
        <v>0</v>
      </c>
      <c r="X91" s="304">
        <f ca="1">VLOOKUP(E91,'1.1a-Jaarprijzen'!$B$35:$Q$57,16,FALSE)*K91</f>
        <v>0</v>
      </c>
      <c r="Z91" s="773">
        <f t="shared" si="15"/>
        <v>6200</v>
      </c>
      <c r="AA91" s="492" t="str">
        <f t="shared" si="16"/>
        <v>2200-200</v>
      </c>
    </row>
    <row r="92" spans="2:27" s="490" customFormat="1" ht="15">
      <c r="B92" s="330"/>
      <c r="C92" s="331"/>
      <c r="D92" s="295">
        <f>VLOOKUP(E92,'1.1a-Jaarprijzen'!$B$13:$G$32,6,FALSE)</f>
        <v>2</v>
      </c>
      <c r="E92" s="294" t="s">
        <v>740</v>
      </c>
      <c r="F92" s="295" t="s">
        <v>605</v>
      </c>
      <c r="G92" s="296" t="s">
        <v>598</v>
      </c>
      <c r="H92" s="294" t="s">
        <v>393</v>
      </c>
      <c r="I92" s="297" t="str">
        <f t="shared" si="17"/>
        <v>entree, gang, hal, repro</v>
      </c>
      <c r="J92" s="295" t="s">
        <v>461</v>
      </c>
      <c r="K92" s="298">
        <v>3.25</v>
      </c>
      <c r="L92" s="298"/>
      <c r="M92" s="299">
        <v>3200</v>
      </c>
      <c r="N92" s="300">
        <f t="shared" si="12"/>
        <v>200</v>
      </c>
      <c r="O92" s="484">
        <v>1</v>
      </c>
      <c r="P92" s="484">
        <v>1</v>
      </c>
      <c r="Q92" s="292">
        <f t="shared" si="13"/>
        <v>0</v>
      </c>
      <c r="R92" s="292">
        <f t="shared" si="14"/>
        <v>0</v>
      </c>
      <c r="S92" s="301">
        <f t="shared" si="9"/>
        <v>0</v>
      </c>
      <c r="T92" s="301">
        <f t="shared" si="10"/>
        <v>0</v>
      </c>
      <c r="U92" s="771" t="str">
        <f t="shared" si="11"/>
        <v>V</v>
      </c>
      <c r="V92" s="303"/>
      <c r="W92" s="304">
        <f>(Q92+R92)*'1.0-Contractblad'!$L$37</f>
        <v>0</v>
      </c>
      <c r="X92" s="304">
        <f ca="1">VLOOKUP(E92,'1.1a-Jaarprijzen'!$B$35:$Q$57,16,FALSE)*K92</f>
        <v>0</v>
      </c>
      <c r="Z92" s="773">
        <f t="shared" si="15"/>
        <v>650</v>
      </c>
      <c r="AA92" s="492" t="str">
        <f t="shared" si="16"/>
        <v>3200-200</v>
      </c>
    </row>
    <row r="93" spans="2:27" s="490" customFormat="1" ht="15">
      <c r="B93" s="330"/>
      <c r="C93" s="331"/>
      <c r="D93" s="295">
        <f>VLOOKUP(E93,'1.1a-Jaarprijzen'!$B$13:$G$32,6,FALSE)</f>
        <v>2</v>
      </c>
      <c r="E93" s="294" t="s">
        <v>740</v>
      </c>
      <c r="F93" s="295" t="s">
        <v>605</v>
      </c>
      <c r="G93" s="296" t="s">
        <v>599</v>
      </c>
      <c r="H93" s="294" t="s">
        <v>744</v>
      </c>
      <c r="I93" s="297" t="str">
        <f t="shared" si="17"/>
        <v>niet van toepassing</v>
      </c>
      <c r="J93" s="295" t="s">
        <v>475</v>
      </c>
      <c r="K93" s="298"/>
      <c r="L93" s="298">
        <v>2.64</v>
      </c>
      <c r="M93" s="299" t="s">
        <v>17</v>
      </c>
      <c r="N93" s="300">
        <f t="shared" si="12"/>
        <v>0</v>
      </c>
      <c r="O93" s="484">
        <v>1</v>
      </c>
      <c r="P93" s="484">
        <v>1</v>
      </c>
      <c r="Q93" s="292">
        <f t="shared" si="13"/>
        <v>0</v>
      </c>
      <c r="R93" s="292">
        <f t="shared" si="14"/>
        <v>0</v>
      </c>
      <c r="S93" s="301">
        <f t="shared" si="9"/>
        <v>0</v>
      </c>
      <c r="T93" s="301">
        <f t="shared" si="10"/>
        <v>0</v>
      </c>
      <c r="U93" s="771">
        <f t="shared" si="11"/>
        <v>0</v>
      </c>
      <c r="V93" s="303"/>
      <c r="W93" s="304">
        <f>(Q93+R93)*'1.0-Contractblad'!$L$37</f>
        <v>0</v>
      </c>
      <c r="X93" s="304">
        <f ca="1">VLOOKUP(E93,'1.1a-Jaarprijzen'!$B$35:$Q$57,16,FALSE)*K93</f>
        <v>0</v>
      </c>
      <c r="Z93" s="773">
        <f t="shared" si="15"/>
        <v>0</v>
      </c>
      <c r="AA93" s="492" t="str">
        <f t="shared" si="16"/>
        <v>nvt-0</v>
      </c>
    </row>
    <row r="94" spans="2:27" s="490" customFormat="1" ht="15">
      <c r="B94" s="330"/>
      <c r="C94" s="331"/>
      <c r="D94" s="295">
        <f>VLOOKUP(E94,'1.1a-Jaarprijzen'!$B$13:$G$32,6,FALSE)</f>
        <v>2</v>
      </c>
      <c r="E94" s="294" t="s">
        <v>740</v>
      </c>
      <c r="F94" s="295" t="s">
        <v>605</v>
      </c>
      <c r="G94" s="296" t="s">
        <v>607</v>
      </c>
      <c r="H94" s="294" t="s">
        <v>477</v>
      </c>
      <c r="I94" s="297" t="str">
        <f t="shared" si="17"/>
        <v>sanitaire ruimte (toilet-/doucheruimte)</v>
      </c>
      <c r="J94" s="295" t="s">
        <v>475</v>
      </c>
      <c r="K94" s="298">
        <v>3.75</v>
      </c>
      <c r="L94" s="298"/>
      <c r="M94" s="299">
        <v>4200</v>
      </c>
      <c r="N94" s="300">
        <f t="shared" si="12"/>
        <v>200</v>
      </c>
      <c r="O94" s="484">
        <v>1</v>
      </c>
      <c r="P94" s="484">
        <v>1</v>
      </c>
      <c r="Q94" s="292">
        <f t="shared" si="13"/>
        <v>0</v>
      </c>
      <c r="R94" s="292">
        <f t="shared" si="14"/>
        <v>0</v>
      </c>
      <c r="S94" s="301">
        <f t="shared" si="9"/>
        <v>0</v>
      </c>
      <c r="T94" s="301">
        <f t="shared" si="10"/>
        <v>0</v>
      </c>
      <c r="U94" s="771" t="str">
        <f t="shared" si="11"/>
        <v>S</v>
      </c>
      <c r="V94" s="303"/>
      <c r="W94" s="304">
        <f>(Q94+R94)*'1.0-Contractblad'!$L$37</f>
        <v>0</v>
      </c>
      <c r="X94" s="304">
        <f ca="1">VLOOKUP(E94,'1.1a-Jaarprijzen'!$B$35:$Q$57,16,FALSE)*K94</f>
        <v>0</v>
      </c>
      <c r="Z94" s="773">
        <f t="shared" si="15"/>
        <v>750</v>
      </c>
      <c r="AA94" s="492" t="str">
        <f t="shared" si="16"/>
        <v>4200-200</v>
      </c>
    </row>
    <row r="95" spans="2:27" s="490" customFormat="1" ht="15">
      <c r="B95" s="330"/>
      <c r="C95" s="331"/>
      <c r="D95" s="295">
        <f>VLOOKUP(E95,'1.1a-Jaarprijzen'!$B$13:$G$32,6,FALSE)</f>
        <v>2</v>
      </c>
      <c r="E95" s="294" t="s">
        <v>740</v>
      </c>
      <c r="F95" s="295" t="s">
        <v>605</v>
      </c>
      <c r="G95" s="296" t="s">
        <v>608</v>
      </c>
      <c r="H95" s="294" t="s">
        <v>387</v>
      </c>
      <c r="I95" s="297" t="str">
        <f t="shared" si="17"/>
        <v>entree, gang, hal, repro</v>
      </c>
      <c r="J95" s="295" t="s">
        <v>464</v>
      </c>
      <c r="K95" s="298">
        <v>12.170000000000002</v>
      </c>
      <c r="L95" s="298"/>
      <c r="M95" s="299">
        <v>3200</v>
      </c>
      <c r="N95" s="300">
        <f t="shared" si="12"/>
        <v>200</v>
      </c>
      <c r="O95" s="484">
        <v>1</v>
      </c>
      <c r="P95" s="484">
        <v>1</v>
      </c>
      <c r="Q95" s="292">
        <f t="shared" si="13"/>
        <v>0</v>
      </c>
      <c r="R95" s="292">
        <f t="shared" si="14"/>
        <v>0</v>
      </c>
      <c r="S95" s="301">
        <f t="shared" si="9"/>
        <v>0</v>
      </c>
      <c r="T95" s="301">
        <f t="shared" si="10"/>
        <v>0</v>
      </c>
      <c r="U95" s="771" t="str">
        <f t="shared" si="11"/>
        <v>V</v>
      </c>
      <c r="V95" s="303"/>
      <c r="W95" s="304">
        <f>(Q95+R95)*'1.0-Contractblad'!$L$37</f>
        <v>0</v>
      </c>
      <c r="X95" s="304">
        <f ca="1">VLOOKUP(E95,'1.1a-Jaarprijzen'!$B$35:$Q$57,16,FALSE)*K95</f>
        <v>0</v>
      </c>
      <c r="Z95" s="773">
        <f t="shared" si="15"/>
        <v>2434.0000000000005</v>
      </c>
      <c r="AA95" s="492" t="str">
        <f t="shared" si="16"/>
        <v>3200-200</v>
      </c>
    </row>
    <row r="96" spans="2:27" s="490" customFormat="1" ht="15">
      <c r="B96" s="330"/>
      <c r="C96" s="331"/>
      <c r="D96" s="295">
        <f>VLOOKUP(E96,'1.1a-Jaarprijzen'!$B$13:$G$32,6,FALSE)</f>
        <v>2</v>
      </c>
      <c r="E96" s="294" t="s">
        <v>740</v>
      </c>
      <c r="F96" s="295" t="s">
        <v>605</v>
      </c>
      <c r="G96" s="296" t="s">
        <v>610</v>
      </c>
      <c r="H96" s="294" t="s">
        <v>745</v>
      </c>
      <c r="I96" s="297" t="str">
        <f t="shared" si="17"/>
        <v>niet van toepassing</v>
      </c>
      <c r="J96" s="295" t="s">
        <v>696</v>
      </c>
      <c r="K96" s="298"/>
      <c r="L96" s="298">
        <v>39.1</v>
      </c>
      <c r="M96" s="299" t="s">
        <v>17</v>
      </c>
      <c r="N96" s="300">
        <f t="shared" si="12"/>
        <v>0</v>
      </c>
      <c r="O96" s="484">
        <v>1</v>
      </c>
      <c r="P96" s="484">
        <v>1</v>
      </c>
      <c r="Q96" s="292">
        <f t="shared" si="13"/>
        <v>0</v>
      </c>
      <c r="R96" s="292">
        <f t="shared" si="14"/>
        <v>0</v>
      </c>
      <c r="S96" s="301">
        <f t="shared" si="9"/>
        <v>0</v>
      </c>
      <c r="T96" s="301">
        <f t="shared" si="10"/>
        <v>0</v>
      </c>
      <c r="U96" s="771">
        <f t="shared" si="11"/>
        <v>0</v>
      </c>
      <c r="V96" s="303"/>
      <c r="W96" s="304">
        <f>(Q96+R96)*'1.0-Contractblad'!$L$37</f>
        <v>0</v>
      </c>
      <c r="X96" s="304">
        <f ca="1">VLOOKUP(E96,'1.1a-Jaarprijzen'!$B$35:$Q$57,16,FALSE)*K96</f>
        <v>0</v>
      </c>
      <c r="Z96" s="773">
        <f t="shared" si="15"/>
        <v>0</v>
      </c>
      <c r="AA96" s="492" t="str">
        <f t="shared" si="16"/>
        <v>nvt-0</v>
      </c>
    </row>
    <row r="97" spans="2:27" s="490" customFormat="1" ht="15">
      <c r="B97" s="330"/>
      <c r="C97" s="331"/>
      <c r="D97" s="295">
        <f>VLOOKUP(E97,'1.1a-Jaarprijzen'!$B$13:$G$32,6,FALSE)</f>
        <v>2</v>
      </c>
      <c r="E97" s="294" t="s">
        <v>740</v>
      </c>
      <c r="F97" s="295" t="s">
        <v>605</v>
      </c>
      <c r="G97" s="296" t="s">
        <v>612</v>
      </c>
      <c r="H97" s="294" t="s">
        <v>401</v>
      </c>
      <c r="I97" s="297" t="str">
        <f t="shared" si="17"/>
        <v>niet van toepassing</v>
      </c>
      <c r="J97" s="295" t="s">
        <v>696</v>
      </c>
      <c r="K97" s="298"/>
      <c r="L97" s="298">
        <v>6</v>
      </c>
      <c r="M97" s="299" t="s">
        <v>17</v>
      </c>
      <c r="N97" s="300">
        <f t="shared" si="12"/>
        <v>0</v>
      </c>
      <c r="O97" s="484">
        <v>1</v>
      </c>
      <c r="P97" s="484">
        <v>1</v>
      </c>
      <c r="Q97" s="292">
        <f t="shared" si="13"/>
        <v>0</v>
      </c>
      <c r="R97" s="292">
        <f t="shared" si="14"/>
        <v>0</v>
      </c>
      <c r="S97" s="301">
        <f t="shared" si="9"/>
        <v>0</v>
      </c>
      <c r="T97" s="301">
        <f t="shared" si="10"/>
        <v>0</v>
      </c>
      <c r="U97" s="771">
        <f t="shared" si="11"/>
        <v>0</v>
      </c>
      <c r="V97" s="303"/>
      <c r="W97" s="304">
        <f>(Q97+R97)*'1.0-Contractblad'!$L$37</f>
        <v>0</v>
      </c>
      <c r="X97" s="304">
        <f ca="1">VLOOKUP(E97,'1.1a-Jaarprijzen'!$B$35:$Q$57,16,FALSE)*K97</f>
        <v>0</v>
      </c>
      <c r="Z97" s="773">
        <f t="shared" si="15"/>
        <v>0</v>
      </c>
      <c r="AA97" s="492" t="str">
        <f t="shared" si="16"/>
        <v>nvt-0</v>
      </c>
    </row>
    <row r="98" spans="2:27" s="490" customFormat="1" ht="15">
      <c r="B98" s="330"/>
      <c r="C98" s="331"/>
      <c r="D98" s="295">
        <f>VLOOKUP(E98,'1.1a-Jaarprijzen'!$B$13:$G$32,6,FALSE)</f>
        <v>2</v>
      </c>
      <c r="E98" s="294" t="s">
        <v>740</v>
      </c>
      <c r="F98" s="295" t="s">
        <v>605</v>
      </c>
      <c r="G98" s="296" t="s">
        <v>613</v>
      </c>
      <c r="H98" s="294" t="s">
        <v>401</v>
      </c>
      <c r="I98" s="297" t="str">
        <f t="shared" si="17"/>
        <v>niet van toepassing</v>
      </c>
      <c r="J98" s="295" t="s">
        <v>696</v>
      </c>
      <c r="K98" s="298"/>
      <c r="L98" s="298">
        <v>6</v>
      </c>
      <c r="M98" s="299" t="s">
        <v>17</v>
      </c>
      <c r="N98" s="300">
        <f t="shared" si="12"/>
        <v>0</v>
      </c>
      <c r="O98" s="484">
        <v>1</v>
      </c>
      <c r="P98" s="484">
        <v>1</v>
      </c>
      <c r="Q98" s="292">
        <f t="shared" si="13"/>
        <v>0</v>
      </c>
      <c r="R98" s="292">
        <f t="shared" si="14"/>
        <v>0</v>
      </c>
      <c r="S98" s="301">
        <f t="shared" si="9"/>
        <v>0</v>
      </c>
      <c r="T98" s="301">
        <f t="shared" si="10"/>
        <v>0</v>
      </c>
      <c r="U98" s="771">
        <f t="shared" si="11"/>
        <v>0</v>
      </c>
      <c r="V98" s="303"/>
      <c r="W98" s="304">
        <f>(Q98+R98)*'1.0-Contractblad'!$L$37</f>
        <v>0</v>
      </c>
      <c r="X98" s="304">
        <f ca="1">VLOOKUP(E98,'1.1a-Jaarprijzen'!$B$35:$Q$57,16,FALSE)*K98</f>
        <v>0</v>
      </c>
      <c r="Z98" s="773">
        <f t="shared" si="15"/>
        <v>0</v>
      </c>
      <c r="AA98" s="492" t="str">
        <f t="shared" si="16"/>
        <v>nvt-0</v>
      </c>
    </row>
    <row r="99" spans="2:27" s="490" customFormat="1" ht="15">
      <c r="B99" s="330"/>
      <c r="C99" s="331"/>
      <c r="D99" s="295">
        <f>VLOOKUP(E99,'1.1a-Jaarprijzen'!$B$13:$G$32,6,FALSE)</f>
        <v>2</v>
      </c>
      <c r="E99" s="294" t="s">
        <v>740</v>
      </c>
      <c r="F99" s="295" t="s">
        <v>605</v>
      </c>
      <c r="G99" s="296" t="s">
        <v>614</v>
      </c>
      <c r="H99" s="294" t="s">
        <v>746</v>
      </c>
      <c r="I99" s="297" t="str">
        <f t="shared" si="17"/>
        <v>pantry/keuken</v>
      </c>
      <c r="J99" s="295" t="s">
        <v>696</v>
      </c>
      <c r="K99" s="298">
        <v>38.5</v>
      </c>
      <c r="L99" s="298"/>
      <c r="M99" s="299">
        <v>5040</v>
      </c>
      <c r="N99" s="300">
        <f t="shared" si="12"/>
        <v>40</v>
      </c>
      <c r="O99" s="484">
        <v>1</v>
      </c>
      <c r="P99" s="484">
        <v>1</v>
      </c>
      <c r="Q99" s="292">
        <f t="shared" si="13"/>
        <v>0</v>
      </c>
      <c r="R99" s="292">
        <f t="shared" si="14"/>
        <v>0</v>
      </c>
      <c r="S99" s="301">
        <f t="shared" si="9"/>
        <v>0</v>
      </c>
      <c r="T99" s="301">
        <f t="shared" si="10"/>
        <v>0</v>
      </c>
      <c r="U99" s="771" t="str">
        <f t="shared" si="11"/>
        <v>V</v>
      </c>
      <c r="V99" s="303"/>
      <c r="W99" s="304">
        <f>(Q99+R99)*'1.0-Contractblad'!$L$37</f>
        <v>0</v>
      </c>
      <c r="X99" s="304">
        <f ca="1">VLOOKUP(E99,'1.1a-Jaarprijzen'!$B$35:$Q$57,16,FALSE)*K99</f>
        <v>0</v>
      </c>
      <c r="Z99" s="773">
        <f t="shared" si="15"/>
        <v>1540</v>
      </c>
      <c r="AA99" s="492" t="str">
        <f t="shared" si="16"/>
        <v>5040-40</v>
      </c>
    </row>
    <row r="100" spans="2:27" s="490" customFormat="1" ht="15">
      <c r="B100" s="330"/>
      <c r="C100" s="331"/>
      <c r="D100" s="295">
        <f>VLOOKUP(E100,'1.1a-Jaarprijzen'!$B$13:$G$32,6,FALSE)</f>
        <v>2</v>
      </c>
      <c r="E100" s="294" t="s">
        <v>740</v>
      </c>
      <c r="F100" s="295" t="s">
        <v>605</v>
      </c>
      <c r="G100" s="296" t="s">
        <v>615</v>
      </c>
      <c r="H100" s="294" t="s">
        <v>401</v>
      </c>
      <c r="I100" s="297" t="str">
        <f t="shared" si="17"/>
        <v>niet van toepassing</v>
      </c>
      <c r="J100" s="295" t="s">
        <v>696</v>
      </c>
      <c r="K100" s="298"/>
      <c r="L100" s="298">
        <v>17.5</v>
      </c>
      <c r="M100" s="299" t="s">
        <v>17</v>
      </c>
      <c r="N100" s="300">
        <f t="shared" si="12"/>
        <v>0</v>
      </c>
      <c r="O100" s="484">
        <v>1</v>
      </c>
      <c r="P100" s="484">
        <v>1</v>
      </c>
      <c r="Q100" s="292">
        <f t="shared" si="13"/>
        <v>0</v>
      </c>
      <c r="R100" s="292">
        <f t="shared" si="14"/>
        <v>0</v>
      </c>
      <c r="S100" s="301">
        <f t="shared" si="9"/>
        <v>0</v>
      </c>
      <c r="T100" s="301">
        <f t="shared" si="10"/>
        <v>0</v>
      </c>
      <c r="U100" s="771">
        <f t="shared" si="11"/>
        <v>0</v>
      </c>
      <c r="V100" s="303"/>
      <c r="W100" s="304">
        <f>(Q100+R100)*'1.0-Contractblad'!$L$37</f>
        <v>0</v>
      </c>
      <c r="X100" s="304">
        <f ca="1">VLOOKUP(E100,'1.1a-Jaarprijzen'!$B$35:$Q$57,16,FALSE)*K100</f>
        <v>0</v>
      </c>
      <c r="Z100" s="773">
        <f t="shared" si="15"/>
        <v>0</v>
      </c>
      <c r="AA100" s="492" t="str">
        <f t="shared" si="16"/>
        <v>nvt-0</v>
      </c>
    </row>
    <row r="101" spans="2:27" s="490" customFormat="1" ht="15">
      <c r="B101" s="330"/>
      <c r="C101" s="331"/>
      <c r="D101" s="295">
        <f>VLOOKUP(E101,'1.1a-Jaarprijzen'!$B$13:$G$32,6,FALSE)</f>
        <v>2</v>
      </c>
      <c r="E101" s="294" t="s">
        <v>740</v>
      </c>
      <c r="F101" s="295" t="s">
        <v>605</v>
      </c>
      <c r="G101" s="296" t="s">
        <v>616</v>
      </c>
      <c r="H101" s="294" t="s">
        <v>477</v>
      </c>
      <c r="I101" s="297" t="str">
        <f t="shared" si="17"/>
        <v>sanitaire ruimte (toilet-/doucheruimte)</v>
      </c>
      <c r="J101" s="295" t="s">
        <v>475</v>
      </c>
      <c r="K101" s="298">
        <v>3.8500000000000005</v>
      </c>
      <c r="L101" s="298"/>
      <c r="M101" s="299">
        <v>4200</v>
      </c>
      <c r="N101" s="300">
        <f t="shared" si="12"/>
        <v>200</v>
      </c>
      <c r="O101" s="484">
        <v>1</v>
      </c>
      <c r="P101" s="484">
        <v>1</v>
      </c>
      <c r="Q101" s="292">
        <f t="shared" si="13"/>
        <v>0</v>
      </c>
      <c r="R101" s="292">
        <f t="shared" si="14"/>
        <v>0</v>
      </c>
      <c r="S101" s="301">
        <f t="shared" ref="S101:S164" si="18">IF($M101=0,0,VLOOKUP($M101,Kengetal,6,FALSE))</f>
        <v>0</v>
      </c>
      <c r="T101" s="301">
        <f t="shared" ref="T101:T164" si="19">IF($M101=0,0,VLOOKUP($M101,Kengetal,7,FALSE))</f>
        <v>0</v>
      </c>
      <c r="U101" s="771" t="str">
        <f t="shared" si="11"/>
        <v>S</v>
      </c>
      <c r="V101" s="303"/>
      <c r="W101" s="304">
        <f>(Q101+R101)*'1.0-Contractblad'!$L$37</f>
        <v>0</v>
      </c>
      <c r="X101" s="304">
        <f ca="1">VLOOKUP(E101,'1.1a-Jaarprijzen'!$B$35:$Q$57,16,FALSE)*K101</f>
        <v>0</v>
      </c>
      <c r="Z101" s="773">
        <f t="shared" si="15"/>
        <v>770.00000000000011</v>
      </c>
      <c r="AA101" s="492" t="str">
        <f t="shared" si="16"/>
        <v>4200-200</v>
      </c>
    </row>
    <row r="102" spans="2:27" s="490" customFormat="1" ht="15">
      <c r="B102" s="330"/>
      <c r="C102" s="331"/>
      <c r="D102" s="295">
        <f>VLOOKUP(E102,'1.1a-Jaarprijzen'!$B$13:$G$32,6,FALSE)</f>
        <v>2</v>
      </c>
      <c r="E102" s="294" t="s">
        <v>740</v>
      </c>
      <c r="F102" s="295" t="s">
        <v>605</v>
      </c>
      <c r="G102" s="296" t="s">
        <v>617</v>
      </c>
      <c r="H102" s="294" t="s">
        <v>397</v>
      </c>
      <c r="I102" s="297" t="str">
        <f t="shared" si="17"/>
        <v>administratieve -,  vergaderruimte</v>
      </c>
      <c r="J102" s="295" t="s">
        <v>696</v>
      </c>
      <c r="K102" s="298">
        <v>11.625</v>
      </c>
      <c r="L102" s="298"/>
      <c r="M102" s="299">
        <v>1040</v>
      </c>
      <c r="N102" s="300">
        <f t="shared" si="12"/>
        <v>40</v>
      </c>
      <c r="O102" s="484">
        <v>1</v>
      </c>
      <c r="P102" s="484">
        <v>1</v>
      </c>
      <c r="Q102" s="292">
        <f t="shared" si="13"/>
        <v>0</v>
      </c>
      <c r="R102" s="292">
        <f t="shared" si="14"/>
        <v>0</v>
      </c>
      <c r="S102" s="301">
        <f t="shared" si="18"/>
        <v>0</v>
      </c>
      <c r="T102" s="301">
        <f t="shared" si="19"/>
        <v>0</v>
      </c>
      <c r="U102" s="771" t="str">
        <f t="shared" si="11"/>
        <v>V</v>
      </c>
      <c r="V102" s="303"/>
      <c r="W102" s="304">
        <f>(Q102+R102)*'1.0-Contractblad'!$L$37</f>
        <v>0</v>
      </c>
      <c r="X102" s="304">
        <f ca="1">VLOOKUP(E102,'1.1a-Jaarprijzen'!$B$35:$Q$57,16,FALSE)*K102</f>
        <v>0</v>
      </c>
      <c r="Z102" s="773">
        <f t="shared" si="15"/>
        <v>465</v>
      </c>
      <c r="AA102" s="492" t="str">
        <f t="shared" si="16"/>
        <v>1040-40</v>
      </c>
    </row>
    <row r="103" spans="2:27" s="490" customFormat="1" ht="15">
      <c r="B103" s="330"/>
      <c r="C103" s="331"/>
      <c r="D103" s="295">
        <f>VLOOKUP(E103,'1.1a-Jaarprijzen'!$B$13:$G$32,6,FALSE)</f>
        <v>2</v>
      </c>
      <c r="E103" s="294" t="s">
        <v>740</v>
      </c>
      <c r="F103" s="295" t="s">
        <v>605</v>
      </c>
      <c r="G103" s="296" t="s">
        <v>618</v>
      </c>
      <c r="H103" s="294" t="s">
        <v>672</v>
      </c>
      <c r="I103" s="297" t="str">
        <f t="shared" si="17"/>
        <v>entree, gang, hal, repro</v>
      </c>
      <c r="J103" s="295" t="s">
        <v>696</v>
      </c>
      <c r="K103" s="298">
        <v>61.92</v>
      </c>
      <c r="L103" s="298"/>
      <c r="M103" s="299">
        <v>3200</v>
      </c>
      <c r="N103" s="300">
        <f t="shared" si="12"/>
        <v>200</v>
      </c>
      <c r="O103" s="484">
        <v>1</v>
      </c>
      <c r="P103" s="484">
        <v>1</v>
      </c>
      <c r="Q103" s="292">
        <f t="shared" si="13"/>
        <v>0</v>
      </c>
      <c r="R103" s="292">
        <f t="shared" si="14"/>
        <v>0</v>
      </c>
      <c r="S103" s="301">
        <f t="shared" si="18"/>
        <v>0</v>
      </c>
      <c r="T103" s="301">
        <f t="shared" si="19"/>
        <v>0</v>
      </c>
      <c r="U103" s="771" t="str">
        <f t="shared" si="11"/>
        <v>V</v>
      </c>
      <c r="V103" s="303"/>
      <c r="W103" s="304">
        <f>(Q103+R103)*'1.0-Contractblad'!$L$37</f>
        <v>0</v>
      </c>
      <c r="X103" s="304">
        <f ca="1">VLOOKUP(E103,'1.1a-Jaarprijzen'!$B$35:$Q$57,16,FALSE)*K103</f>
        <v>0</v>
      </c>
      <c r="Z103" s="773">
        <f t="shared" si="15"/>
        <v>12384</v>
      </c>
      <c r="AA103" s="492" t="str">
        <f t="shared" si="16"/>
        <v>3200-200</v>
      </c>
    </row>
    <row r="104" spans="2:27" s="490" customFormat="1" ht="15">
      <c r="B104" s="330"/>
      <c r="C104" s="331"/>
      <c r="D104" s="295">
        <f>VLOOKUP(E104,'1.1a-Jaarprijzen'!$B$13:$G$32,6,FALSE)</f>
        <v>2</v>
      </c>
      <c r="E104" s="294" t="s">
        <v>740</v>
      </c>
      <c r="F104" s="295" t="s">
        <v>605</v>
      </c>
      <c r="G104" s="296" t="s">
        <v>747</v>
      </c>
      <c r="H104" s="294" t="s">
        <v>403</v>
      </c>
      <c r="I104" s="297" t="str">
        <f t="shared" si="17"/>
        <v>leslokaal groep 1 t/m 3</v>
      </c>
      <c r="J104" s="295" t="s">
        <v>696</v>
      </c>
      <c r="K104" s="298">
        <v>51.84</v>
      </c>
      <c r="L104" s="298"/>
      <c r="M104" s="299">
        <v>7200</v>
      </c>
      <c r="N104" s="300">
        <f t="shared" si="12"/>
        <v>200</v>
      </c>
      <c r="O104" s="484">
        <v>1</v>
      </c>
      <c r="P104" s="484">
        <v>1</v>
      </c>
      <c r="Q104" s="292">
        <f t="shared" si="13"/>
        <v>0</v>
      </c>
      <c r="R104" s="292">
        <f t="shared" si="14"/>
        <v>0</v>
      </c>
      <c r="S104" s="301">
        <f t="shared" si="18"/>
        <v>0</v>
      </c>
      <c r="T104" s="301">
        <f t="shared" si="19"/>
        <v>0</v>
      </c>
      <c r="U104" s="771" t="str">
        <f t="shared" si="11"/>
        <v>L</v>
      </c>
      <c r="V104" s="303"/>
      <c r="W104" s="304">
        <f>(Q104+R104)*'1.0-Contractblad'!$L$37</f>
        <v>0</v>
      </c>
      <c r="X104" s="304">
        <f ca="1">VLOOKUP(E104,'1.1a-Jaarprijzen'!$B$35:$Q$57,16,FALSE)*K104</f>
        <v>0</v>
      </c>
      <c r="Z104" s="773">
        <f t="shared" si="15"/>
        <v>10368</v>
      </c>
      <c r="AA104" s="492" t="str">
        <f t="shared" si="16"/>
        <v>7200-200</v>
      </c>
    </row>
    <row r="105" spans="2:27" s="490" customFormat="1" ht="15">
      <c r="B105" s="330"/>
      <c r="C105" s="331"/>
      <c r="D105" s="295">
        <f>VLOOKUP(E105,'1.1a-Jaarprijzen'!$B$13:$G$32,6,FALSE)</f>
        <v>2</v>
      </c>
      <c r="E105" s="294" t="s">
        <v>740</v>
      </c>
      <c r="F105" s="295" t="s">
        <v>605</v>
      </c>
      <c r="G105" s="296" t="s">
        <v>619</v>
      </c>
      <c r="H105" s="294" t="s">
        <v>397</v>
      </c>
      <c r="I105" s="297" t="str">
        <f t="shared" si="17"/>
        <v>administratieve -,  vergaderruimte</v>
      </c>
      <c r="J105" s="295" t="s">
        <v>696</v>
      </c>
      <c r="K105" s="298">
        <v>13.225</v>
      </c>
      <c r="L105" s="298"/>
      <c r="M105" s="299">
        <v>1040</v>
      </c>
      <c r="N105" s="300">
        <f t="shared" si="12"/>
        <v>40</v>
      </c>
      <c r="O105" s="484">
        <v>1</v>
      </c>
      <c r="P105" s="484">
        <v>1</v>
      </c>
      <c r="Q105" s="292">
        <f t="shared" si="13"/>
        <v>0</v>
      </c>
      <c r="R105" s="292">
        <f t="shared" si="14"/>
        <v>0</v>
      </c>
      <c r="S105" s="301">
        <f t="shared" si="18"/>
        <v>0</v>
      </c>
      <c r="T105" s="301">
        <f t="shared" si="19"/>
        <v>0</v>
      </c>
      <c r="U105" s="771" t="str">
        <f t="shared" si="11"/>
        <v>V</v>
      </c>
      <c r="V105" s="303"/>
      <c r="W105" s="304">
        <f>(Q105+R105)*'1.0-Contractblad'!$L$37</f>
        <v>0</v>
      </c>
      <c r="X105" s="304">
        <f ca="1">VLOOKUP(E105,'1.1a-Jaarprijzen'!$B$35:$Q$57,16,FALSE)*K105</f>
        <v>0</v>
      </c>
      <c r="Z105" s="773">
        <f t="shared" si="15"/>
        <v>529</v>
      </c>
      <c r="AA105" s="492" t="str">
        <f t="shared" si="16"/>
        <v>1040-40</v>
      </c>
    </row>
    <row r="106" spans="2:27" s="490" customFormat="1" ht="15">
      <c r="B106" s="330"/>
      <c r="C106" s="331"/>
      <c r="D106" s="295">
        <f>VLOOKUP(E106,'1.1a-Jaarprijzen'!$B$13:$G$32,6,FALSE)</f>
        <v>2</v>
      </c>
      <c r="E106" s="294" t="s">
        <v>740</v>
      </c>
      <c r="F106" s="295" t="s">
        <v>605</v>
      </c>
      <c r="G106" s="296" t="s">
        <v>620</v>
      </c>
      <c r="H106" s="294" t="s">
        <v>401</v>
      </c>
      <c r="I106" s="297" t="str">
        <f t="shared" si="17"/>
        <v>niet van toepassing</v>
      </c>
      <c r="J106" s="295" t="s">
        <v>696</v>
      </c>
      <c r="K106" s="298"/>
      <c r="L106" s="298">
        <v>3.5</v>
      </c>
      <c r="M106" s="299" t="s">
        <v>17</v>
      </c>
      <c r="N106" s="300">
        <f t="shared" si="12"/>
        <v>0</v>
      </c>
      <c r="O106" s="484">
        <v>1</v>
      </c>
      <c r="P106" s="484">
        <v>1</v>
      </c>
      <c r="Q106" s="292">
        <f t="shared" si="13"/>
        <v>0</v>
      </c>
      <c r="R106" s="292">
        <f t="shared" si="14"/>
        <v>0</v>
      </c>
      <c r="S106" s="301">
        <f t="shared" si="18"/>
        <v>0</v>
      </c>
      <c r="T106" s="301">
        <f t="shared" si="19"/>
        <v>0</v>
      </c>
      <c r="U106" s="771">
        <f t="shared" si="11"/>
        <v>0</v>
      </c>
      <c r="V106" s="303"/>
      <c r="W106" s="304">
        <f>(Q106+R106)*'1.0-Contractblad'!$L$37</f>
        <v>0</v>
      </c>
      <c r="X106" s="304">
        <f ca="1">VLOOKUP(E106,'1.1a-Jaarprijzen'!$B$35:$Q$57,16,FALSE)*K106</f>
        <v>0</v>
      </c>
      <c r="Z106" s="773">
        <f t="shared" si="15"/>
        <v>0</v>
      </c>
      <c r="AA106" s="492" t="str">
        <f t="shared" si="16"/>
        <v>nvt-0</v>
      </c>
    </row>
    <row r="107" spans="2:27" s="490" customFormat="1" ht="15">
      <c r="B107" s="330"/>
      <c r="C107" s="331"/>
      <c r="D107" s="295">
        <f>VLOOKUP(E107,'1.1a-Jaarprijzen'!$B$13:$G$32,6,FALSE)</f>
        <v>2</v>
      </c>
      <c r="E107" s="294" t="s">
        <v>740</v>
      </c>
      <c r="F107" s="295" t="s">
        <v>605</v>
      </c>
      <c r="G107" s="296" t="s">
        <v>621</v>
      </c>
      <c r="H107" s="294" t="s">
        <v>403</v>
      </c>
      <c r="I107" s="297" t="str">
        <f t="shared" si="17"/>
        <v>leslokaal groep 1 t/m 3</v>
      </c>
      <c r="J107" s="295" t="s">
        <v>696</v>
      </c>
      <c r="K107" s="298">
        <v>51.84</v>
      </c>
      <c r="L107" s="298"/>
      <c r="M107" s="299">
        <v>7200</v>
      </c>
      <c r="N107" s="300">
        <f t="shared" si="12"/>
        <v>200</v>
      </c>
      <c r="O107" s="484">
        <v>1</v>
      </c>
      <c r="P107" s="484">
        <v>1</v>
      </c>
      <c r="Q107" s="292">
        <f t="shared" si="13"/>
        <v>0</v>
      </c>
      <c r="R107" s="292">
        <f t="shared" si="14"/>
        <v>0</v>
      </c>
      <c r="S107" s="301">
        <f t="shared" si="18"/>
        <v>0</v>
      </c>
      <c r="T107" s="301">
        <f t="shared" si="19"/>
        <v>0</v>
      </c>
      <c r="U107" s="771" t="str">
        <f t="shared" si="11"/>
        <v>L</v>
      </c>
      <c r="V107" s="303"/>
      <c r="W107" s="304">
        <f>(Q107+R107)*'1.0-Contractblad'!$L$37</f>
        <v>0</v>
      </c>
      <c r="X107" s="304">
        <f ca="1">VLOOKUP(E107,'1.1a-Jaarprijzen'!$B$35:$Q$57,16,FALSE)*K107</f>
        <v>0</v>
      </c>
      <c r="Z107" s="773">
        <f t="shared" si="15"/>
        <v>10368</v>
      </c>
      <c r="AA107" s="492" t="str">
        <f t="shared" si="16"/>
        <v>7200-200</v>
      </c>
    </row>
    <row r="108" spans="2:27" s="490" customFormat="1" ht="15">
      <c r="B108" s="330"/>
      <c r="C108" s="331"/>
      <c r="D108" s="295">
        <f>VLOOKUP(E108,'1.1a-Jaarprijzen'!$B$13:$G$32,6,FALSE)</f>
        <v>2</v>
      </c>
      <c r="E108" s="294" t="s">
        <v>740</v>
      </c>
      <c r="F108" s="295" t="s">
        <v>605</v>
      </c>
      <c r="G108" s="296" t="s">
        <v>622</v>
      </c>
      <c r="H108" s="294" t="s">
        <v>748</v>
      </c>
      <c r="I108" s="297" t="str">
        <f t="shared" si="17"/>
        <v>aula, gemeenschappelijke ruimte, bibliotheek</v>
      </c>
      <c r="J108" s="295" t="s">
        <v>696</v>
      </c>
      <c r="K108" s="298">
        <v>37</v>
      </c>
      <c r="L108" s="298"/>
      <c r="M108" s="299">
        <v>2200</v>
      </c>
      <c r="N108" s="300">
        <f t="shared" si="12"/>
        <v>200</v>
      </c>
      <c r="O108" s="484">
        <v>1</v>
      </c>
      <c r="P108" s="484">
        <v>1</v>
      </c>
      <c r="Q108" s="292">
        <f t="shared" si="13"/>
        <v>0</v>
      </c>
      <c r="R108" s="292">
        <f t="shared" si="14"/>
        <v>0</v>
      </c>
      <c r="S108" s="301">
        <f t="shared" si="18"/>
        <v>0</v>
      </c>
      <c r="T108" s="301">
        <f t="shared" si="19"/>
        <v>0</v>
      </c>
      <c r="U108" s="771" t="str">
        <f t="shared" ref="U108:U171" si="20">IF(M108="","",VLOOKUP(M108,Kengetal,14,FALSE))</f>
        <v>V</v>
      </c>
      <c r="V108" s="303"/>
      <c r="W108" s="304">
        <f>(Q108+R108)*'1.0-Contractblad'!$L$37</f>
        <v>0</v>
      </c>
      <c r="X108" s="304">
        <f ca="1">VLOOKUP(E108,'1.1a-Jaarprijzen'!$B$35:$Q$57,16,FALSE)*K108</f>
        <v>0</v>
      </c>
      <c r="Z108" s="773">
        <f t="shared" si="15"/>
        <v>7400</v>
      </c>
      <c r="AA108" s="492" t="str">
        <f t="shared" si="16"/>
        <v>2200-200</v>
      </c>
    </row>
    <row r="109" spans="2:27" s="490" customFormat="1" ht="15">
      <c r="B109" s="330"/>
      <c r="C109" s="331"/>
      <c r="D109" s="295">
        <f>VLOOKUP(E109,'1.1a-Jaarprijzen'!$B$13:$G$32,6,FALSE)</f>
        <v>2</v>
      </c>
      <c r="E109" s="294" t="s">
        <v>740</v>
      </c>
      <c r="F109" s="295" t="s">
        <v>605</v>
      </c>
      <c r="G109" s="296" t="s">
        <v>623</v>
      </c>
      <c r="H109" s="294" t="s">
        <v>393</v>
      </c>
      <c r="I109" s="297" t="str">
        <f t="shared" si="17"/>
        <v>entree, gang, hal, repro</v>
      </c>
      <c r="J109" s="295" t="s">
        <v>461</v>
      </c>
      <c r="K109" s="298">
        <v>6.3</v>
      </c>
      <c r="L109" s="298"/>
      <c r="M109" s="299">
        <v>3200</v>
      </c>
      <c r="N109" s="300">
        <f t="shared" ref="N109:N172" si="21">VLOOKUP(M109,Kengetal,3,FALSE)</f>
        <v>200</v>
      </c>
      <c r="O109" s="484">
        <v>1</v>
      </c>
      <c r="P109" s="484">
        <v>1</v>
      </c>
      <c r="Q109" s="292">
        <f t="shared" ref="Q109:Q172" si="22">S109*K109*O109</f>
        <v>0</v>
      </c>
      <c r="R109" s="292">
        <f t="shared" ref="R109:R172" si="23">T109*K109*P109</f>
        <v>0</v>
      </c>
      <c r="S109" s="301">
        <f t="shared" si="18"/>
        <v>0</v>
      </c>
      <c r="T109" s="301">
        <f t="shared" si="19"/>
        <v>0</v>
      </c>
      <c r="U109" s="771" t="str">
        <f t="shared" si="20"/>
        <v>V</v>
      </c>
      <c r="V109" s="303"/>
      <c r="W109" s="304">
        <f>(Q109+R109)*'1.0-Contractblad'!$L$37</f>
        <v>0</v>
      </c>
      <c r="X109" s="304">
        <f ca="1">VLOOKUP(E109,'1.1a-Jaarprijzen'!$B$35:$Q$57,16,FALSE)*K109</f>
        <v>0</v>
      </c>
      <c r="Z109" s="773">
        <f t="shared" ref="Z109:Z172" si="24">K109*N109</f>
        <v>1260</v>
      </c>
      <c r="AA109" s="492" t="str">
        <f t="shared" ref="AA109:AA172" si="25">CONCATENATE(M109,"-",N109)</f>
        <v>3200-200</v>
      </c>
    </row>
    <row r="110" spans="2:27" s="490" customFormat="1" ht="15">
      <c r="B110" s="330"/>
      <c r="C110" s="331"/>
      <c r="D110" s="295">
        <f>VLOOKUP(E110,'1.1a-Jaarprijzen'!$B$13:$G$32,6,FALSE)</f>
        <v>2</v>
      </c>
      <c r="E110" s="294" t="s">
        <v>740</v>
      </c>
      <c r="F110" s="295" t="s">
        <v>605</v>
      </c>
      <c r="G110" s="296" t="s">
        <v>749</v>
      </c>
      <c r="H110" s="294" t="s">
        <v>403</v>
      </c>
      <c r="I110" s="297" t="str">
        <f t="shared" si="17"/>
        <v>leslokaal/leerplein groep 4 t/m 8</v>
      </c>
      <c r="J110" s="295" t="s">
        <v>696</v>
      </c>
      <c r="K110" s="298">
        <v>51.84</v>
      </c>
      <c r="L110" s="298"/>
      <c r="M110" s="299">
        <v>18200</v>
      </c>
      <c r="N110" s="300">
        <f t="shared" si="21"/>
        <v>200</v>
      </c>
      <c r="O110" s="484">
        <v>1</v>
      </c>
      <c r="P110" s="484">
        <v>1</v>
      </c>
      <c r="Q110" s="292">
        <f t="shared" si="22"/>
        <v>0</v>
      </c>
      <c r="R110" s="292">
        <f t="shared" si="23"/>
        <v>0</v>
      </c>
      <c r="S110" s="301">
        <f t="shared" si="18"/>
        <v>0</v>
      </c>
      <c r="T110" s="301">
        <f t="shared" si="19"/>
        <v>0</v>
      </c>
      <c r="U110" s="771" t="str">
        <f t="shared" si="20"/>
        <v>L</v>
      </c>
      <c r="V110" s="303"/>
      <c r="W110" s="304">
        <f>(Q110+R110)*'1.0-Contractblad'!$L$37</f>
        <v>0</v>
      </c>
      <c r="X110" s="304">
        <f ca="1">VLOOKUP(E110,'1.1a-Jaarprijzen'!$B$35:$Q$57,16,FALSE)*K110</f>
        <v>0</v>
      </c>
      <c r="Z110" s="773">
        <f t="shared" si="24"/>
        <v>10368</v>
      </c>
      <c r="AA110" s="492" t="str">
        <f t="shared" si="25"/>
        <v>18200-200</v>
      </c>
    </row>
    <row r="111" spans="2:27" s="490" customFormat="1" ht="15">
      <c r="B111" s="330"/>
      <c r="C111" s="331"/>
      <c r="D111" s="295">
        <f>VLOOKUP(E111,'1.1a-Jaarprijzen'!$B$13:$G$32,6,FALSE)</f>
        <v>2</v>
      </c>
      <c r="E111" s="294" t="s">
        <v>740</v>
      </c>
      <c r="F111" s="295" t="s">
        <v>605</v>
      </c>
      <c r="G111" s="296" t="s">
        <v>750</v>
      </c>
      <c r="H111" s="294" t="s">
        <v>401</v>
      </c>
      <c r="I111" s="297" t="str">
        <f t="shared" si="17"/>
        <v>niet van toepassing</v>
      </c>
      <c r="J111" s="295" t="s">
        <v>696</v>
      </c>
      <c r="K111" s="298"/>
      <c r="L111" s="298">
        <v>3.5</v>
      </c>
      <c r="M111" s="299" t="s">
        <v>17</v>
      </c>
      <c r="N111" s="300">
        <f t="shared" si="21"/>
        <v>0</v>
      </c>
      <c r="O111" s="484">
        <v>1</v>
      </c>
      <c r="P111" s="484">
        <v>1</v>
      </c>
      <c r="Q111" s="292">
        <f t="shared" si="22"/>
        <v>0</v>
      </c>
      <c r="R111" s="292">
        <f t="shared" si="23"/>
        <v>0</v>
      </c>
      <c r="S111" s="301">
        <f t="shared" si="18"/>
        <v>0</v>
      </c>
      <c r="T111" s="301">
        <f t="shared" si="19"/>
        <v>0</v>
      </c>
      <c r="U111" s="771">
        <f t="shared" si="20"/>
        <v>0</v>
      </c>
      <c r="V111" s="303"/>
      <c r="W111" s="304">
        <f>(Q111+R111)*'1.0-Contractblad'!$L$37</f>
        <v>0</v>
      </c>
      <c r="X111" s="304">
        <f ca="1">VLOOKUP(E111,'1.1a-Jaarprijzen'!$B$35:$Q$57,16,FALSE)*K111</f>
        <v>0</v>
      </c>
      <c r="Z111" s="773">
        <f t="shared" si="24"/>
        <v>0</v>
      </c>
      <c r="AA111" s="492" t="str">
        <f t="shared" si="25"/>
        <v>nvt-0</v>
      </c>
    </row>
    <row r="112" spans="2:27" s="490" customFormat="1" ht="15">
      <c r="B112" s="330"/>
      <c r="C112" s="331"/>
      <c r="D112" s="295">
        <f>VLOOKUP(E112,'1.1a-Jaarprijzen'!$B$13:$G$32,6,FALSE)</f>
        <v>2</v>
      </c>
      <c r="E112" s="294" t="s">
        <v>740</v>
      </c>
      <c r="F112" s="295" t="s">
        <v>605</v>
      </c>
      <c r="G112" s="296" t="s">
        <v>751</v>
      </c>
      <c r="H112" s="294" t="s">
        <v>397</v>
      </c>
      <c r="I112" s="297" t="str">
        <f t="shared" si="17"/>
        <v>administratieve -,  vergaderruimte</v>
      </c>
      <c r="J112" s="295" t="s">
        <v>696</v>
      </c>
      <c r="K112" s="298">
        <v>13.225</v>
      </c>
      <c r="L112" s="298"/>
      <c r="M112" s="299">
        <v>1040</v>
      </c>
      <c r="N112" s="300">
        <f t="shared" si="21"/>
        <v>40</v>
      </c>
      <c r="O112" s="484">
        <v>1</v>
      </c>
      <c r="P112" s="484">
        <v>1</v>
      </c>
      <c r="Q112" s="292">
        <f t="shared" si="22"/>
        <v>0</v>
      </c>
      <c r="R112" s="292">
        <f t="shared" si="23"/>
        <v>0</v>
      </c>
      <c r="S112" s="301">
        <f t="shared" si="18"/>
        <v>0</v>
      </c>
      <c r="T112" s="301">
        <f t="shared" si="19"/>
        <v>0</v>
      </c>
      <c r="U112" s="771" t="str">
        <f t="shared" si="20"/>
        <v>V</v>
      </c>
      <c r="V112" s="303"/>
      <c r="W112" s="304">
        <f>(Q112+R112)*'1.0-Contractblad'!$L$37</f>
        <v>0</v>
      </c>
      <c r="X112" s="304">
        <f ca="1">VLOOKUP(E112,'1.1a-Jaarprijzen'!$B$35:$Q$57,16,FALSE)*K112</f>
        <v>0</v>
      </c>
      <c r="Z112" s="773">
        <f t="shared" si="24"/>
        <v>529</v>
      </c>
      <c r="AA112" s="492" t="str">
        <f t="shared" si="25"/>
        <v>1040-40</v>
      </c>
    </row>
    <row r="113" spans="2:27" s="490" customFormat="1" ht="15">
      <c r="B113" s="330"/>
      <c r="C113" s="331"/>
      <c r="D113" s="295">
        <f>VLOOKUP(E113,'1.1a-Jaarprijzen'!$B$13:$G$32,6,FALSE)</f>
        <v>2</v>
      </c>
      <c r="E113" s="294" t="s">
        <v>740</v>
      </c>
      <c r="F113" s="295" t="s">
        <v>605</v>
      </c>
      <c r="G113" s="296" t="s">
        <v>752</v>
      </c>
      <c r="H113" s="294" t="s">
        <v>403</v>
      </c>
      <c r="I113" s="297" t="str">
        <f t="shared" si="17"/>
        <v>leslokaal/leerplein groep 4 t/m 8</v>
      </c>
      <c r="J113" s="295" t="s">
        <v>696</v>
      </c>
      <c r="K113" s="298">
        <v>51.84</v>
      </c>
      <c r="L113" s="298"/>
      <c r="M113" s="299">
        <v>18200</v>
      </c>
      <c r="N113" s="300">
        <f t="shared" si="21"/>
        <v>200</v>
      </c>
      <c r="O113" s="484">
        <v>1</v>
      </c>
      <c r="P113" s="484">
        <v>1</v>
      </c>
      <c r="Q113" s="292">
        <f t="shared" si="22"/>
        <v>0</v>
      </c>
      <c r="R113" s="292">
        <f t="shared" si="23"/>
        <v>0</v>
      </c>
      <c r="S113" s="301">
        <f t="shared" si="18"/>
        <v>0</v>
      </c>
      <c r="T113" s="301">
        <f t="shared" si="19"/>
        <v>0</v>
      </c>
      <c r="U113" s="771" t="str">
        <f t="shared" si="20"/>
        <v>L</v>
      </c>
      <c r="V113" s="303"/>
      <c r="W113" s="304">
        <f>(Q113+R113)*'1.0-Contractblad'!$L$37</f>
        <v>0</v>
      </c>
      <c r="X113" s="304">
        <f ca="1">VLOOKUP(E113,'1.1a-Jaarprijzen'!$B$35:$Q$57,16,FALSE)*K113</f>
        <v>0</v>
      </c>
      <c r="Z113" s="773">
        <f t="shared" si="24"/>
        <v>10368</v>
      </c>
      <c r="AA113" s="492" t="str">
        <f t="shared" si="25"/>
        <v>18200-200</v>
      </c>
    </row>
    <row r="114" spans="2:27" s="490" customFormat="1" ht="15">
      <c r="B114" s="330"/>
      <c r="C114" s="331"/>
      <c r="D114" s="295">
        <f>VLOOKUP(E114,'1.1a-Jaarprijzen'!$B$13:$G$32,6,FALSE)</f>
        <v>2</v>
      </c>
      <c r="E114" s="294" t="s">
        <v>740</v>
      </c>
      <c r="F114" s="295" t="s">
        <v>605</v>
      </c>
      <c r="G114" s="296" t="s">
        <v>753</v>
      </c>
      <c r="H114" s="294" t="s">
        <v>477</v>
      </c>
      <c r="I114" s="297" t="str">
        <f t="shared" si="17"/>
        <v>sanitaire ruimte (toilet-/doucheruimte)</v>
      </c>
      <c r="J114" s="295" t="s">
        <v>475</v>
      </c>
      <c r="K114" s="298">
        <v>12.330000000000002</v>
      </c>
      <c r="L114" s="298"/>
      <c r="M114" s="299">
        <v>4200</v>
      </c>
      <c r="N114" s="300">
        <f t="shared" si="21"/>
        <v>200</v>
      </c>
      <c r="O114" s="484">
        <v>1</v>
      </c>
      <c r="P114" s="484">
        <v>1</v>
      </c>
      <c r="Q114" s="292">
        <f t="shared" si="22"/>
        <v>0</v>
      </c>
      <c r="R114" s="292">
        <f t="shared" si="23"/>
        <v>0</v>
      </c>
      <c r="S114" s="301">
        <f t="shared" si="18"/>
        <v>0</v>
      </c>
      <c r="T114" s="301">
        <f t="shared" si="19"/>
        <v>0</v>
      </c>
      <c r="U114" s="771" t="str">
        <f t="shared" si="20"/>
        <v>S</v>
      </c>
      <c r="V114" s="303"/>
      <c r="W114" s="304">
        <f>(Q114+R114)*'1.0-Contractblad'!$L$37</f>
        <v>0</v>
      </c>
      <c r="X114" s="304">
        <f ca="1">VLOOKUP(E114,'1.1a-Jaarprijzen'!$B$35:$Q$57,16,FALSE)*K114</f>
        <v>0</v>
      </c>
      <c r="Z114" s="773">
        <f t="shared" si="24"/>
        <v>2466.0000000000005</v>
      </c>
      <c r="AA114" s="492" t="str">
        <f t="shared" si="25"/>
        <v>4200-200</v>
      </c>
    </row>
    <row r="115" spans="2:27" s="490" customFormat="1" ht="15">
      <c r="B115" s="330"/>
      <c r="C115" s="331"/>
      <c r="D115" s="295">
        <f>VLOOKUP(E115,'1.1a-Jaarprijzen'!$B$13:$G$32,6,FALSE)</f>
        <v>2</v>
      </c>
      <c r="E115" s="294" t="s">
        <v>740</v>
      </c>
      <c r="F115" s="295" t="s">
        <v>605</v>
      </c>
      <c r="G115" s="296" t="s">
        <v>754</v>
      </c>
      <c r="H115" s="294" t="s">
        <v>477</v>
      </c>
      <c r="I115" s="297" t="str">
        <f t="shared" si="17"/>
        <v>sanitaire ruimte (toilet-/doucheruimte)</v>
      </c>
      <c r="J115" s="295" t="s">
        <v>475</v>
      </c>
      <c r="K115" s="298">
        <v>4.32</v>
      </c>
      <c r="L115" s="298"/>
      <c r="M115" s="299">
        <v>4200</v>
      </c>
      <c r="N115" s="300">
        <f t="shared" si="21"/>
        <v>200</v>
      </c>
      <c r="O115" s="484">
        <v>1</v>
      </c>
      <c r="P115" s="484">
        <v>1</v>
      </c>
      <c r="Q115" s="292">
        <f t="shared" si="22"/>
        <v>0</v>
      </c>
      <c r="R115" s="292">
        <f t="shared" si="23"/>
        <v>0</v>
      </c>
      <c r="S115" s="301">
        <f t="shared" si="18"/>
        <v>0</v>
      </c>
      <c r="T115" s="301">
        <f t="shared" si="19"/>
        <v>0</v>
      </c>
      <c r="U115" s="771" t="str">
        <f t="shared" si="20"/>
        <v>S</v>
      </c>
      <c r="V115" s="303"/>
      <c r="W115" s="304">
        <f>(Q115+R115)*'1.0-Contractblad'!$L$37</f>
        <v>0</v>
      </c>
      <c r="X115" s="304">
        <f ca="1">VLOOKUP(E115,'1.1a-Jaarprijzen'!$B$35:$Q$57,16,FALSE)*K115</f>
        <v>0</v>
      </c>
      <c r="Z115" s="773">
        <f t="shared" si="24"/>
        <v>864</v>
      </c>
      <c r="AA115" s="492" t="str">
        <f t="shared" si="25"/>
        <v>4200-200</v>
      </c>
    </row>
    <row r="116" spans="2:27" s="490" customFormat="1" ht="15">
      <c r="B116" s="330"/>
      <c r="C116" s="331"/>
      <c r="D116" s="295">
        <f>VLOOKUP(E116,'1.1a-Jaarprijzen'!$B$13:$G$32,6,FALSE)</f>
        <v>2</v>
      </c>
      <c r="E116" s="294" t="s">
        <v>740</v>
      </c>
      <c r="F116" s="295" t="s">
        <v>605</v>
      </c>
      <c r="G116" s="296" t="s">
        <v>755</v>
      </c>
      <c r="H116" s="294" t="s">
        <v>388</v>
      </c>
      <c r="I116" s="297" t="str">
        <f t="shared" si="17"/>
        <v>niet van toepassing</v>
      </c>
      <c r="J116" s="295" t="s">
        <v>475</v>
      </c>
      <c r="K116" s="298"/>
      <c r="L116" s="298">
        <v>2.16</v>
      </c>
      <c r="M116" s="299" t="s">
        <v>17</v>
      </c>
      <c r="N116" s="300">
        <f t="shared" si="21"/>
        <v>0</v>
      </c>
      <c r="O116" s="484">
        <v>1</v>
      </c>
      <c r="P116" s="484">
        <v>1</v>
      </c>
      <c r="Q116" s="292">
        <f t="shared" si="22"/>
        <v>0</v>
      </c>
      <c r="R116" s="292">
        <f t="shared" si="23"/>
        <v>0</v>
      </c>
      <c r="S116" s="301">
        <f t="shared" si="18"/>
        <v>0</v>
      </c>
      <c r="T116" s="301">
        <f t="shared" si="19"/>
        <v>0</v>
      </c>
      <c r="U116" s="771">
        <f t="shared" si="20"/>
        <v>0</v>
      </c>
      <c r="V116" s="303"/>
      <c r="W116" s="304">
        <f>(Q116+R116)*'1.0-Contractblad'!$L$37</f>
        <v>0</v>
      </c>
      <c r="X116" s="304">
        <f ca="1">VLOOKUP(E116,'1.1a-Jaarprijzen'!$B$35:$Q$57,16,FALSE)*K116</f>
        <v>0</v>
      </c>
      <c r="Z116" s="773">
        <f t="shared" si="24"/>
        <v>0</v>
      </c>
      <c r="AA116" s="492" t="str">
        <f t="shared" si="25"/>
        <v>nvt-0</v>
      </c>
    </row>
    <row r="117" spans="2:27" s="490" customFormat="1" ht="15">
      <c r="B117" s="330"/>
      <c r="C117" s="331"/>
      <c r="D117" s="295">
        <f>VLOOKUP(E117,'1.1a-Jaarprijzen'!$B$13:$G$32,6,FALSE)</f>
        <v>2</v>
      </c>
      <c r="E117" s="294" t="s">
        <v>740</v>
      </c>
      <c r="F117" s="295" t="s">
        <v>605</v>
      </c>
      <c r="G117" s="296" t="s">
        <v>756</v>
      </c>
      <c r="H117" s="294" t="s">
        <v>417</v>
      </c>
      <c r="I117" s="297" t="str">
        <f t="shared" si="17"/>
        <v>lift</v>
      </c>
      <c r="J117" s="295" t="s">
        <v>696</v>
      </c>
      <c r="K117" s="298">
        <v>3.06</v>
      </c>
      <c r="L117" s="298"/>
      <c r="M117" s="299">
        <v>10040</v>
      </c>
      <c r="N117" s="300">
        <f t="shared" si="21"/>
        <v>40</v>
      </c>
      <c r="O117" s="484">
        <v>1</v>
      </c>
      <c r="P117" s="484">
        <v>1</v>
      </c>
      <c r="Q117" s="292">
        <f t="shared" si="22"/>
        <v>0</v>
      </c>
      <c r="R117" s="292">
        <f t="shared" si="23"/>
        <v>0</v>
      </c>
      <c r="S117" s="301">
        <f t="shared" si="18"/>
        <v>0</v>
      </c>
      <c r="T117" s="301">
        <f t="shared" si="19"/>
        <v>0</v>
      </c>
      <c r="U117" s="771" t="str">
        <f t="shared" si="20"/>
        <v>V</v>
      </c>
      <c r="V117" s="303"/>
      <c r="W117" s="304">
        <f>(Q117+R117)*'1.0-Contractblad'!$L$37</f>
        <v>0</v>
      </c>
      <c r="X117" s="304">
        <f ca="1">VLOOKUP(E117,'1.1a-Jaarprijzen'!$B$35:$Q$57,16,FALSE)*K117</f>
        <v>0</v>
      </c>
      <c r="Z117" s="773">
        <f t="shared" si="24"/>
        <v>122.4</v>
      </c>
      <c r="AA117" s="492" t="str">
        <f t="shared" si="25"/>
        <v>10040-40</v>
      </c>
    </row>
    <row r="118" spans="2:27" s="490" customFormat="1" ht="15">
      <c r="B118" s="330"/>
      <c r="C118" s="331"/>
      <c r="D118" s="295">
        <f>VLOOKUP(E118,'1.1a-Jaarprijzen'!$B$13:$G$32,6,FALSE)</f>
        <v>2</v>
      </c>
      <c r="E118" s="294" t="s">
        <v>740</v>
      </c>
      <c r="F118" s="295" t="s">
        <v>261</v>
      </c>
      <c r="G118" s="296" t="s">
        <v>756</v>
      </c>
      <c r="H118" s="294" t="s">
        <v>642</v>
      </c>
      <c r="I118" s="297" t="str">
        <f t="shared" si="17"/>
        <v>niet van toepassing</v>
      </c>
      <c r="J118" s="295" t="s">
        <v>696</v>
      </c>
      <c r="K118" s="298"/>
      <c r="L118" s="298">
        <v>3.06</v>
      </c>
      <c r="M118" s="299" t="s">
        <v>17</v>
      </c>
      <c r="N118" s="300">
        <f t="shared" si="21"/>
        <v>0</v>
      </c>
      <c r="O118" s="484">
        <v>1</v>
      </c>
      <c r="P118" s="484">
        <v>1</v>
      </c>
      <c r="Q118" s="292">
        <f t="shared" si="22"/>
        <v>0</v>
      </c>
      <c r="R118" s="292">
        <f t="shared" si="23"/>
        <v>0</v>
      </c>
      <c r="S118" s="301">
        <f t="shared" si="18"/>
        <v>0</v>
      </c>
      <c r="T118" s="301">
        <f t="shared" si="19"/>
        <v>0</v>
      </c>
      <c r="U118" s="771">
        <f t="shared" si="20"/>
        <v>0</v>
      </c>
      <c r="V118" s="303"/>
      <c r="W118" s="304">
        <f>(Q118+R118)*'1.0-Contractblad'!$L$37</f>
        <v>0</v>
      </c>
      <c r="X118" s="304">
        <f ca="1">VLOOKUP(E118,'1.1a-Jaarprijzen'!$B$35:$Q$57,16,FALSE)*K118</f>
        <v>0</v>
      </c>
      <c r="Z118" s="773">
        <f t="shared" si="24"/>
        <v>0</v>
      </c>
      <c r="AA118" s="492" t="str">
        <f t="shared" si="25"/>
        <v>nvt-0</v>
      </c>
    </row>
    <row r="119" spans="2:27" s="490" customFormat="1" ht="15">
      <c r="B119" s="330"/>
      <c r="C119" s="331"/>
      <c r="D119" s="295">
        <f>VLOOKUP(E119,'1.1a-Jaarprijzen'!$B$13:$G$32,6,FALSE)</f>
        <v>2</v>
      </c>
      <c r="E119" s="294" t="s">
        <v>740</v>
      </c>
      <c r="F119" s="295" t="s">
        <v>605</v>
      </c>
      <c r="G119" s="296" t="s">
        <v>757</v>
      </c>
      <c r="H119" s="294" t="s">
        <v>672</v>
      </c>
      <c r="I119" s="297" t="str">
        <f t="shared" si="17"/>
        <v>entree, gang, hal, repro</v>
      </c>
      <c r="J119" s="295" t="s">
        <v>696</v>
      </c>
      <c r="K119" s="298">
        <v>20.399999999999999</v>
      </c>
      <c r="L119" s="298"/>
      <c r="M119" s="299">
        <v>3200</v>
      </c>
      <c r="N119" s="300">
        <f t="shared" si="21"/>
        <v>200</v>
      </c>
      <c r="O119" s="484">
        <v>1</v>
      </c>
      <c r="P119" s="484">
        <v>1</v>
      </c>
      <c r="Q119" s="292">
        <f t="shared" si="22"/>
        <v>0</v>
      </c>
      <c r="R119" s="292">
        <f t="shared" si="23"/>
        <v>0</v>
      </c>
      <c r="S119" s="301">
        <f t="shared" si="18"/>
        <v>0</v>
      </c>
      <c r="T119" s="301">
        <f t="shared" si="19"/>
        <v>0</v>
      </c>
      <c r="U119" s="771" t="str">
        <f t="shared" si="20"/>
        <v>V</v>
      </c>
      <c r="V119" s="303"/>
      <c r="W119" s="304">
        <f>(Q119+R119)*'1.0-Contractblad'!$L$37</f>
        <v>0</v>
      </c>
      <c r="X119" s="304">
        <f ca="1">VLOOKUP(E119,'1.1a-Jaarprijzen'!$B$35:$Q$57,16,FALSE)*K119</f>
        <v>0</v>
      </c>
      <c r="Z119" s="773">
        <f t="shared" si="24"/>
        <v>4079.9999999999995</v>
      </c>
      <c r="AA119" s="492" t="str">
        <f t="shared" si="25"/>
        <v>3200-200</v>
      </c>
    </row>
    <row r="120" spans="2:27" s="490" customFormat="1" ht="15">
      <c r="B120" s="330"/>
      <c r="C120" s="331"/>
      <c r="D120" s="295">
        <f>VLOOKUP(E120,'1.1a-Jaarprijzen'!$B$13:$G$32,6,FALSE)</f>
        <v>2</v>
      </c>
      <c r="E120" s="294" t="s">
        <v>740</v>
      </c>
      <c r="F120" s="295" t="s">
        <v>605</v>
      </c>
      <c r="G120" s="295" t="s">
        <v>758</v>
      </c>
      <c r="H120" s="710" t="s">
        <v>403</v>
      </c>
      <c r="I120" s="297" t="str">
        <f t="shared" ref="I120:I171" si="26">IF($M120="",0,VLOOKUP($M120,Kengetal,4,FALSE))</f>
        <v>praktijklokaal</v>
      </c>
      <c r="J120" s="295" t="s">
        <v>696</v>
      </c>
      <c r="K120" s="298">
        <v>51.84</v>
      </c>
      <c r="L120" s="298"/>
      <c r="M120" s="299">
        <v>6200</v>
      </c>
      <c r="N120" s="300">
        <f t="shared" si="21"/>
        <v>200</v>
      </c>
      <c r="O120" s="484">
        <v>1</v>
      </c>
      <c r="P120" s="484">
        <v>1</v>
      </c>
      <c r="Q120" s="292">
        <f t="shared" si="22"/>
        <v>0</v>
      </c>
      <c r="R120" s="292">
        <f t="shared" si="23"/>
        <v>0</v>
      </c>
      <c r="S120" s="301">
        <f t="shared" si="18"/>
        <v>0</v>
      </c>
      <c r="T120" s="301">
        <f t="shared" si="19"/>
        <v>0</v>
      </c>
      <c r="U120" s="771" t="str">
        <f t="shared" si="20"/>
        <v>L</v>
      </c>
      <c r="V120" s="303"/>
      <c r="W120" s="304">
        <f>(Q120+R120)*'1.0-Contractblad'!$L$37</f>
        <v>0</v>
      </c>
      <c r="X120" s="304">
        <f ca="1">VLOOKUP(E120,'1.1a-Jaarprijzen'!$B$35:$Q$57,16,FALSE)*K120</f>
        <v>0</v>
      </c>
      <c r="Z120" s="773">
        <f t="shared" si="24"/>
        <v>10368</v>
      </c>
      <c r="AA120" s="492" t="str">
        <f t="shared" si="25"/>
        <v>6200-200</v>
      </c>
    </row>
    <row r="121" spans="2:27" s="490" customFormat="1" ht="15">
      <c r="B121" s="330"/>
      <c r="C121" s="331"/>
      <c r="D121" s="295">
        <f>VLOOKUP(E121,'1.1a-Jaarprijzen'!$B$13:$G$32,6,FALSE)</f>
        <v>2</v>
      </c>
      <c r="E121" s="294" t="s">
        <v>740</v>
      </c>
      <c r="F121" s="295" t="s">
        <v>605</v>
      </c>
      <c r="G121" s="295" t="s">
        <v>759</v>
      </c>
      <c r="H121" s="710" t="s">
        <v>403</v>
      </c>
      <c r="I121" s="297" t="str">
        <f t="shared" si="26"/>
        <v>praktijklokaal</v>
      </c>
      <c r="J121" s="295" t="s">
        <v>696</v>
      </c>
      <c r="K121" s="298">
        <v>51.84</v>
      </c>
      <c r="L121" s="298"/>
      <c r="M121" s="299">
        <v>6200</v>
      </c>
      <c r="N121" s="300">
        <f t="shared" si="21"/>
        <v>200</v>
      </c>
      <c r="O121" s="484">
        <v>1</v>
      </c>
      <c r="P121" s="484">
        <v>1</v>
      </c>
      <c r="Q121" s="292">
        <f t="shared" si="22"/>
        <v>0</v>
      </c>
      <c r="R121" s="292">
        <f t="shared" si="23"/>
        <v>0</v>
      </c>
      <c r="S121" s="301">
        <f t="shared" si="18"/>
        <v>0</v>
      </c>
      <c r="T121" s="301">
        <f t="shared" si="19"/>
        <v>0</v>
      </c>
      <c r="U121" s="771" t="str">
        <f t="shared" si="20"/>
        <v>L</v>
      </c>
      <c r="V121" s="303"/>
      <c r="W121" s="304">
        <f>(Q121+R121)*'1.0-Contractblad'!$L$37</f>
        <v>0</v>
      </c>
      <c r="X121" s="304">
        <f ca="1">VLOOKUP(E121,'1.1a-Jaarprijzen'!$B$35:$Q$57,16,FALSE)*K121</f>
        <v>0</v>
      </c>
      <c r="Z121" s="773">
        <f t="shared" si="24"/>
        <v>10368</v>
      </c>
      <c r="AA121" s="492" t="str">
        <f t="shared" si="25"/>
        <v>6200-200</v>
      </c>
    </row>
    <row r="122" spans="2:27" s="490" customFormat="1" ht="15">
      <c r="B122" s="330"/>
      <c r="C122" s="331"/>
      <c r="D122" s="295">
        <f>VLOOKUP(E122,'1.1a-Jaarprijzen'!$B$13:$G$32,6,FALSE)</f>
        <v>2</v>
      </c>
      <c r="E122" s="294" t="s">
        <v>740</v>
      </c>
      <c r="F122" s="295" t="s">
        <v>605</v>
      </c>
      <c r="G122" s="295" t="s">
        <v>760</v>
      </c>
      <c r="H122" s="710" t="s">
        <v>672</v>
      </c>
      <c r="I122" s="297" t="str">
        <f t="shared" si="26"/>
        <v>entree, gang, hal, repro</v>
      </c>
      <c r="J122" s="295" t="s">
        <v>696</v>
      </c>
      <c r="K122" s="298">
        <v>47.137500000000003</v>
      </c>
      <c r="L122" s="298"/>
      <c r="M122" s="299">
        <v>3200</v>
      </c>
      <c r="N122" s="300">
        <f t="shared" si="21"/>
        <v>200</v>
      </c>
      <c r="O122" s="484">
        <v>1</v>
      </c>
      <c r="P122" s="484">
        <v>1</v>
      </c>
      <c r="Q122" s="292">
        <f t="shared" si="22"/>
        <v>0</v>
      </c>
      <c r="R122" s="292">
        <f t="shared" si="23"/>
        <v>0</v>
      </c>
      <c r="S122" s="301">
        <f t="shared" si="18"/>
        <v>0</v>
      </c>
      <c r="T122" s="301">
        <f t="shared" si="19"/>
        <v>0</v>
      </c>
      <c r="U122" s="771" t="str">
        <f t="shared" si="20"/>
        <v>V</v>
      </c>
      <c r="V122" s="303"/>
      <c r="W122" s="304">
        <f>(Q122+R122)*'1.0-Contractblad'!$L$37</f>
        <v>0</v>
      </c>
      <c r="X122" s="304">
        <f ca="1">VLOOKUP(E122,'1.1a-Jaarprijzen'!$B$35:$Q$57,16,FALSE)*K122</f>
        <v>0</v>
      </c>
      <c r="Z122" s="773">
        <f t="shared" si="24"/>
        <v>9427.5</v>
      </c>
      <c r="AA122" s="492" t="str">
        <f t="shared" si="25"/>
        <v>3200-200</v>
      </c>
    </row>
    <row r="123" spans="2:27" s="490" customFormat="1" ht="15">
      <c r="B123" s="330"/>
      <c r="C123" s="331"/>
      <c r="D123" s="295">
        <f>VLOOKUP(E123,'1.1a-Jaarprijzen'!$B$13:$G$32,6,FALSE)</f>
        <v>2</v>
      </c>
      <c r="E123" s="294" t="s">
        <v>740</v>
      </c>
      <c r="F123" s="295" t="s">
        <v>605</v>
      </c>
      <c r="G123" s="295" t="s">
        <v>761</v>
      </c>
      <c r="H123" s="710" t="s">
        <v>393</v>
      </c>
      <c r="I123" s="297" t="str">
        <f t="shared" si="26"/>
        <v>entree, gang, hal, repro</v>
      </c>
      <c r="J123" s="295" t="s">
        <v>461</v>
      </c>
      <c r="K123" s="298">
        <v>11.25</v>
      </c>
      <c r="L123" s="298"/>
      <c r="M123" s="299">
        <v>3200</v>
      </c>
      <c r="N123" s="300">
        <f t="shared" si="21"/>
        <v>200</v>
      </c>
      <c r="O123" s="484">
        <v>1</v>
      </c>
      <c r="P123" s="484">
        <v>1</v>
      </c>
      <c r="Q123" s="292">
        <f t="shared" si="22"/>
        <v>0</v>
      </c>
      <c r="R123" s="292">
        <f t="shared" si="23"/>
        <v>0</v>
      </c>
      <c r="S123" s="301">
        <f t="shared" si="18"/>
        <v>0</v>
      </c>
      <c r="T123" s="301">
        <f t="shared" si="19"/>
        <v>0</v>
      </c>
      <c r="U123" s="771" t="str">
        <f t="shared" si="20"/>
        <v>V</v>
      </c>
      <c r="V123" s="303"/>
      <c r="W123" s="304">
        <f>(Q123+R123)*'1.0-Contractblad'!$L$37</f>
        <v>0</v>
      </c>
      <c r="X123" s="304">
        <f ca="1">VLOOKUP(E123,'1.1a-Jaarprijzen'!$B$35:$Q$57,16,FALSE)*K123</f>
        <v>0</v>
      </c>
      <c r="Z123" s="773">
        <f t="shared" si="24"/>
        <v>2250</v>
      </c>
      <c r="AA123" s="492" t="str">
        <f t="shared" si="25"/>
        <v>3200-200</v>
      </c>
    </row>
    <row r="124" spans="2:27" s="490" customFormat="1" ht="15">
      <c r="B124" s="330"/>
      <c r="C124" s="331"/>
      <c r="D124" s="295">
        <f>VLOOKUP(E124,'1.1a-Jaarprijzen'!$B$13:$G$32,6,FALSE)</f>
        <v>2</v>
      </c>
      <c r="E124" s="294" t="s">
        <v>740</v>
      </c>
      <c r="F124" s="295" t="s">
        <v>605</v>
      </c>
      <c r="G124" s="295" t="s">
        <v>762</v>
      </c>
      <c r="H124" s="710" t="s">
        <v>401</v>
      </c>
      <c r="I124" s="297" t="str">
        <f t="shared" si="26"/>
        <v>niet van toepassing</v>
      </c>
      <c r="J124" s="295" t="s">
        <v>696</v>
      </c>
      <c r="K124" s="298"/>
      <c r="L124" s="298">
        <v>10.3125</v>
      </c>
      <c r="M124" s="299" t="s">
        <v>17</v>
      </c>
      <c r="N124" s="300">
        <f t="shared" si="21"/>
        <v>0</v>
      </c>
      <c r="O124" s="484">
        <v>1</v>
      </c>
      <c r="P124" s="484">
        <v>1</v>
      </c>
      <c r="Q124" s="292">
        <f t="shared" si="22"/>
        <v>0</v>
      </c>
      <c r="R124" s="292">
        <f t="shared" si="23"/>
        <v>0</v>
      </c>
      <c r="S124" s="301">
        <f t="shared" si="18"/>
        <v>0</v>
      </c>
      <c r="T124" s="301">
        <f t="shared" si="19"/>
        <v>0</v>
      </c>
      <c r="U124" s="771">
        <f t="shared" si="20"/>
        <v>0</v>
      </c>
      <c r="V124" s="303"/>
      <c r="W124" s="304">
        <f>(Q124+R124)*'1.0-Contractblad'!$L$37</f>
        <v>0</v>
      </c>
      <c r="X124" s="304">
        <f ca="1">VLOOKUP(E124,'1.1a-Jaarprijzen'!$B$35:$Q$57,16,FALSE)*K124</f>
        <v>0</v>
      </c>
      <c r="Z124" s="773">
        <f t="shared" si="24"/>
        <v>0</v>
      </c>
      <c r="AA124" s="492" t="str">
        <f t="shared" si="25"/>
        <v>nvt-0</v>
      </c>
    </row>
    <row r="125" spans="2:27" s="490" customFormat="1" ht="15">
      <c r="B125" s="330"/>
      <c r="C125" s="331"/>
      <c r="D125" s="295">
        <f>VLOOKUP(E125,'1.1a-Jaarprijzen'!$B$13:$G$32,6,FALSE)</f>
        <v>2</v>
      </c>
      <c r="E125" s="294" t="s">
        <v>740</v>
      </c>
      <c r="F125" s="295" t="s">
        <v>605</v>
      </c>
      <c r="G125" s="295" t="s">
        <v>763</v>
      </c>
      <c r="H125" s="710" t="s">
        <v>466</v>
      </c>
      <c r="I125" s="297" t="str">
        <f t="shared" si="26"/>
        <v>gymzaal (berging)</v>
      </c>
      <c r="J125" s="295" t="s">
        <v>696</v>
      </c>
      <c r="K125" s="298">
        <v>10.3125</v>
      </c>
      <c r="L125" s="298"/>
      <c r="M125" s="299">
        <v>14040</v>
      </c>
      <c r="N125" s="300">
        <f t="shared" si="21"/>
        <v>40</v>
      </c>
      <c r="O125" s="484">
        <v>1</v>
      </c>
      <c r="P125" s="484">
        <v>1</v>
      </c>
      <c r="Q125" s="292">
        <f t="shared" si="22"/>
        <v>0</v>
      </c>
      <c r="R125" s="292">
        <f t="shared" si="23"/>
        <v>0</v>
      </c>
      <c r="S125" s="301">
        <f t="shared" si="18"/>
        <v>0</v>
      </c>
      <c r="T125" s="301">
        <f t="shared" si="19"/>
        <v>0</v>
      </c>
      <c r="U125" s="771" t="str">
        <f t="shared" si="20"/>
        <v>Sp</v>
      </c>
      <c r="V125" s="303"/>
      <c r="W125" s="304">
        <f>(Q125+R125)*'1.0-Contractblad'!$L$37</f>
        <v>0</v>
      </c>
      <c r="X125" s="304">
        <f ca="1">VLOOKUP(E125,'1.1a-Jaarprijzen'!$B$35:$Q$57,16,FALSE)*K125</f>
        <v>0</v>
      </c>
      <c r="Z125" s="773">
        <f t="shared" si="24"/>
        <v>412.5</v>
      </c>
      <c r="AA125" s="492" t="str">
        <f t="shared" si="25"/>
        <v>14040-40</v>
      </c>
    </row>
    <row r="126" spans="2:27" s="490" customFormat="1" ht="15">
      <c r="B126" s="330"/>
      <c r="C126" s="331"/>
      <c r="D126" s="295">
        <f>VLOOKUP(E126,'1.1a-Jaarprijzen'!$B$13:$G$32,6,FALSE)</f>
        <v>2</v>
      </c>
      <c r="E126" s="294" t="s">
        <v>740</v>
      </c>
      <c r="F126" s="295" t="s">
        <v>605</v>
      </c>
      <c r="G126" s="295" t="s">
        <v>764</v>
      </c>
      <c r="H126" s="710" t="s">
        <v>765</v>
      </c>
      <c r="I126" s="297" t="str">
        <f t="shared" si="26"/>
        <v>speellokaal</v>
      </c>
      <c r="J126" s="295" t="s">
        <v>462</v>
      </c>
      <c r="K126" s="298">
        <v>82.5625</v>
      </c>
      <c r="L126" s="298"/>
      <c r="M126" s="299">
        <v>8200</v>
      </c>
      <c r="N126" s="300">
        <f t="shared" si="21"/>
        <v>200</v>
      </c>
      <c r="O126" s="484">
        <v>1</v>
      </c>
      <c r="P126" s="484">
        <v>1</v>
      </c>
      <c r="Q126" s="292">
        <f t="shared" si="22"/>
        <v>0</v>
      </c>
      <c r="R126" s="292">
        <f t="shared" si="23"/>
        <v>0</v>
      </c>
      <c r="S126" s="301">
        <f t="shared" si="18"/>
        <v>0</v>
      </c>
      <c r="T126" s="301">
        <f t="shared" si="19"/>
        <v>0</v>
      </c>
      <c r="U126" s="771" t="str">
        <f t="shared" si="20"/>
        <v>L</v>
      </c>
      <c r="V126" s="303"/>
      <c r="W126" s="304">
        <f>(Q126+R126)*'1.0-Contractblad'!$L$37</f>
        <v>0</v>
      </c>
      <c r="X126" s="304">
        <f ca="1">VLOOKUP(E126,'1.1a-Jaarprijzen'!$B$35:$Q$57,16,FALSE)*K126</f>
        <v>0</v>
      </c>
      <c r="Z126" s="773">
        <f t="shared" si="24"/>
        <v>16512.5</v>
      </c>
      <c r="AA126" s="492" t="str">
        <f t="shared" si="25"/>
        <v>8200-200</v>
      </c>
    </row>
    <row r="127" spans="2:27" s="490" customFormat="1" ht="15">
      <c r="B127" s="330"/>
      <c r="C127" s="331"/>
      <c r="D127" s="295">
        <f>VLOOKUP(E127,'1.1a-Jaarprijzen'!$B$13:$G$32,6,FALSE)</f>
        <v>2</v>
      </c>
      <c r="E127" s="294" t="s">
        <v>740</v>
      </c>
      <c r="F127" s="295" t="s">
        <v>605</v>
      </c>
      <c r="G127" s="295" t="s">
        <v>766</v>
      </c>
      <c r="H127" s="710" t="s">
        <v>477</v>
      </c>
      <c r="I127" s="297" t="str">
        <f t="shared" si="26"/>
        <v>sanitaire ruimte (toilet-/doucheruimte)</v>
      </c>
      <c r="J127" s="295" t="s">
        <v>475</v>
      </c>
      <c r="K127" s="298">
        <v>14.25</v>
      </c>
      <c r="L127" s="298"/>
      <c r="M127" s="299">
        <v>4200</v>
      </c>
      <c r="N127" s="300">
        <f t="shared" si="21"/>
        <v>200</v>
      </c>
      <c r="O127" s="484">
        <v>1</v>
      </c>
      <c r="P127" s="484">
        <v>1</v>
      </c>
      <c r="Q127" s="292">
        <f t="shared" si="22"/>
        <v>0</v>
      </c>
      <c r="R127" s="292">
        <f t="shared" si="23"/>
        <v>0</v>
      </c>
      <c r="S127" s="301">
        <f t="shared" si="18"/>
        <v>0</v>
      </c>
      <c r="T127" s="301">
        <f t="shared" si="19"/>
        <v>0</v>
      </c>
      <c r="U127" s="771" t="str">
        <f t="shared" si="20"/>
        <v>S</v>
      </c>
      <c r="V127" s="303"/>
      <c r="W127" s="304">
        <f>(Q127+R127)*'1.0-Contractblad'!$L$37</f>
        <v>0</v>
      </c>
      <c r="X127" s="304">
        <f ca="1">VLOOKUP(E127,'1.1a-Jaarprijzen'!$B$35:$Q$57,16,FALSE)*K127</f>
        <v>0</v>
      </c>
      <c r="Z127" s="773">
        <f t="shared" si="24"/>
        <v>2850</v>
      </c>
      <c r="AA127" s="492" t="str">
        <f t="shared" si="25"/>
        <v>4200-200</v>
      </c>
    </row>
    <row r="128" spans="2:27" s="490" customFormat="1" ht="15">
      <c r="B128" s="330"/>
      <c r="C128" s="331"/>
      <c r="D128" s="295">
        <f>VLOOKUP(E128,'1.1a-Jaarprijzen'!$B$13:$G$32,6,FALSE)</f>
        <v>2</v>
      </c>
      <c r="E128" s="294" t="s">
        <v>740</v>
      </c>
      <c r="F128" s="295" t="s">
        <v>605</v>
      </c>
      <c r="G128" s="295" t="s">
        <v>767</v>
      </c>
      <c r="H128" s="710" t="s">
        <v>477</v>
      </c>
      <c r="I128" s="297" t="str">
        <f t="shared" si="26"/>
        <v>sanitaire ruimte (toilet-/doucheruimte)</v>
      </c>
      <c r="J128" s="295" t="s">
        <v>475</v>
      </c>
      <c r="K128" s="298">
        <v>3.75</v>
      </c>
      <c r="L128" s="298"/>
      <c r="M128" s="299">
        <v>4200</v>
      </c>
      <c r="N128" s="300">
        <f t="shared" si="21"/>
        <v>200</v>
      </c>
      <c r="O128" s="484">
        <v>1</v>
      </c>
      <c r="P128" s="484">
        <v>1</v>
      </c>
      <c r="Q128" s="292">
        <f t="shared" si="22"/>
        <v>0</v>
      </c>
      <c r="R128" s="292">
        <f t="shared" si="23"/>
        <v>0</v>
      </c>
      <c r="S128" s="301">
        <f t="shared" si="18"/>
        <v>0</v>
      </c>
      <c r="T128" s="301">
        <f t="shared" si="19"/>
        <v>0</v>
      </c>
      <c r="U128" s="771" t="str">
        <f t="shared" si="20"/>
        <v>S</v>
      </c>
      <c r="V128" s="303"/>
      <c r="W128" s="304">
        <f>(Q128+R128)*'1.0-Contractblad'!$L$37</f>
        <v>0</v>
      </c>
      <c r="X128" s="304">
        <f ca="1">VLOOKUP(E128,'1.1a-Jaarprijzen'!$B$35:$Q$57,16,FALSE)*K128</f>
        <v>0</v>
      </c>
      <c r="Z128" s="773">
        <f t="shared" si="24"/>
        <v>750</v>
      </c>
      <c r="AA128" s="492" t="str">
        <f t="shared" si="25"/>
        <v>4200-200</v>
      </c>
    </row>
    <row r="129" spans="2:27" s="490" customFormat="1" ht="15">
      <c r="B129" s="330"/>
      <c r="C129" s="331"/>
      <c r="D129" s="295">
        <f>VLOOKUP(E129,'1.1a-Jaarprijzen'!$B$13:$G$32,6,FALSE)</f>
        <v>2</v>
      </c>
      <c r="E129" s="294" t="s">
        <v>740</v>
      </c>
      <c r="F129" s="295" t="s">
        <v>605</v>
      </c>
      <c r="G129" s="295" t="s">
        <v>768</v>
      </c>
      <c r="H129" s="710" t="s">
        <v>674</v>
      </c>
      <c r="I129" s="297" t="str">
        <f t="shared" si="26"/>
        <v>sanitaire ruimte (toilet-/doucheruimte)</v>
      </c>
      <c r="J129" s="295" t="s">
        <v>475</v>
      </c>
      <c r="K129" s="298">
        <v>2.4</v>
      </c>
      <c r="L129" s="298"/>
      <c r="M129" s="299">
        <v>4200</v>
      </c>
      <c r="N129" s="300">
        <f t="shared" si="21"/>
        <v>200</v>
      </c>
      <c r="O129" s="484">
        <v>1</v>
      </c>
      <c r="P129" s="484">
        <v>1</v>
      </c>
      <c r="Q129" s="292">
        <f t="shared" si="22"/>
        <v>0</v>
      </c>
      <c r="R129" s="292">
        <f t="shared" si="23"/>
        <v>0</v>
      </c>
      <c r="S129" s="301">
        <f t="shared" si="18"/>
        <v>0</v>
      </c>
      <c r="T129" s="301">
        <f t="shared" si="19"/>
        <v>0</v>
      </c>
      <c r="U129" s="771" t="str">
        <f t="shared" si="20"/>
        <v>S</v>
      </c>
      <c r="V129" s="303"/>
      <c r="W129" s="304">
        <f>(Q129+R129)*'1.0-Contractblad'!$L$37</f>
        <v>0</v>
      </c>
      <c r="X129" s="304">
        <f ca="1">VLOOKUP(E129,'1.1a-Jaarprijzen'!$B$35:$Q$57,16,FALSE)*K129</f>
        <v>0</v>
      </c>
      <c r="Z129" s="773">
        <f t="shared" si="24"/>
        <v>480</v>
      </c>
      <c r="AA129" s="492" t="str">
        <f t="shared" si="25"/>
        <v>4200-200</v>
      </c>
    </row>
    <row r="130" spans="2:27" s="490" customFormat="1" ht="15">
      <c r="B130" s="330"/>
      <c r="C130" s="331"/>
      <c r="D130" s="295">
        <f>VLOOKUP(E130,'1.1a-Jaarprijzen'!$B$13:$G$32,6,FALSE)</f>
        <v>2</v>
      </c>
      <c r="E130" s="294" t="s">
        <v>740</v>
      </c>
      <c r="F130" s="295" t="s">
        <v>605</v>
      </c>
      <c r="G130" s="295" t="s">
        <v>600</v>
      </c>
      <c r="H130" s="710" t="s">
        <v>291</v>
      </c>
      <c r="I130" s="297" t="str">
        <f t="shared" si="26"/>
        <v>trappenhuis</v>
      </c>
      <c r="J130" s="295" t="s">
        <v>475</v>
      </c>
      <c r="K130" s="298">
        <v>14.625</v>
      </c>
      <c r="L130" s="298"/>
      <c r="M130" s="299">
        <v>9200</v>
      </c>
      <c r="N130" s="300">
        <f t="shared" si="21"/>
        <v>200</v>
      </c>
      <c r="O130" s="484">
        <v>1</v>
      </c>
      <c r="P130" s="484">
        <v>1</v>
      </c>
      <c r="Q130" s="292">
        <f t="shared" si="22"/>
        <v>0</v>
      </c>
      <c r="R130" s="292">
        <f t="shared" si="23"/>
        <v>0</v>
      </c>
      <c r="S130" s="301">
        <f t="shared" si="18"/>
        <v>0</v>
      </c>
      <c r="T130" s="301">
        <f t="shared" si="19"/>
        <v>0</v>
      </c>
      <c r="U130" s="771" t="str">
        <f t="shared" si="20"/>
        <v>V</v>
      </c>
      <c r="V130" s="303"/>
      <c r="W130" s="304">
        <f>(Q130+R130)*'1.0-Contractblad'!$L$37</f>
        <v>0</v>
      </c>
      <c r="X130" s="304">
        <f ca="1">VLOOKUP(E130,'1.1a-Jaarprijzen'!$B$35:$Q$57,16,FALSE)*K130</f>
        <v>0</v>
      </c>
      <c r="Z130" s="773">
        <f t="shared" si="24"/>
        <v>2925</v>
      </c>
      <c r="AA130" s="492" t="str">
        <f t="shared" si="25"/>
        <v>9200-200</v>
      </c>
    </row>
    <row r="131" spans="2:27" s="490" customFormat="1" ht="15">
      <c r="B131" s="330"/>
      <c r="C131" s="331"/>
      <c r="D131" s="295">
        <f>VLOOKUP(E131,'1.1a-Jaarprijzen'!$B$13:$G$32,6,FALSE)</f>
        <v>2</v>
      </c>
      <c r="E131" s="294" t="s">
        <v>740</v>
      </c>
      <c r="F131" s="295" t="s">
        <v>261</v>
      </c>
      <c r="G131" s="295" t="s">
        <v>601</v>
      </c>
      <c r="H131" s="710" t="s">
        <v>746</v>
      </c>
      <c r="I131" s="297" t="str">
        <f t="shared" si="26"/>
        <v>pantry/keuken</v>
      </c>
      <c r="J131" s="295" t="s">
        <v>696</v>
      </c>
      <c r="K131" s="298">
        <v>3.6</v>
      </c>
      <c r="L131" s="298"/>
      <c r="M131" s="299">
        <v>5040</v>
      </c>
      <c r="N131" s="300">
        <f t="shared" si="21"/>
        <v>40</v>
      </c>
      <c r="O131" s="484">
        <v>1</v>
      </c>
      <c r="P131" s="484">
        <v>1</v>
      </c>
      <c r="Q131" s="292">
        <f t="shared" si="22"/>
        <v>0</v>
      </c>
      <c r="R131" s="292">
        <f t="shared" si="23"/>
        <v>0</v>
      </c>
      <c r="S131" s="301">
        <f t="shared" si="18"/>
        <v>0</v>
      </c>
      <c r="T131" s="301">
        <f t="shared" si="19"/>
        <v>0</v>
      </c>
      <c r="U131" s="771" t="str">
        <f t="shared" si="20"/>
        <v>V</v>
      </c>
      <c r="V131" s="303"/>
      <c r="W131" s="304">
        <f>(Q131+R131)*'1.0-Contractblad'!$L$37</f>
        <v>0</v>
      </c>
      <c r="X131" s="304">
        <f ca="1">VLOOKUP(E131,'1.1a-Jaarprijzen'!$B$35:$Q$57,16,FALSE)*K131</f>
        <v>0</v>
      </c>
      <c r="Z131" s="773">
        <f t="shared" si="24"/>
        <v>144</v>
      </c>
      <c r="AA131" s="492" t="str">
        <f t="shared" si="25"/>
        <v>5040-40</v>
      </c>
    </row>
    <row r="132" spans="2:27" s="490" customFormat="1" ht="15">
      <c r="B132" s="330"/>
      <c r="C132" s="331"/>
      <c r="D132" s="295">
        <f>VLOOKUP(E132,'1.1a-Jaarprijzen'!$B$13:$G$32,6,FALSE)</f>
        <v>2</v>
      </c>
      <c r="E132" s="294" t="s">
        <v>740</v>
      </c>
      <c r="F132" s="295" t="s">
        <v>261</v>
      </c>
      <c r="G132" s="295" t="s">
        <v>602</v>
      </c>
      <c r="H132" s="710" t="s">
        <v>746</v>
      </c>
      <c r="I132" s="297" t="str">
        <f t="shared" si="26"/>
        <v>pantry/keuken</v>
      </c>
      <c r="J132" s="295" t="s">
        <v>696</v>
      </c>
      <c r="K132" s="298">
        <v>28.125</v>
      </c>
      <c r="L132" s="298"/>
      <c r="M132" s="299">
        <v>5040</v>
      </c>
      <c r="N132" s="300">
        <f t="shared" si="21"/>
        <v>40</v>
      </c>
      <c r="O132" s="484">
        <v>1</v>
      </c>
      <c r="P132" s="484">
        <v>1</v>
      </c>
      <c r="Q132" s="292">
        <f t="shared" si="22"/>
        <v>0</v>
      </c>
      <c r="R132" s="292">
        <f t="shared" si="23"/>
        <v>0</v>
      </c>
      <c r="S132" s="301">
        <f t="shared" si="18"/>
        <v>0</v>
      </c>
      <c r="T132" s="301">
        <f t="shared" si="19"/>
        <v>0</v>
      </c>
      <c r="U132" s="771" t="str">
        <f t="shared" si="20"/>
        <v>V</v>
      </c>
      <c r="V132" s="303"/>
      <c r="W132" s="304">
        <f>(Q132+R132)*'1.0-Contractblad'!$L$37</f>
        <v>0</v>
      </c>
      <c r="X132" s="304">
        <f ca="1">VLOOKUP(E132,'1.1a-Jaarprijzen'!$B$35:$Q$57,16,FALSE)*K132</f>
        <v>0</v>
      </c>
      <c r="Z132" s="773">
        <f t="shared" si="24"/>
        <v>1125</v>
      </c>
      <c r="AA132" s="492" t="str">
        <f t="shared" si="25"/>
        <v>5040-40</v>
      </c>
    </row>
    <row r="133" spans="2:27" s="490" customFormat="1" ht="15">
      <c r="B133" s="330"/>
      <c r="C133" s="331"/>
      <c r="D133" s="295">
        <f>VLOOKUP(E133,'1.1a-Jaarprijzen'!$B$13:$G$32,6,FALSE)</f>
        <v>2</v>
      </c>
      <c r="E133" s="294" t="s">
        <v>740</v>
      </c>
      <c r="F133" s="295" t="s">
        <v>261</v>
      </c>
      <c r="G133" s="295" t="s">
        <v>603</v>
      </c>
      <c r="H133" s="710" t="s">
        <v>397</v>
      </c>
      <c r="I133" s="297" t="str">
        <f t="shared" si="26"/>
        <v>administratieve -,  vergaderruimte</v>
      </c>
      <c r="J133" s="295" t="s">
        <v>696</v>
      </c>
      <c r="K133" s="298">
        <v>14.0625</v>
      </c>
      <c r="L133" s="298"/>
      <c r="M133" s="299">
        <v>1040</v>
      </c>
      <c r="N133" s="300">
        <f t="shared" si="21"/>
        <v>40</v>
      </c>
      <c r="O133" s="484">
        <v>1</v>
      </c>
      <c r="P133" s="484">
        <v>1</v>
      </c>
      <c r="Q133" s="292">
        <f t="shared" si="22"/>
        <v>0</v>
      </c>
      <c r="R133" s="292">
        <f t="shared" si="23"/>
        <v>0</v>
      </c>
      <c r="S133" s="301">
        <f t="shared" si="18"/>
        <v>0</v>
      </c>
      <c r="T133" s="301">
        <f t="shared" si="19"/>
        <v>0</v>
      </c>
      <c r="U133" s="771" t="str">
        <f t="shared" si="20"/>
        <v>V</v>
      </c>
      <c r="V133" s="303"/>
      <c r="W133" s="304">
        <f>(Q133+R133)*'1.0-Contractblad'!$L$37</f>
        <v>0</v>
      </c>
      <c r="X133" s="304">
        <f ca="1">VLOOKUP(E133,'1.1a-Jaarprijzen'!$B$35:$Q$57,16,FALSE)*K133</f>
        <v>0</v>
      </c>
      <c r="Z133" s="773">
        <f t="shared" si="24"/>
        <v>562.5</v>
      </c>
      <c r="AA133" s="492" t="str">
        <f t="shared" si="25"/>
        <v>1040-40</v>
      </c>
    </row>
    <row r="134" spans="2:27" s="490" customFormat="1" ht="15">
      <c r="B134" s="330"/>
      <c r="C134" s="331"/>
      <c r="D134" s="295">
        <f>VLOOKUP(E134,'1.1a-Jaarprijzen'!$B$13:$G$32,6,FALSE)</f>
        <v>2</v>
      </c>
      <c r="E134" s="294" t="s">
        <v>740</v>
      </c>
      <c r="F134" s="295" t="s">
        <v>261</v>
      </c>
      <c r="G134" s="295" t="s">
        <v>604</v>
      </c>
      <c r="H134" s="710" t="s">
        <v>397</v>
      </c>
      <c r="I134" s="297" t="str">
        <f t="shared" si="26"/>
        <v>administratieve -,  vergaderruimte</v>
      </c>
      <c r="J134" s="295" t="s">
        <v>696</v>
      </c>
      <c r="K134" s="298">
        <v>14.0625</v>
      </c>
      <c r="L134" s="298"/>
      <c r="M134" s="299">
        <v>1040</v>
      </c>
      <c r="N134" s="300">
        <f t="shared" si="21"/>
        <v>40</v>
      </c>
      <c r="O134" s="484">
        <v>1</v>
      </c>
      <c r="P134" s="484">
        <v>1</v>
      </c>
      <c r="Q134" s="292">
        <f t="shared" si="22"/>
        <v>0</v>
      </c>
      <c r="R134" s="292">
        <f t="shared" si="23"/>
        <v>0</v>
      </c>
      <c r="S134" s="301">
        <f t="shared" si="18"/>
        <v>0</v>
      </c>
      <c r="T134" s="301">
        <f t="shared" si="19"/>
        <v>0</v>
      </c>
      <c r="U134" s="771" t="str">
        <f t="shared" si="20"/>
        <v>V</v>
      </c>
      <c r="V134" s="303"/>
      <c r="W134" s="304">
        <f>(Q134+R134)*'1.0-Contractblad'!$L$37</f>
        <v>0</v>
      </c>
      <c r="X134" s="304">
        <f ca="1">VLOOKUP(E134,'1.1a-Jaarprijzen'!$B$35:$Q$57,16,FALSE)*K134</f>
        <v>0</v>
      </c>
      <c r="Z134" s="773">
        <f t="shared" si="24"/>
        <v>562.5</v>
      </c>
      <c r="AA134" s="492" t="str">
        <f t="shared" si="25"/>
        <v>1040-40</v>
      </c>
    </row>
    <row r="135" spans="2:27" s="490" customFormat="1" ht="15">
      <c r="B135" s="330"/>
      <c r="C135" s="331"/>
      <c r="D135" s="295">
        <f>VLOOKUP(E135,'1.1a-Jaarprijzen'!$B$13:$G$32,6,FALSE)</f>
        <v>2</v>
      </c>
      <c r="E135" s="294" t="s">
        <v>740</v>
      </c>
      <c r="F135" s="295" t="s">
        <v>261</v>
      </c>
      <c r="G135" s="295" t="s">
        <v>636</v>
      </c>
      <c r="H135" s="710" t="s">
        <v>392</v>
      </c>
      <c r="I135" s="297" t="str">
        <f t="shared" si="26"/>
        <v>entree, gang, hal, repro</v>
      </c>
      <c r="J135" s="295" t="s">
        <v>696</v>
      </c>
      <c r="K135" s="298">
        <v>125.04000000000002</v>
      </c>
      <c r="L135" s="298"/>
      <c r="M135" s="299">
        <v>3200</v>
      </c>
      <c r="N135" s="300">
        <f t="shared" si="21"/>
        <v>200</v>
      </c>
      <c r="O135" s="484">
        <v>1</v>
      </c>
      <c r="P135" s="484">
        <v>1</v>
      </c>
      <c r="Q135" s="292">
        <f t="shared" si="22"/>
        <v>0</v>
      </c>
      <c r="R135" s="292">
        <f t="shared" si="23"/>
        <v>0</v>
      </c>
      <c r="S135" s="301">
        <f t="shared" si="18"/>
        <v>0</v>
      </c>
      <c r="T135" s="301">
        <f t="shared" si="19"/>
        <v>0</v>
      </c>
      <c r="U135" s="771" t="str">
        <f t="shared" si="20"/>
        <v>V</v>
      </c>
      <c r="V135" s="303"/>
      <c r="W135" s="304">
        <f>(Q135+R135)*'1.0-Contractblad'!$L$37</f>
        <v>0</v>
      </c>
      <c r="X135" s="304">
        <f ca="1">VLOOKUP(E135,'1.1a-Jaarprijzen'!$B$35:$Q$57,16,FALSE)*K135</f>
        <v>0</v>
      </c>
      <c r="Z135" s="773">
        <f t="shared" si="24"/>
        <v>25008.000000000004</v>
      </c>
      <c r="AA135" s="492" t="str">
        <f t="shared" si="25"/>
        <v>3200-200</v>
      </c>
    </row>
    <row r="136" spans="2:27" s="490" customFormat="1" ht="15">
      <c r="B136" s="330"/>
      <c r="C136" s="331"/>
      <c r="D136" s="295">
        <f>VLOOKUP(E136,'1.1a-Jaarprijzen'!$B$13:$G$32,6,FALSE)</f>
        <v>2</v>
      </c>
      <c r="E136" s="294" t="s">
        <v>740</v>
      </c>
      <c r="F136" s="295" t="s">
        <v>261</v>
      </c>
      <c r="G136" s="295" t="s">
        <v>637</v>
      </c>
      <c r="H136" s="710" t="s">
        <v>397</v>
      </c>
      <c r="I136" s="297" t="str">
        <f t="shared" si="26"/>
        <v>administratieve -,  vergaderruimte</v>
      </c>
      <c r="J136" s="295" t="s">
        <v>696</v>
      </c>
      <c r="K136" s="298">
        <v>18</v>
      </c>
      <c r="L136" s="298"/>
      <c r="M136" s="299">
        <v>1040</v>
      </c>
      <c r="N136" s="300">
        <f t="shared" si="21"/>
        <v>40</v>
      </c>
      <c r="O136" s="484">
        <v>1</v>
      </c>
      <c r="P136" s="484">
        <v>1</v>
      </c>
      <c r="Q136" s="292">
        <f t="shared" si="22"/>
        <v>0</v>
      </c>
      <c r="R136" s="292">
        <f t="shared" si="23"/>
        <v>0</v>
      </c>
      <c r="S136" s="301">
        <f t="shared" si="18"/>
        <v>0</v>
      </c>
      <c r="T136" s="301">
        <f t="shared" si="19"/>
        <v>0</v>
      </c>
      <c r="U136" s="771" t="str">
        <f t="shared" si="20"/>
        <v>V</v>
      </c>
      <c r="V136" s="303"/>
      <c r="W136" s="304">
        <f>(Q136+R136)*'1.0-Contractblad'!$L$37</f>
        <v>0</v>
      </c>
      <c r="X136" s="304">
        <f ca="1">VLOOKUP(E136,'1.1a-Jaarprijzen'!$B$35:$Q$57,16,FALSE)*K136</f>
        <v>0</v>
      </c>
      <c r="Z136" s="773">
        <f t="shared" si="24"/>
        <v>720</v>
      </c>
      <c r="AA136" s="492" t="str">
        <f t="shared" si="25"/>
        <v>1040-40</v>
      </c>
    </row>
    <row r="137" spans="2:27" s="490" customFormat="1" ht="15">
      <c r="B137" s="330"/>
      <c r="C137" s="331"/>
      <c r="D137" s="295">
        <f>VLOOKUP(E137,'1.1a-Jaarprijzen'!$B$13:$G$32,6,FALSE)</f>
        <v>2</v>
      </c>
      <c r="E137" s="294" t="s">
        <v>740</v>
      </c>
      <c r="F137" s="295" t="s">
        <v>261</v>
      </c>
      <c r="G137" s="295" t="s">
        <v>678</v>
      </c>
      <c r="H137" s="710" t="s">
        <v>397</v>
      </c>
      <c r="I137" s="297" t="str">
        <f t="shared" si="26"/>
        <v>administratieve -,  vergaderruimte</v>
      </c>
      <c r="J137" s="295" t="s">
        <v>696</v>
      </c>
      <c r="K137" s="298">
        <v>18</v>
      </c>
      <c r="L137" s="298"/>
      <c r="M137" s="299">
        <v>1040</v>
      </c>
      <c r="N137" s="300">
        <f t="shared" si="21"/>
        <v>40</v>
      </c>
      <c r="O137" s="484">
        <v>1</v>
      </c>
      <c r="P137" s="484">
        <v>1</v>
      </c>
      <c r="Q137" s="292">
        <f t="shared" si="22"/>
        <v>0</v>
      </c>
      <c r="R137" s="292">
        <f t="shared" si="23"/>
        <v>0</v>
      </c>
      <c r="S137" s="301">
        <f t="shared" si="18"/>
        <v>0</v>
      </c>
      <c r="T137" s="301">
        <f t="shared" si="19"/>
        <v>0</v>
      </c>
      <c r="U137" s="771" t="str">
        <f t="shared" si="20"/>
        <v>V</v>
      </c>
      <c r="V137" s="303"/>
      <c r="W137" s="304">
        <f>(Q137+R137)*'1.0-Contractblad'!$L$37</f>
        <v>0</v>
      </c>
      <c r="X137" s="304">
        <f ca="1">VLOOKUP(E137,'1.1a-Jaarprijzen'!$B$35:$Q$57,16,FALSE)*K137</f>
        <v>0</v>
      </c>
      <c r="Z137" s="773">
        <f t="shared" si="24"/>
        <v>720</v>
      </c>
      <c r="AA137" s="492" t="str">
        <f t="shared" si="25"/>
        <v>1040-40</v>
      </c>
    </row>
    <row r="138" spans="2:27" s="490" customFormat="1" ht="15">
      <c r="B138" s="330"/>
      <c r="C138" s="331"/>
      <c r="D138" s="295">
        <f>VLOOKUP(E138,'1.1a-Jaarprijzen'!$B$13:$G$32,6,FALSE)</f>
        <v>2</v>
      </c>
      <c r="E138" s="294" t="s">
        <v>740</v>
      </c>
      <c r="F138" s="295" t="s">
        <v>261</v>
      </c>
      <c r="G138" s="295" t="s">
        <v>679</v>
      </c>
      <c r="H138" s="710" t="s">
        <v>401</v>
      </c>
      <c r="I138" s="297" t="str">
        <f t="shared" si="26"/>
        <v>niet van toepassing</v>
      </c>
      <c r="J138" s="295" t="s">
        <v>696</v>
      </c>
      <c r="K138" s="298"/>
      <c r="L138" s="298">
        <v>4.1399999999999997</v>
      </c>
      <c r="M138" s="299" t="s">
        <v>17</v>
      </c>
      <c r="N138" s="300">
        <f t="shared" si="21"/>
        <v>0</v>
      </c>
      <c r="O138" s="484">
        <v>1</v>
      </c>
      <c r="P138" s="484">
        <v>1</v>
      </c>
      <c r="Q138" s="292">
        <f t="shared" si="22"/>
        <v>0</v>
      </c>
      <c r="R138" s="292">
        <f t="shared" si="23"/>
        <v>0</v>
      </c>
      <c r="S138" s="301">
        <f t="shared" si="18"/>
        <v>0</v>
      </c>
      <c r="T138" s="301">
        <f t="shared" si="19"/>
        <v>0</v>
      </c>
      <c r="U138" s="771">
        <f t="shared" si="20"/>
        <v>0</v>
      </c>
      <c r="V138" s="303"/>
      <c r="W138" s="304">
        <f>(Q138+R138)*'1.0-Contractblad'!$L$37</f>
        <v>0</v>
      </c>
      <c r="X138" s="304">
        <f ca="1">VLOOKUP(E138,'1.1a-Jaarprijzen'!$B$35:$Q$57,16,FALSE)*K138</f>
        <v>0</v>
      </c>
      <c r="Z138" s="773">
        <f t="shared" si="24"/>
        <v>0</v>
      </c>
      <c r="AA138" s="492" t="str">
        <f t="shared" si="25"/>
        <v>nvt-0</v>
      </c>
    </row>
    <row r="139" spans="2:27" s="490" customFormat="1" ht="15">
      <c r="B139" s="330"/>
      <c r="C139" s="331"/>
      <c r="D139" s="295">
        <f>VLOOKUP(E139,'1.1a-Jaarprijzen'!$B$13:$G$32,6,FALSE)</f>
        <v>2</v>
      </c>
      <c r="E139" s="294" t="s">
        <v>740</v>
      </c>
      <c r="F139" s="295" t="s">
        <v>261</v>
      </c>
      <c r="G139" s="295" t="s">
        <v>680</v>
      </c>
      <c r="H139" s="710" t="s">
        <v>401</v>
      </c>
      <c r="I139" s="297" t="str">
        <f t="shared" si="26"/>
        <v>niet van toepassing</v>
      </c>
      <c r="J139" s="295" t="s">
        <v>696</v>
      </c>
      <c r="K139" s="298"/>
      <c r="L139" s="298">
        <v>4.1399999999999997</v>
      </c>
      <c r="M139" s="299" t="s">
        <v>17</v>
      </c>
      <c r="N139" s="300">
        <f t="shared" si="21"/>
        <v>0</v>
      </c>
      <c r="O139" s="484">
        <v>1</v>
      </c>
      <c r="P139" s="484">
        <v>1</v>
      </c>
      <c r="Q139" s="292">
        <f t="shared" si="22"/>
        <v>0</v>
      </c>
      <c r="R139" s="292">
        <f t="shared" si="23"/>
        <v>0</v>
      </c>
      <c r="S139" s="301">
        <f t="shared" si="18"/>
        <v>0</v>
      </c>
      <c r="T139" s="301">
        <f t="shared" si="19"/>
        <v>0</v>
      </c>
      <c r="U139" s="771">
        <f t="shared" si="20"/>
        <v>0</v>
      </c>
      <c r="V139" s="303"/>
      <c r="W139" s="304">
        <f>(Q139+R139)*'1.0-Contractblad'!$L$37</f>
        <v>0</v>
      </c>
      <c r="X139" s="304">
        <f ca="1">VLOOKUP(E139,'1.1a-Jaarprijzen'!$B$35:$Q$57,16,FALSE)*K139</f>
        <v>0</v>
      </c>
      <c r="Z139" s="773">
        <f t="shared" si="24"/>
        <v>0</v>
      </c>
      <c r="AA139" s="492" t="str">
        <f t="shared" si="25"/>
        <v>nvt-0</v>
      </c>
    </row>
    <row r="140" spans="2:27" s="490" customFormat="1" ht="15">
      <c r="B140" s="330"/>
      <c r="C140" s="331"/>
      <c r="D140" s="295">
        <f>VLOOKUP(E140,'1.1a-Jaarprijzen'!$B$13:$G$32,6,FALSE)</f>
        <v>2</v>
      </c>
      <c r="E140" s="294" t="s">
        <v>740</v>
      </c>
      <c r="F140" s="295" t="s">
        <v>261</v>
      </c>
      <c r="G140" s="295" t="s">
        <v>681</v>
      </c>
      <c r="H140" s="710" t="s">
        <v>397</v>
      </c>
      <c r="I140" s="297" t="str">
        <f t="shared" si="26"/>
        <v>administratieve -,  vergaderruimte</v>
      </c>
      <c r="J140" s="295" t="s">
        <v>696</v>
      </c>
      <c r="K140" s="298">
        <v>25.380000000000003</v>
      </c>
      <c r="L140" s="298"/>
      <c r="M140" s="299">
        <v>1040</v>
      </c>
      <c r="N140" s="300">
        <f t="shared" si="21"/>
        <v>40</v>
      </c>
      <c r="O140" s="484">
        <v>1</v>
      </c>
      <c r="P140" s="484">
        <v>1</v>
      </c>
      <c r="Q140" s="292">
        <f t="shared" si="22"/>
        <v>0</v>
      </c>
      <c r="R140" s="292">
        <f t="shared" si="23"/>
        <v>0</v>
      </c>
      <c r="S140" s="301">
        <f t="shared" si="18"/>
        <v>0</v>
      </c>
      <c r="T140" s="301">
        <f t="shared" si="19"/>
        <v>0</v>
      </c>
      <c r="U140" s="771" t="str">
        <f t="shared" si="20"/>
        <v>V</v>
      </c>
      <c r="V140" s="303"/>
      <c r="W140" s="304">
        <f>(Q140+R140)*'1.0-Contractblad'!$L$37</f>
        <v>0</v>
      </c>
      <c r="X140" s="304">
        <f ca="1">VLOOKUP(E140,'1.1a-Jaarprijzen'!$B$35:$Q$57,16,FALSE)*K140</f>
        <v>0</v>
      </c>
      <c r="Z140" s="773">
        <f t="shared" si="24"/>
        <v>1015.2</v>
      </c>
      <c r="AA140" s="492" t="str">
        <f t="shared" si="25"/>
        <v>1040-40</v>
      </c>
    </row>
    <row r="141" spans="2:27" s="490" customFormat="1" ht="15">
      <c r="B141" s="330"/>
      <c r="C141" s="331"/>
      <c r="D141" s="295">
        <f>VLOOKUP(E141,'1.1a-Jaarprijzen'!$B$13:$G$32,6,FALSE)</f>
        <v>2</v>
      </c>
      <c r="E141" s="294" t="s">
        <v>740</v>
      </c>
      <c r="F141" s="295" t="s">
        <v>261</v>
      </c>
      <c r="G141" s="295" t="s">
        <v>682</v>
      </c>
      <c r="H141" s="710" t="s">
        <v>564</v>
      </c>
      <c r="I141" s="297" t="str">
        <f t="shared" si="26"/>
        <v>pantry/keuken</v>
      </c>
      <c r="J141" s="295" t="s">
        <v>696</v>
      </c>
      <c r="K141" s="298">
        <v>2.76</v>
      </c>
      <c r="L141" s="298"/>
      <c r="M141" s="299">
        <v>5200</v>
      </c>
      <c r="N141" s="300">
        <f t="shared" si="21"/>
        <v>200</v>
      </c>
      <c r="O141" s="484">
        <v>1</v>
      </c>
      <c r="P141" s="484">
        <v>1</v>
      </c>
      <c r="Q141" s="292">
        <f t="shared" si="22"/>
        <v>0</v>
      </c>
      <c r="R141" s="292">
        <f t="shared" si="23"/>
        <v>0</v>
      </c>
      <c r="S141" s="301">
        <f t="shared" si="18"/>
        <v>0</v>
      </c>
      <c r="T141" s="301">
        <f t="shared" si="19"/>
        <v>0</v>
      </c>
      <c r="U141" s="771" t="str">
        <f t="shared" si="20"/>
        <v>V</v>
      </c>
      <c r="V141" s="303" t="s">
        <v>1065</v>
      </c>
      <c r="W141" s="304">
        <f>(Q141+R141)*'1.0-Contractblad'!$L$37</f>
        <v>0</v>
      </c>
      <c r="X141" s="304">
        <f ca="1">VLOOKUP(E141,'1.1a-Jaarprijzen'!$B$35:$Q$57,16,FALSE)*K141</f>
        <v>0</v>
      </c>
      <c r="Z141" s="773">
        <f t="shared" si="24"/>
        <v>552</v>
      </c>
      <c r="AA141" s="492" t="str">
        <f t="shared" si="25"/>
        <v>5200-200</v>
      </c>
    </row>
    <row r="142" spans="2:27" s="490" customFormat="1" ht="15">
      <c r="B142" s="330"/>
      <c r="C142" s="331"/>
      <c r="D142" s="295">
        <f>VLOOKUP(E142,'1.1a-Jaarprijzen'!$B$13:$G$32,6,FALSE)</f>
        <v>2</v>
      </c>
      <c r="E142" s="294" t="s">
        <v>740</v>
      </c>
      <c r="F142" s="295" t="s">
        <v>261</v>
      </c>
      <c r="G142" s="295" t="s">
        <v>683</v>
      </c>
      <c r="H142" s="710" t="s">
        <v>677</v>
      </c>
      <c r="I142" s="297" t="str">
        <f t="shared" si="26"/>
        <v>entree, gang, hal, repro</v>
      </c>
      <c r="J142" s="295" t="s">
        <v>696</v>
      </c>
      <c r="K142" s="298">
        <v>7.48</v>
      </c>
      <c r="L142" s="298"/>
      <c r="M142" s="299">
        <v>3200</v>
      </c>
      <c r="N142" s="300">
        <f t="shared" si="21"/>
        <v>200</v>
      </c>
      <c r="O142" s="484">
        <v>1</v>
      </c>
      <c r="P142" s="484">
        <v>1</v>
      </c>
      <c r="Q142" s="292">
        <f t="shared" si="22"/>
        <v>0</v>
      </c>
      <c r="R142" s="292">
        <f t="shared" si="23"/>
        <v>0</v>
      </c>
      <c r="S142" s="301">
        <f t="shared" si="18"/>
        <v>0</v>
      </c>
      <c r="T142" s="301">
        <f t="shared" si="19"/>
        <v>0</v>
      </c>
      <c r="U142" s="771" t="str">
        <f t="shared" si="20"/>
        <v>V</v>
      </c>
      <c r="V142" s="303"/>
      <c r="W142" s="304">
        <f>(Q142+R142)*'1.0-Contractblad'!$L$37</f>
        <v>0</v>
      </c>
      <c r="X142" s="304">
        <f ca="1">VLOOKUP(E142,'1.1a-Jaarprijzen'!$B$35:$Q$57,16,FALSE)*K142</f>
        <v>0</v>
      </c>
      <c r="Z142" s="773">
        <f t="shared" si="24"/>
        <v>1496</v>
      </c>
      <c r="AA142" s="492" t="str">
        <f t="shared" si="25"/>
        <v>3200-200</v>
      </c>
    </row>
    <row r="143" spans="2:27" s="490" customFormat="1" ht="15">
      <c r="B143" s="330"/>
      <c r="C143" s="331"/>
      <c r="D143" s="295">
        <f>VLOOKUP(E143,'1.1a-Jaarprijzen'!$B$13:$G$32,6,FALSE)</f>
        <v>2</v>
      </c>
      <c r="E143" s="294" t="s">
        <v>740</v>
      </c>
      <c r="F143" s="295" t="s">
        <v>261</v>
      </c>
      <c r="G143" s="295" t="s">
        <v>684</v>
      </c>
      <c r="H143" s="710" t="s">
        <v>672</v>
      </c>
      <c r="I143" s="297" t="str">
        <f t="shared" si="26"/>
        <v>entree, gang, hal, repro</v>
      </c>
      <c r="J143" s="295" t="s">
        <v>696</v>
      </c>
      <c r="K143" s="298">
        <v>68.2</v>
      </c>
      <c r="L143" s="298"/>
      <c r="M143" s="299">
        <v>3200</v>
      </c>
      <c r="N143" s="300">
        <f t="shared" si="21"/>
        <v>200</v>
      </c>
      <c r="O143" s="484">
        <v>1</v>
      </c>
      <c r="P143" s="484">
        <v>1</v>
      </c>
      <c r="Q143" s="292">
        <f t="shared" si="22"/>
        <v>0</v>
      </c>
      <c r="R143" s="292">
        <f t="shared" si="23"/>
        <v>0</v>
      </c>
      <c r="S143" s="301">
        <f t="shared" si="18"/>
        <v>0</v>
      </c>
      <c r="T143" s="301">
        <f t="shared" si="19"/>
        <v>0</v>
      </c>
      <c r="U143" s="771" t="str">
        <f t="shared" si="20"/>
        <v>V</v>
      </c>
      <c r="V143" s="303"/>
      <c r="W143" s="304">
        <f>(Q143+R143)*'1.0-Contractblad'!$L$37</f>
        <v>0</v>
      </c>
      <c r="X143" s="304">
        <f ca="1">VLOOKUP(E143,'1.1a-Jaarprijzen'!$B$35:$Q$57,16,FALSE)*K143</f>
        <v>0</v>
      </c>
      <c r="Z143" s="773">
        <f t="shared" si="24"/>
        <v>13640</v>
      </c>
      <c r="AA143" s="492" t="str">
        <f t="shared" si="25"/>
        <v>3200-200</v>
      </c>
    </row>
    <row r="144" spans="2:27" s="490" customFormat="1" ht="15">
      <c r="B144" s="330"/>
      <c r="C144" s="331"/>
      <c r="D144" s="295">
        <f>VLOOKUP(E144,'1.1a-Jaarprijzen'!$B$13:$G$32,6,FALSE)</f>
        <v>2</v>
      </c>
      <c r="E144" s="294" t="s">
        <v>740</v>
      </c>
      <c r="F144" s="295" t="s">
        <v>261</v>
      </c>
      <c r="G144" s="295" t="s">
        <v>686</v>
      </c>
      <c r="H144" s="710" t="s">
        <v>403</v>
      </c>
      <c r="I144" s="297" t="str">
        <f t="shared" si="26"/>
        <v>leslokaal/leerplein groep 4 t/m 8</v>
      </c>
      <c r="J144" s="295" t="s">
        <v>696</v>
      </c>
      <c r="K144" s="298">
        <v>51.84</v>
      </c>
      <c r="L144" s="298"/>
      <c r="M144" s="299">
        <v>18200</v>
      </c>
      <c r="N144" s="300">
        <f t="shared" si="21"/>
        <v>200</v>
      </c>
      <c r="O144" s="484">
        <v>1</v>
      </c>
      <c r="P144" s="484">
        <v>1</v>
      </c>
      <c r="Q144" s="292">
        <f t="shared" si="22"/>
        <v>0</v>
      </c>
      <c r="R144" s="292">
        <f t="shared" si="23"/>
        <v>0</v>
      </c>
      <c r="S144" s="301">
        <f t="shared" si="18"/>
        <v>0</v>
      </c>
      <c r="T144" s="301">
        <f t="shared" si="19"/>
        <v>0</v>
      </c>
      <c r="U144" s="771" t="str">
        <f t="shared" si="20"/>
        <v>L</v>
      </c>
      <c r="V144" s="303"/>
      <c r="W144" s="304">
        <f>(Q144+R144)*'1.0-Contractblad'!$L$37</f>
        <v>0</v>
      </c>
      <c r="X144" s="304">
        <f ca="1">VLOOKUP(E144,'1.1a-Jaarprijzen'!$B$35:$Q$57,16,FALSE)*K144</f>
        <v>0</v>
      </c>
      <c r="Z144" s="773">
        <f t="shared" si="24"/>
        <v>10368</v>
      </c>
      <c r="AA144" s="492" t="str">
        <f t="shared" si="25"/>
        <v>18200-200</v>
      </c>
    </row>
    <row r="145" spans="2:27" s="490" customFormat="1" ht="15">
      <c r="B145" s="330"/>
      <c r="C145" s="331"/>
      <c r="D145" s="295">
        <f>VLOOKUP(E145,'1.1a-Jaarprijzen'!$B$13:$G$32,6,FALSE)</f>
        <v>2</v>
      </c>
      <c r="E145" s="294" t="s">
        <v>740</v>
      </c>
      <c r="F145" s="295" t="s">
        <v>261</v>
      </c>
      <c r="G145" s="295" t="s">
        <v>687</v>
      </c>
      <c r="H145" s="710" t="s">
        <v>397</v>
      </c>
      <c r="I145" s="297" t="str">
        <f t="shared" si="26"/>
        <v>administratieve -,  vergaderruimte</v>
      </c>
      <c r="J145" s="295" t="s">
        <v>696</v>
      </c>
      <c r="K145" s="298">
        <v>13.225</v>
      </c>
      <c r="L145" s="298"/>
      <c r="M145" s="299">
        <v>1040</v>
      </c>
      <c r="N145" s="300">
        <f t="shared" si="21"/>
        <v>40</v>
      </c>
      <c r="O145" s="484">
        <v>1</v>
      </c>
      <c r="P145" s="484">
        <v>1</v>
      </c>
      <c r="Q145" s="292">
        <f t="shared" si="22"/>
        <v>0</v>
      </c>
      <c r="R145" s="292">
        <f t="shared" si="23"/>
        <v>0</v>
      </c>
      <c r="S145" s="301">
        <f t="shared" si="18"/>
        <v>0</v>
      </c>
      <c r="T145" s="301">
        <f t="shared" si="19"/>
        <v>0</v>
      </c>
      <c r="U145" s="771" t="str">
        <f t="shared" si="20"/>
        <v>V</v>
      </c>
      <c r="V145" s="303"/>
      <c r="W145" s="304">
        <f>(Q145+R145)*'1.0-Contractblad'!$L$37</f>
        <v>0</v>
      </c>
      <c r="X145" s="304">
        <f ca="1">VLOOKUP(E145,'1.1a-Jaarprijzen'!$B$35:$Q$57,16,FALSE)*K145</f>
        <v>0</v>
      </c>
      <c r="Z145" s="773">
        <f t="shared" si="24"/>
        <v>529</v>
      </c>
      <c r="AA145" s="492" t="str">
        <f t="shared" si="25"/>
        <v>1040-40</v>
      </c>
    </row>
    <row r="146" spans="2:27" s="490" customFormat="1" ht="15">
      <c r="B146" s="330"/>
      <c r="C146" s="331"/>
      <c r="D146" s="295">
        <f>VLOOKUP(E146,'1.1a-Jaarprijzen'!$B$13:$G$32,6,FALSE)</f>
        <v>2</v>
      </c>
      <c r="E146" s="294" t="s">
        <v>740</v>
      </c>
      <c r="F146" s="295" t="s">
        <v>261</v>
      </c>
      <c r="G146" s="295" t="s">
        <v>769</v>
      </c>
      <c r="H146" s="710" t="s">
        <v>401</v>
      </c>
      <c r="I146" s="297" t="str">
        <f t="shared" si="26"/>
        <v>niet van toepassing</v>
      </c>
      <c r="J146" s="295" t="s">
        <v>696</v>
      </c>
      <c r="K146" s="298"/>
      <c r="L146" s="298">
        <v>3.5</v>
      </c>
      <c r="M146" s="299" t="s">
        <v>17</v>
      </c>
      <c r="N146" s="300">
        <f t="shared" si="21"/>
        <v>0</v>
      </c>
      <c r="O146" s="484">
        <v>1</v>
      </c>
      <c r="P146" s="484">
        <v>1</v>
      </c>
      <c r="Q146" s="292">
        <f t="shared" si="22"/>
        <v>0</v>
      </c>
      <c r="R146" s="292">
        <f t="shared" si="23"/>
        <v>0</v>
      </c>
      <c r="S146" s="301">
        <f t="shared" si="18"/>
        <v>0</v>
      </c>
      <c r="T146" s="301">
        <f t="shared" si="19"/>
        <v>0</v>
      </c>
      <c r="U146" s="771">
        <f t="shared" si="20"/>
        <v>0</v>
      </c>
      <c r="V146" s="303"/>
      <c r="W146" s="304">
        <f>(Q146+R146)*'1.0-Contractblad'!$L$37</f>
        <v>0</v>
      </c>
      <c r="X146" s="304">
        <f ca="1">VLOOKUP(E146,'1.1a-Jaarprijzen'!$B$35:$Q$57,16,FALSE)*K146</f>
        <v>0</v>
      </c>
      <c r="Z146" s="773">
        <f t="shared" si="24"/>
        <v>0</v>
      </c>
      <c r="AA146" s="492" t="str">
        <f t="shared" si="25"/>
        <v>nvt-0</v>
      </c>
    </row>
    <row r="147" spans="2:27" s="490" customFormat="1" ht="15">
      <c r="B147" s="330"/>
      <c r="C147" s="331"/>
      <c r="D147" s="295">
        <f>VLOOKUP(E147,'1.1a-Jaarprijzen'!$B$13:$G$32,6,FALSE)</f>
        <v>2</v>
      </c>
      <c r="E147" s="294" t="s">
        <v>740</v>
      </c>
      <c r="F147" s="295" t="s">
        <v>261</v>
      </c>
      <c r="G147" s="295" t="s">
        <v>770</v>
      </c>
      <c r="H147" s="710" t="s">
        <v>403</v>
      </c>
      <c r="I147" s="297" t="str">
        <f t="shared" si="26"/>
        <v>leslokaal/leerplein groep 4 t/m 8</v>
      </c>
      <c r="J147" s="295" t="s">
        <v>696</v>
      </c>
      <c r="K147" s="298">
        <v>51.84</v>
      </c>
      <c r="L147" s="298"/>
      <c r="M147" s="299">
        <v>18200</v>
      </c>
      <c r="N147" s="300">
        <f t="shared" si="21"/>
        <v>200</v>
      </c>
      <c r="O147" s="484">
        <v>1</v>
      </c>
      <c r="P147" s="484">
        <v>1</v>
      </c>
      <c r="Q147" s="292">
        <f t="shared" si="22"/>
        <v>0</v>
      </c>
      <c r="R147" s="292">
        <f t="shared" si="23"/>
        <v>0</v>
      </c>
      <c r="S147" s="301">
        <f t="shared" si="18"/>
        <v>0</v>
      </c>
      <c r="T147" s="301">
        <f t="shared" si="19"/>
        <v>0</v>
      </c>
      <c r="U147" s="771" t="str">
        <f t="shared" si="20"/>
        <v>L</v>
      </c>
      <c r="V147" s="303"/>
      <c r="W147" s="304">
        <f>(Q147+R147)*'1.0-Contractblad'!$L$37</f>
        <v>0</v>
      </c>
      <c r="X147" s="304">
        <f ca="1">VLOOKUP(E147,'1.1a-Jaarprijzen'!$B$35:$Q$57,16,FALSE)*K147</f>
        <v>0</v>
      </c>
      <c r="Z147" s="773">
        <f t="shared" si="24"/>
        <v>10368</v>
      </c>
      <c r="AA147" s="492" t="str">
        <f t="shared" si="25"/>
        <v>18200-200</v>
      </c>
    </row>
    <row r="148" spans="2:27" s="490" customFormat="1" ht="15">
      <c r="B148" s="330"/>
      <c r="C148" s="331"/>
      <c r="D148" s="295">
        <f>VLOOKUP(E148,'1.1a-Jaarprijzen'!$B$13:$G$32,6,FALSE)</f>
        <v>2</v>
      </c>
      <c r="E148" s="294" t="s">
        <v>740</v>
      </c>
      <c r="F148" s="295" t="s">
        <v>261</v>
      </c>
      <c r="G148" s="295" t="s">
        <v>771</v>
      </c>
      <c r="H148" s="710" t="s">
        <v>748</v>
      </c>
      <c r="I148" s="297" t="str">
        <f t="shared" si="26"/>
        <v>aula, gemeenschappelijke ruimte, bibliotheek</v>
      </c>
      <c r="J148" s="295" t="s">
        <v>696</v>
      </c>
      <c r="K148" s="298">
        <v>37</v>
      </c>
      <c r="L148" s="298"/>
      <c r="M148" s="299">
        <v>2200</v>
      </c>
      <c r="N148" s="300">
        <f t="shared" si="21"/>
        <v>200</v>
      </c>
      <c r="O148" s="484">
        <v>1</v>
      </c>
      <c r="P148" s="484">
        <v>1</v>
      </c>
      <c r="Q148" s="292">
        <f t="shared" si="22"/>
        <v>0</v>
      </c>
      <c r="R148" s="292">
        <f t="shared" si="23"/>
        <v>0</v>
      </c>
      <c r="S148" s="301">
        <f t="shared" si="18"/>
        <v>0</v>
      </c>
      <c r="T148" s="301">
        <f t="shared" si="19"/>
        <v>0</v>
      </c>
      <c r="U148" s="771" t="str">
        <f t="shared" si="20"/>
        <v>V</v>
      </c>
      <c r="V148" s="303"/>
      <c r="W148" s="304">
        <f>(Q148+R148)*'1.0-Contractblad'!$L$37</f>
        <v>0</v>
      </c>
      <c r="X148" s="304">
        <f ca="1">VLOOKUP(E148,'1.1a-Jaarprijzen'!$B$35:$Q$57,16,FALSE)*K148</f>
        <v>0</v>
      </c>
      <c r="Z148" s="773">
        <f t="shared" si="24"/>
        <v>7400</v>
      </c>
      <c r="AA148" s="492" t="str">
        <f t="shared" si="25"/>
        <v>2200-200</v>
      </c>
    </row>
    <row r="149" spans="2:27" s="490" customFormat="1" ht="15">
      <c r="B149" s="330"/>
      <c r="C149" s="331"/>
      <c r="D149" s="295">
        <f>VLOOKUP(E149,'1.1a-Jaarprijzen'!$B$13:$G$32,6,FALSE)</f>
        <v>2</v>
      </c>
      <c r="E149" s="294" t="s">
        <v>740</v>
      </c>
      <c r="F149" s="295" t="s">
        <v>261</v>
      </c>
      <c r="G149" s="295" t="s">
        <v>772</v>
      </c>
      <c r="H149" s="710" t="s">
        <v>403</v>
      </c>
      <c r="I149" s="297" t="str">
        <f t="shared" si="26"/>
        <v>leslokaal/leerplein groep 4 t/m 8</v>
      </c>
      <c r="J149" s="295" t="s">
        <v>696</v>
      </c>
      <c r="K149" s="298">
        <v>51.84</v>
      </c>
      <c r="L149" s="298"/>
      <c r="M149" s="299">
        <v>18200</v>
      </c>
      <c r="N149" s="300">
        <f t="shared" si="21"/>
        <v>200</v>
      </c>
      <c r="O149" s="484">
        <v>1</v>
      </c>
      <c r="P149" s="484">
        <v>1</v>
      </c>
      <c r="Q149" s="292">
        <f t="shared" si="22"/>
        <v>0</v>
      </c>
      <c r="R149" s="292">
        <f t="shared" si="23"/>
        <v>0</v>
      </c>
      <c r="S149" s="301">
        <f t="shared" si="18"/>
        <v>0</v>
      </c>
      <c r="T149" s="301">
        <f t="shared" si="19"/>
        <v>0</v>
      </c>
      <c r="U149" s="771" t="str">
        <f t="shared" si="20"/>
        <v>L</v>
      </c>
      <c r="V149" s="303"/>
      <c r="W149" s="304">
        <f>(Q149+R149)*'1.0-Contractblad'!$L$37</f>
        <v>0</v>
      </c>
      <c r="X149" s="304">
        <f ca="1">VLOOKUP(E149,'1.1a-Jaarprijzen'!$B$35:$Q$57,16,FALSE)*K149</f>
        <v>0</v>
      </c>
      <c r="Z149" s="773">
        <f t="shared" si="24"/>
        <v>10368</v>
      </c>
      <c r="AA149" s="492" t="str">
        <f t="shared" si="25"/>
        <v>18200-200</v>
      </c>
    </row>
    <row r="150" spans="2:27" s="490" customFormat="1" ht="15">
      <c r="B150" s="330"/>
      <c r="C150" s="331"/>
      <c r="D150" s="295">
        <f>VLOOKUP(E150,'1.1a-Jaarprijzen'!$B$13:$G$32,6,FALSE)</f>
        <v>2</v>
      </c>
      <c r="E150" s="294" t="s">
        <v>740</v>
      </c>
      <c r="F150" s="295" t="s">
        <v>261</v>
      </c>
      <c r="G150" s="295" t="s">
        <v>773</v>
      </c>
      <c r="H150" s="710" t="s">
        <v>401</v>
      </c>
      <c r="I150" s="297" t="str">
        <f t="shared" si="26"/>
        <v>niet van toepassing</v>
      </c>
      <c r="J150" s="295" t="s">
        <v>696</v>
      </c>
      <c r="K150" s="298"/>
      <c r="L150" s="298">
        <v>3.5</v>
      </c>
      <c r="M150" s="299" t="s">
        <v>17</v>
      </c>
      <c r="N150" s="300">
        <f t="shared" si="21"/>
        <v>0</v>
      </c>
      <c r="O150" s="484">
        <v>1</v>
      </c>
      <c r="P150" s="484">
        <v>1</v>
      </c>
      <c r="Q150" s="292">
        <f t="shared" si="22"/>
        <v>0</v>
      </c>
      <c r="R150" s="292">
        <f t="shared" si="23"/>
        <v>0</v>
      </c>
      <c r="S150" s="301">
        <f t="shared" si="18"/>
        <v>0</v>
      </c>
      <c r="T150" s="301">
        <f t="shared" si="19"/>
        <v>0</v>
      </c>
      <c r="U150" s="771">
        <f t="shared" si="20"/>
        <v>0</v>
      </c>
      <c r="V150" s="303"/>
      <c r="W150" s="304">
        <f>(Q150+R150)*'1.0-Contractblad'!$L$37</f>
        <v>0</v>
      </c>
      <c r="X150" s="304">
        <f ca="1">VLOOKUP(E150,'1.1a-Jaarprijzen'!$B$35:$Q$57,16,FALSE)*K150</f>
        <v>0</v>
      </c>
      <c r="Z150" s="773">
        <f t="shared" si="24"/>
        <v>0</v>
      </c>
      <c r="AA150" s="492" t="str">
        <f t="shared" si="25"/>
        <v>nvt-0</v>
      </c>
    </row>
    <row r="151" spans="2:27" s="490" customFormat="1" ht="15">
      <c r="B151" s="330"/>
      <c r="C151" s="331"/>
      <c r="D151" s="295">
        <f>VLOOKUP(E151,'1.1a-Jaarprijzen'!$B$13:$G$32,6,FALSE)</f>
        <v>2</v>
      </c>
      <c r="E151" s="294" t="s">
        <v>740</v>
      </c>
      <c r="F151" s="295" t="s">
        <v>261</v>
      </c>
      <c r="G151" s="295" t="s">
        <v>774</v>
      </c>
      <c r="H151" s="710" t="s">
        <v>397</v>
      </c>
      <c r="I151" s="297" t="str">
        <f t="shared" si="26"/>
        <v>administratieve -,  vergaderruimte</v>
      </c>
      <c r="J151" s="295" t="s">
        <v>696</v>
      </c>
      <c r="K151" s="298">
        <v>13.225</v>
      </c>
      <c r="L151" s="298"/>
      <c r="M151" s="299">
        <v>1040</v>
      </c>
      <c r="N151" s="300">
        <f t="shared" si="21"/>
        <v>40</v>
      </c>
      <c r="O151" s="484">
        <v>1</v>
      </c>
      <c r="P151" s="484">
        <v>1</v>
      </c>
      <c r="Q151" s="292">
        <f t="shared" si="22"/>
        <v>0</v>
      </c>
      <c r="R151" s="292">
        <f t="shared" si="23"/>
        <v>0</v>
      </c>
      <c r="S151" s="301">
        <f t="shared" si="18"/>
        <v>0</v>
      </c>
      <c r="T151" s="301">
        <f t="shared" si="19"/>
        <v>0</v>
      </c>
      <c r="U151" s="771" t="str">
        <f t="shared" si="20"/>
        <v>V</v>
      </c>
      <c r="V151" s="303"/>
      <c r="W151" s="304">
        <f>(Q151+R151)*'1.0-Contractblad'!$L$37</f>
        <v>0</v>
      </c>
      <c r="X151" s="304">
        <f ca="1">VLOOKUP(E151,'1.1a-Jaarprijzen'!$B$35:$Q$57,16,FALSE)*K151</f>
        <v>0</v>
      </c>
      <c r="Z151" s="773">
        <f t="shared" si="24"/>
        <v>529</v>
      </c>
      <c r="AA151" s="492" t="str">
        <f t="shared" si="25"/>
        <v>1040-40</v>
      </c>
    </row>
    <row r="152" spans="2:27" s="490" customFormat="1" ht="15">
      <c r="B152" s="330"/>
      <c r="C152" s="331"/>
      <c r="D152" s="295">
        <f>VLOOKUP(E152,'1.1a-Jaarprijzen'!$B$13:$G$32,6,FALSE)</f>
        <v>2</v>
      </c>
      <c r="E152" s="294" t="s">
        <v>740</v>
      </c>
      <c r="F152" s="295" t="s">
        <v>261</v>
      </c>
      <c r="G152" s="295" t="s">
        <v>775</v>
      </c>
      <c r="H152" s="710" t="s">
        <v>403</v>
      </c>
      <c r="I152" s="297" t="str">
        <f t="shared" si="26"/>
        <v>leslokaal/leerplein groep 4 t/m 8</v>
      </c>
      <c r="J152" s="295" t="s">
        <v>696</v>
      </c>
      <c r="K152" s="298">
        <v>51.84</v>
      </c>
      <c r="L152" s="298"/>
      <c r="M152" s="299">
        <v>18200</v>
      </c>
      <c r="N152" s="300">
        <f t="shared" si="21"/>
        <v>200</v>
      </c>
      <c r="O152" s="484">
        <v>1</v>
      </c>
      <c r="P152" s="484">
        <v>1</v>
      </c>
      <c r="Q152" s="292">
        <f t="shared" si="22"/>
        <v>0</v>
      </c>
      <c r="R152" s="292">
        <f t="shared" si="23"/>
        <v>0</v>
      </c>
      <c r="S152" s="301">
        <f t="shared" si="18"/>
        <v>0</v>
      </c>
      <c r="T152" s="301">
        <f t="shared" si="19"/>
        <v>0</v>
      </c>
      <c r="U152" s="771" t="str">
        <f t="shared" si="20"/>
        <v>L</v>
      </c>
      <c r="V152" s="303"/>
      <c r="W152" s="304">
        <f>(Q152+R152)*'1.0-Contractblad'!$L$37</f>
        <v>0</v>
      </c>
      <c r="X152" s="304">
        <f ca="1">VLOOKUP(E152,'1.1a-Jaarprijzen'!$B$35:$Q$57,16,FALSE)*K152</f>
        <v>0</v>
      </c>
      <c r="Z152" s="773">
        <f t="shared" si="24"/>
        <v>10368</v>
      </c>
      <c r="AA152" s="492" t="str">
        <f t="shared" si="25"/>
        <v>18200-200</v>
      </c>
    </row>
    <row r="153" spans="2:27" s="490" customFormat="1" ht="15">
      <c r="B153" s="330"/>
      <c r="C153" s="331"/>
      <c r="D153" s="295">
        <f>VLOOKUP(E153,'1.1a-Jaarprijzen'!$B$13:$G$32,6,FALSE)</f>
        <v>2</v>
      </c>
      <c r="E153" s="294" t="s">
        <v>740</v>
      </c>
      <c r="F153" s="295" t="s">
        <v>261</v>
      </c>
      <c r="G153" s="295" t="s">
        <v>776</v>
      </c>
      <c r="H153" s="710" t="s">
        <v>477</v>
      </c>
      <c r="I153" s="297" t="str">
        <f t="shared" si="26"/>
        <v>sanitaire ruimte (toilet-/doucheruimte)</v>
      </c>
      <c r="J153" s="295" t="s">
        <v>475</v>
      </c>
      <c r="K153" s="298">
        <v>9.9</v>
      </c>
      <c r="L153" s="298"/>
      <c r="M153" s="299">
        <v>4200</v>
      </c>
      <c r="N153" s="300">
        <f t="shared" si="21"/>
        <v>200</v>
      </c>
      <c r="O153" s="484">
        <v>1</v>
      </c>
      <c r="P153" s="484">
        <v>1</v>
      </c>
      <c r="Q153" s="292">
        <f t="shared" si="22"/>
        <v>0</v>
      </c>
      <c r="R153" s="292">
        <f t="shared" si="23"/>
        <v>0</v>
      </c>
      <c r="S153" s="301">
        <f t="shared" si="18"/>
        <v>0</v>
      </c>
      <c r="T153" s="301">
        <f t="shared" si="19"/>
        <v>0</v>
      </c>
      <c r="U153" s="771" t="str">
        <f t="shared" si="20"/>
        <v>S</v>
      </c>
      <c r="V153" s="303"/>
      <c r="W153" s="304">
        <f>(Q153+R153)*'1.0-Contractblad'!$L$37</f>
        <v>0</v>
      </c>
      <c r="X153" s="304">
        <f ca="1">VLOOKUP(E153,'1.1a-Jaarprijzen'!$B$35:$Q$57,16,FALSE)*K153</f>
        <v>0</v>
      </c>
      <c r="Z153" s="773">
        <f t="shared" si="24"/>
        <v>1980</v>
      </c>
      <c r="AA153" s="492" t="str">
        <f t="shared" si="25"/>
        <v>4200-200</v>
      </c>
    </row>
    <row r="154" spans="2:27" s="490" customFormat="1" ht="15">
      <c r="B154" s="330"/>
      <c r="C154" s="331"/>
      <c r="D154" s="295">
        <f>VLOOKUP(E154,'1.1a-Jaarprijzen'!$B$13:$G$32,6,FALSE)</f>
        <v>2</v>
      </c>
      <c r="E154" s="294" t="s">
        <v>740</v>
      </c>
      <c r="F154" s="295" t="s">
        <v>261</v>
      </c>
      <c r="G154" s="295" t="s">
        <v>777</v>
      </c>
      <c r="H154" s="710" t="s">
        <v>477</v>
      </c>
      <c r="I154" s="297" t="str">
        <f t="shared" si="26"/>
        <v>sanitaire ruimte (toilet-/doucheruimte)</v>
      </c>
      <c r="J154" s="295" t="s">
        <v>475</v>
      </c>
      <c r="K154" s="298">
        <v>4.32</v>
      </c>
      <c r="L154" s="298"/>
      <c r="M154" s="299">
        <v>4200</v>
      </c>
      <c r="N154" s="300">
        <f t="shared" si="21"/>
        <v>200</v>
      </c>
      <c r="O154" s="484">
        <v>1</v>
      </c>
      <c r="P154" s="484">
        <v>1</v>
      </c>
      <c r="Q154" s="292">
        <f t="shared" si="22"/>
        <v>0</v>
      </c>
      <c r="R154" s="292">
        <f t="shared" si="23"/>
        <v>0</v>
      </c>
      <c r="S154" s="301">
        <f t="shared" si="18"/>
        <v>0</v>
      </c>
      <c r="T154" s="301">
        <f t="shared" si="19"/>
        <v>0</v>
      </c>
      <c r="U154" s="771" t="str">
        <f t="shared" si="20"/>
        <v>S</v>
      </c>
      <c r="V154" s="303"/>
      <c r="W154" s="304">
        <f>(Q154+R154)*'1.0-Contractblad'!$L$37</f>
        <v>0</v>
      </c>
      <c r="X154" s="304">
        <f ca="1">VLOOKUP(E154,'1.1a-Jaarprijzen'!$B$35:$Q$57,16,FALSE)*K154</f>
        <v>0</v>
      </c>
      <c r="Z154" s="773">
        <f t="shared" si="24"/>
        <v>864</v>
      </c>
      <c r="AA154" s="492" t="str">
        <f t="shared" si="25"/>
        <v>4200-200</v>
      </c>
    </row>
    <row r="155" spans="2:27" s="490" customFormat="1" ht="15">
      <c r="B155" s="330"/>
      <c r="C155" s="331"/>
      <c r="D155" s="295">
        <f>VLOOKUP(E155,'1.1a-Jaarprijzen'!$B$13:$G$32,6,FALSE)</f>
        <v>2</v>
      </c>
      <c r="E155" s="294" t="s">
        <v>740</v>
      </c>
      <c r="F155" s="295" t="s">
        <v>261</v>
      </c>
      <c r="G155" s="295" t="s">
        <v>778</v>
      </c>
      <c r="H155" s="710" t="s">
        <v>388</v>
      </c>
      <c r="I155" s="297" t="str">
        <f t="shared" si="26"/>
        <v>niet van toepassing</v>
      </c>
      <c r="J155" s="295" t="s">
        <v>475</v>
      </c>
      <c r="K155" s="298"/>
      <c r="L155" s="298">
        <v>2.16</v>
      </c>
      <c r="M155" s="299" t="s">
        <v>17</v>
      </c>
      <c r="N155" s="300">
        <f t="shared" si="21"/>
        <v>0</v>
      </c>
      <c r="O155" s="484">
        <v>1</v>
      </c>
      <c r="P155" s="484">
        <v>1</v>
      </c>
      <c r="Q155" s="292">
        <f t="shared" si="22"/>
        <v>0</v>
      </c>
      <c r="R155" s="292">
        <f t="shared" si="23"/>
        <v>0</v>
      </c>
      <c r="S155" s="301">
        <f t="shared" si="18"/>
        <v>0</v>
      </c>
      <c r="T155" s="301">
        <f t="shared" si="19"/>
        <v>0</v>
      </c>
      <c r="U155" s="771">
        <f t="shared" si="20"/>
        <v>0</v>
      </c>
      <c r="V155" s="303"/>
      <c r="W155" s="304">
        <f>(Q155+R155)*'1.0-Contractblad'!$L$37</f>
        <v>0</v>
      </c>
      <c r="X155" s="304">
        <f ca="1">VLOOKUP(E155,'1.1a-Jaarprijzen'!$B$35:$Q$57,16,FALSE)*K155</f>
        <v>0</v>
      </c>
      <c r="Z155" s="773">
        <f t="shared" si="24"/>
        <v>0</v>
      </c>
      <c r="AA155" s="492" t="str">
        <f t="shared" si="25"/>
        <v>nvt-0</v>
      </c>
    </row>
    <row r="156" spans="2:27" s="490" customFormat="1" ht="15">
      <c r="B156" s="330"/>
      <c r="C156" s="331"/>
      <c r="D156" s="295">
        <f>VLOOKUP(E156,'1.1a-Jaarprijzen'!$B$13:$G$32,6,FALSE)</f>
        <v>2</v>
      </c>
      <c r="E156" s="294" t="s">
        <v>740</v>
      </c>
      <c r="F156" s="295" t="s">
        <v>261</v>
      </c>
      <c r="G156" s="295" t="s">
        <v>779</v>
      </c>
      <c r="H156" s="710" t="s">
        <v>387</v>
      </c>
      <c r="I156" s="297" t="str">
        <f t="shared" si="26"/>
        <v>entree, gang, hal, repro</v>
      </c>
      <c r="J156" s="295" t="s">
        <v>696</v>
      </c>
      <c r="K156" s="298">
        <v>28.38</v>
      </c>
      <c r="L156" s="298"/>
      <c r="M156" s="299">
        <v>3200</v>
      </c>
      <c r="N156" s="300">
        <f t="shared" si="21"/>
        <v>200</v>
      </c>
      <c r="O156" s="484">
        <v>1</v>
      </c>
      <c r="P156" s="484">
        <v>1</v>
      </c>
      <c r="Q156" s="292">
        <f t="shared" si="22"/>
        <v>0</v>
      </c>
      <c r="R156" s="292">
        <f t="shared" si="23"/>
        <v>0</v>
      </c>
      <c r="S156" s="301">
        <f t="shared" si="18"/>
        <v>0</v>
      </c>
      <c r="T156" s="301">
        <f t="shared" si="19"/>
        <v>0</v>
      </c>
      <c r="U156" s="771" t="str">
        <f t="shared" si="20"/>
        <v>V</v>
      </c>
      <c r="V156" s="303"/>
      <c r="W156" s="304">
        <f>(Q156+R156)*'1.0-Contractblad'!$L$37</f>
        <v>0</v>
      </c>
      <c r="X156" s="304">
        <f ca="1">VLOOKUP(E156,'1.1a-Jaarprijzen'!$B$35:$Q$57,16,FALSE)*K156</f>
        <v>0</v>
      </c>
      <c r="Z156" s="773">
        <f t="shared" si="24"/>
        <v>5676</v>
      </c>
      <c r="AA156" s="492" t="str">
        <f t="shared" si="25"/>
        <v>3200-200</v>
      </c>
    </row>
    <row r="157" spans="2:27" s="490" customFormat="1" ht="15">
      <c r="B157" s="330"/>
      <c r="C157" s="331"/>
      <c r="D157" s="295">
        <f>VLOOKUP(E157,'1.1a-Jaarprijzen'!$B$13:$G$32,6,FALSE)</f>
        <v>2</v>
      </c>
      <c r="E157" s="294" t="s">
        <v>740</v>
      </c>
      <c r="F157" s="295" t="s">
        <v>261</v>
      </c>
      <c r="G157" s="295" t="s">
        <v>780</v>
      </c>
      <c r="H157" s="710" t="s">
        <v>403</v>
      </c>
      <c r="I157" s="297" t="str">
        <f t="shared" si="26"/>
        <v>leslokaal/leerplein groep 4 t/m 8</v>
      </c>
      <c r="J157" s="295" t="s">
        <v>696</v>
      </c>
      <c r="K157" s="298">
        <v>54.760000000000005</v>
      </c>
      <c r="L157" s="298"/>
      <c r="M157" s="299">
        <v>18200</v>
      </c>
      <c r="N157" s="300">
        <f t="shared" si="21"/>
        <v>200</v>
      </c>
      <c r="O157" s="484">
        <v>1</v>
      </c>
      <c r="P157" s="484">
        <v>1</v>
      </c>
      <c r="Q157" s="292">
        <f t="shared" si="22"/>
        <v>0</v>
      </c>
      <c r="R157" s="292">
        <f t="shared" si="23"/>
        <v>0</v>
      </c>
      <c r="S157" s="301">
        <f t="shared" si="18"/>
        <v>0</v>
      </c>
      <c r="T157" s="301">
        <f t="shared" si="19"/>
        <v>0</v>
      </c>
      <c r="U157" s="771" t="str">
        <f t="shared" si="20"/>
        <v>L</v>
      </c>
      <c r="V157" s="303"/>
      <c r="W157" s="304">
        <f>(Q157+R157)*'1.0-Contractblad'!$L$37</f>
        <v>0</v>
      </c>
      <c r="X157" s="304">
        <f ca="1">VLOOKUP(E157,'1.1a-Jaarprijzen'!$B$35:$Q$57,16,FALSE)*K157</f>
        <v>0</v>
      </c>
      <c r="Z157" s="773">
        <f t="shared" si="24"/>
        <v>10952.000000000002</v>
      </c>
      <c r="AA157" s="492" t="str">
        <f t="shared" si="25"/>
        <v>18200-200</v>
      </c>
    </row>
    <row r="158" spans="2:27" s="490" customFormat="1" ht="15">
      <c r="B158" s="330"/>
      <c r="C158" s="331"/>
      <c r="D158" s="295">
        <f>VLOOKUP(E158,'1.1a-Jaarprijzen'!$B$13:$G$32,6,FALSE)</f>
        <v>2</v>
      </c>
      <c r="E158" s="294" t="s">
        <v>740</v>
      </c>
      <c r="F158" s="295" t="s">
        <v>261</v>
      </c>
      <c r="G158" s="295" t="s">
        <v>781</v>
      </c>
      <c r="H158" s="710" t="s">
        <v>403</v>
      </c>
      <c r="I158" s="297" t="str">
        <f t="shared" si="26"/>
        <v>leslokaal/leerplein groep 4 t/m 8</v>
      </c>
      <c r="J158" s="295" t="s">
        <v>696</v>
      </c>
      <c r="K158" s="298">
        <v>54.760000000000005</v>
      </c>
      <c r="L158" s="298"/>
      <c r="M158" s="299">
        <v>18200</v>
      </c>
      <c r="N158" s="300">
        <f t="shared" si="21"/>
        <v>200</v>
      </c>
      <c r="O158" s="484">
        <v>1</v>
      </c>
      <c r="P158" s="484">
        <v>1</v>
      </c>
      <c r="Q158" s="292">
        <f t="shared" si="22"/>
        <v>0</v>
      </c>
      <c r="R158" s="292">
        <f t="shared" si="23"/>
        <v>0</v>
      </c>
      <c r="S158" s="301">
        <f t="shared" si="18"/>
        <v>0</v>
      </c>
      <c r="T158" s="301">
        <f t="shared" si="19"/>
        <v>0</v>
      </c>
      <c r="U158" s="771" t="str">
        <f t="shared" si="20"/>
        <v>L</v>
      </c>
      <c r="V158" s="303"/>
      <c r="W158" s="304">
        <f>(Q158+R158)*'1.0-Contractblad'!$L$37</f>
        <v>0</v>
      </c>
      <c r="X158" s="304">
        <f ca="1">VLOOKUP(E158,'1.1a-Jaarprijzen'!$B$35:$Q$57,16,FALSE)*K158</f>
        <v>0</v>
      </c>
      <c r="Z158" s="773">
        <f t="shared" si="24"/>
        <v>10952.000000000002</v>
      </c>
      <c r="AA158" s="492" t="str">
        <f t="shared" si="25"/>
        <v>18200-200</v>
      </c>
    </row>
    <row r="159" spans="2:27" s="490" customFormat="1" ht="15">
      <c r="B159" s="330"/>
      <c r="C159" s="331"/>
      <c r="D159" s="295">
        <f>VLOOKUP(E159,'1.1a-Jaarprijzen'!$B$13:$G$32,6,FALSE)</f>
        <v>2</v>
      </c>
      <c r="E159" s="294" t="s">
        <v>740</v>
      </c>
      <c r="F159" s="295" t="s">
        <v>261</v>
      </c>
      <c r="G159" s="295" t="s">
        <v>782</v>
      </c>
      <c r="H159" s="710" t="s">
        <v>748</v>
      </c>
      <c r="I159" s="297" t="str">
        <f t="shared" si="26"/>
        <v>aula, gemeenschappelijke ruimte, bibliotheek</v>
      </c>
      <c r="J159" s="295" t="s">
        <v>696</v>
      </c>
      <c r="K159" s="298">
        <v>54.760000000000005</v>
      </c>
      <c r="L159" s="298"/>
      <c r="M159" s="299">
        <v>2200</v>
      </c>
      <c r="N159" s="300">
        <f t="shared" si="21"/>
        <v>200</v>
      </c>
      <c r="O159" s="484">
        <v>1</v>
      </c>
      <c r="P159" s="484">
        <v>1</v>
      </c>
      <c r="Q159" s="292">
        <f t="shared" si="22"/>
        <v>0</v>
      </c>
      <c r="R159" s="292">
        <f t="shared" si="23"/>
        <v>0</v>
      </c>
      <c r="S159" s="301">
        <f t="shared" si="18"/>
        <v>0</v>
      </c>
      <c r="T159" s="301">
        <f t="shared" si="19"/>
        <v>0</v>
      </c>
      <c r="U159" s="771" t="str">
        <f t="shared" si="20"/>
        <v>V</v>
      </c>
      <c r="V159" s="303"/>
      <c r="W159" s="304">
        <f>(Q159+R159)*'1.0-Contractblad'!$L$37</f>
        <v>0</v>
      </c>
      <c r="X159" s="304">
        <f ca="1">VLOOKUP(E159,'1.1a-Jaarprijzen'!$B$35:$Q$57,16,FALSE)*K159</f>
        <v>0</v>
      </c>
      <c r="Z159" s="773">
        <f t="shared" si="24"/>
        <v>10952.000000000002</v>
      </c>
      <c r="AA159" s="492" t="str">
        <f t="shared" si="25"/>
        <v>2200-200</v>
      </c>
    </row>
    <row r="160" spans="2:27" s="490" customFormat="1" ht="15">
      <c r="B160" s="330"/>
      <c r="C160" s="331"/>
      <c r="D160" s="295">
        <f>VLOOKUP(E160,'1.1a-Jaarprijzen'!$B$13:$G$32,6,FALSE)</f>
        <v>2</v>
      </c>
      <c r="E160" s="294" t="s">
        <v>740</v>
      </c>
      <c r="F160" s="295" t="s">
        <v>261</v>
      </c>
      <c r="G160" s="295" t="s">
        <v>783</v>
      </c>
      <c r="H160" s="710" t="s">
        <v>403</v>
      </c>
      <c r="I160" s="297" t="str">
        <f t="shared" si="26"/>
        <v>leslokaal/leerplein groep 4 t/m 8</v>
      </c>
      <c r="J160" s="295" t="s">
        <v>696</v>
      </c>
      <c r="K160" s="298">
        <v>54.760000000000005</v>
      </c>
      <c r="L160" s="298"/>
      <c r="M160" s="299">
        <v>18200</v>
      </c>
      <c r="N160" s="300">
        <f t="shared" si="21"/>
        <v>200</v>
      </c>
      <c r="O160" s="484">
        <v>1</v>
      </c>
      <c r="P160" s="484">
        <v>1</v>
      </c>
      <c r="Q160" s="292">
        <f t="shared" si="22"/>
        <v>0</v>
      </c>
      <c r="R160" s="292">
        <f t="shared" si="23"/>
        <v>0</v>
      </c>
      <c r="S160" s="301">
        <f t="shared" si="18"/>
        <v>0</v>
      </c>
      <c r="T160" s="301">
        <f t="shared" si="19"/>
        <v>0</v>
      </c>
      <c r="U160" s="771" t="str">
        <f t="shared" si="20"/>
        <v>L</v>
      </c>
      <c r="V160" s="303"/>
      <c r="W160" s="304">
        <f>(Q160+R160)*'1.0-Contractblad'!$L$37</f>
        <v>0</v>
      </c>
      <c r="X160" s="304">
        <f ca="1">VLOOKUP(E160,'1.1a-Jaarprijzen'!$B$35:$Q$57,16,FALSE)*K160</f>
        <v>0</v>
      </c>
      <c r="Z160" s="773">
        <f t="shared" si="24"/>
        <v>10952.000000000002</v>
      </c>
      <c r="AA160" s="492" t="str">
        <f t="shared" si="25"/>
        <v>18200-200</v>
      </c>
    </row>
    <row r="161" spans="2:27" s="490" customFormat="1" ht="15">
      <c r="B161" s="330"/>
      <c r="C161" s="331"/>
      <c r="D161" s="295">
        <f>VLOOKUP(E161,'1.1a-Jaarprijzen'!$B$13:$G$32,6,FALSE)</f>
        <v>2</v>
      </c>
      <c r="E161" s="294" t="s">
        <v>740</v>
      </c>
      <c r="F161" s="295" t="s">
        <v>261</v>
      </c>
      <c r="G161" s="295" t="s">
        <v>784</v>
      </c>
      <c r="H161" s="710" t="s">
        <v>411</v>
      </c>
      <c r="I161" s="297" t="str">
        <f t="shared" si="26"/>
        <v>leslokaal/leerplein groep 4 t/m 8</v>
      </c>
      <c r="J161" s="295" t="s">
        <v>696</v>
      </c>
      <c r="K161" s="298">
        <v>42.92</v>
      </c>
      <c r="L161" s="298"/>
      <c r="M161" s="299">
        <v>18200</v>
      </c>
      <c r="N161" s="300">
        <f t="shared" si="21"/>
        <v>200</v>
      </c>
      <c r="O161" s="484">
        <v>1</v>
      </c>
      <c r="P161" s="484">
        <v>1</v>
      </c>
      <c r="Q161" s="292">
        <f t="shared" si="22"/>
        <v>0</v>
      </c>
      <c r="R161" s="292">
        <f t="shared" si="23"/>
        <v>0</v>
      </c>
      <c r="S161" s="301">
        <f t="shared" si="18"/>
        <v>0</v>
      </c>
      <c r="T161" s="301">
        <f t="shared" si="19"/>
        <v>0</v>
      </c>
      <c r="U161" s="771" t="str">
        <f t="shared" si="20"/>
        <v>L</v>
      </c>
      <c r="V161" s="303"/>
      <c r="W161" s="304">
        <f>(Q161+R161)*'1.0-Contractblad'!$L$37</f>
        <v>0</v>
      </c>
      <c r="X161" s="304">
        <f ca="1">VLOOKUP(E161,'1.1a-Jaarprijzen'!$B$35:$Q$57,16,FALSE)*K161</f>
        <v>0</v>
      </c>
      <c r="Z161" s="773">
        <f t="shared" si="24"/>
        <v>8584</v>
      </c>
      <c r="AA161" s="492" t="str">
        <f t="shared" si="25"/>
        <v>18200-200</v>
      </c>
    </row>
    <row r="162" spans="2:27" s="490" customFormat="1" ht="15">
      <c r="B162" s="330"/>
      <c r="C162" s="331"/>
      <c r="D162" s="295">
        <f>VLOOKUP(E162,'1.1a-Jaarprijzen'!$B$13:$G$32,6,FALSE)</f>
        <v>2</v>
      </c>
      <c r="E162" s="294" t="s">
        <v>740</v>
      </c>
      <c r="F162" s="295" t="s">
        <v>261</v>
      </c>
      <c r="G162" s="295" t="s">
        <v>785</v>
      </c>
      <c r="H162" s="710" t="s">
        <v>401</v>
      </c>
      <c r="I162" s="297" t="str">
        <f t="shared" si="26"/>
        <v>niet van toepassing</v>
      </c>
      <c r="J162" s="295" t="s">
        <v>696</v>
      </c>
      <c r="K162" s="298"/>
      <c r="L162" s="298">
        <v>9.5399999999999991</v>
      </c>
      <c r="M162" s="299" t="s">
        <v>17</v>
      </c>
      <c r="N162" s="300">
        <f t="shared" si="21"/>
        <v>0</v>
      </c>
      <c r="O162" s="484">
        <v>1</v>
      </c>
      <c r="P162" s="484">
        <v>1</v>
      </c>
      <c r="Q162" s="292">
        <f t="shared" si="22"/>
        <v>0</v>
      </c>
      <c r="R162" s="292">
        <f t="shared" si="23"/>
        <v>0</v>
      </c>
      <c r="S162" s="301">
        <f t="shared" si="18"/>
        <v>0</v>
      </c>
      <c r="T162" s="301">
        <f t="shared" si="19"/>
        <v>0</v>
      </c>
      <c r="U162" s="771">
        <f t="shared" si="20"/>
        <v>0</v>
      </c>
      <c r="V162" s="303"/>
      <c r="W162" s="304">
        <f>(Q162+R162)*'1.0-Contractblad'!$L$37</f>
        <v>0</v>
      </c>
      <c r="X162" s="304">
        <f ca="1">VLOOKUP(E162,'1.1a-Jaarprijzen'!$B$35:$Q$57,16,FALSE)*K162</f>
        <v>0</v>
      </c>
      <c r="Z162" s="773">
        <f t="shared" si="24"/>
        <v>0</v>
      </c>
      <c r="AA162" s="492" t="str">
        <f t="shared" si="25"/>
        <v>nvt-0</v>
      </c>
    </row>
    <row r="163" spans="2:27" s="490" customFormat="1" ht="15">
      <c r="B163" s="330"/>
      <c r="C163" s="331"/>
      <c r="D163" s="295">
        <f>VLOOKUP(E163,'1.1a-Jaarprijzen'!$B$13:$G$32,6,FALSE)</f>
        <v>2</v>
      </c>
      <c r="E163" s="294" t="s">
        <v>740</v>
      </c>
      <c r="F163" s="295" t="s">
        <v>261</v>
      </c>
      <c r="G163" s="295" t="s">
        <v>786</v>
      </c>
      <c r="H163" s="710" t="s">
        <v>477</v>
      </c>
      <c r="I163" s="297" t="str">
        <f t="shared" si="26"/>
        <v>sanitaire ruimte (toilet-/doucheruimte)</v>
      </c>
      <c r="J163" s="295" t="s">
        <v>475</v>
      </c>
      <c r="K163" s="298">
        <v>13.5</v>
      </c>
      <c r="L163" s="298"/>
      <c r="M163" s="299">
        <v>4200</v>
      </c>
      <c r="N163" s="300">
        <f t="shared" si="21"/>
        <v>200</v>
      </c>
      <c r="O163" s="484">
        <v>1</v>
      </c>
      <c r="P163" s="484">
        <v>1</v>
      </c>
      <c r="Q163" s="292">
        <f t="shared" si="22"/>
        <v>0</v>
      </c>
      <c r="R163" s="292">
        <f t="shared" si="23"/>
        <v>0</v>
      </c>
      <c r="S163" s="301">
        <f t="shared" si="18"/>
        <v>0</v>
      </c>
      <c r="T163" s="301">
        <f t="shared" si="19"/>
        <v>0</v>
      </c>
      <c r="U163" s="771" t="str">
        <f t="shared" si="20"/>
        <v>S</v>
      </c>
      <c r="V163" s="303"/>
      <c r="W163" s="304">
        <f>(Q163+R163)*'1.0-Contractblad'!$L$37</f>
        <v>0</v>
      </c>
      <c r="X163" s="304">
        <f ca="1">VLOOKUP(E163,'1.1a-Jaarprijzen'!$B$35:$Q$57,16,FALSE)*K163</f>
        <v>0</v>
      </c>
      <c r="Z163" s="773">
        <f t="shared" si="24"/>
        <v>2700</v>
      </c>
      <c r="AA163" s="492" t="str">
        <f t="shared" si="25"/>
        <v>4200-200</v>
      </c>
    </row>
    <row r="164" spans="2:27" s="490" customFormat="1" ht="15">
      <c r="B164" s="330"/>
      <c r="C164" s="331"/>
      <c r="D164" s="295">
        <f>VLOOKUP(E164,'1.1a-Jaarprijzen'!$B$13:$G$32,6,FALSE)</f>
        <v>2</v>
      </c>
      <c r="E164" s="294" t="s">
        <v>740</v>
      </c>
      <c r="F164" s="295" t="s">
        <v>261</v>
      </c>
      <c r="G164" s="295" t="s">
        <v>787</v>
      </c>
      <c r="H164" s="710" t="s">
        <v>477</v>
      </c>
      <c r="I164" s="297" t="str">
        <f t="shared" si="26"/>
        <v>sanitaire ruimte (toilet-/doucheruimte)</v>
      </c>
      <c r="J164" s="295" t="s">
        <v>475</v>
      </c>
      <c r="K164" s="298">
        <v>3.9199999999999995</v>
      </c>
      <c r="L164" s="298"/>
      <c r="M164" s="299">
        <v>4200</v>
      </c>
      <c r="N164" s="300">
        <f t="shared" si="21"/>
        <v>200</v>
      </c>
      <c r="O164" s="484">
        <v>1</v>
      </c>
      <c r="P164" s="484">
        <v>1</v>
      </c>
      <c r="Q164" s="292">
        <f t="shared" si="22"/>
        <v>0</v>
      </c>
      <c r="R164" s="292">
        <f t="shared" si="23"/>
        <v>0</v>
      </c>
      <c r="S164" s="301">
        <f t="shared" si="18"/>
        <v>0</v>
      </c>
      <c r="T164" s="301">
        <f t="shared" si="19"/>
        <v>0</v>
      </c>
      <c r="U164" s="771" t="str">
        <f t="shared" si="20"/>
        <v>S</v>
      </c>
      <c r="V164" s="303"/>
      <c r="W164" s="304">
        <f>(Q164+R164)*'1.0-Contractblad'!$L$37</f>
        <v>0</v>
      </c>
      <c r="X164" s="304">
        <f ca="1">VLOOKUP(E164,'1.1a-Jaarprijzen'!$B$35:$Q$57,16,FALSE)*K164</f>
        <v>0</v>
      </c>
      <c r="Z164" s="773">
        <f t="shared" si="24"/>
        <v>783.99999999999989</v>
      </c>
      <c r="AA164" s="492" t="str">
        <f t="shared" si="25"/>
        <v>4200-200</v>
      </c>
    </row>
    <row r="165" spans="2:27" s="490" customFormat="1" ht="15">
      <c r="B165" s="330"/>
      <c r="C165" s="331"/>
      <c r="D165" s="295">
        <f>VLOOKUP(E165,'1.1a-Jaarprijzen'!$B$13:$G$32,6,FALSE)</f>
        <v>2</v>
      </c>
      <c r="E165" s="294" t="s">
        <v>740</v>
      </c>
      <c r="F165" s="295" t="s">
        <v>261</v>
      </c>
      <c r="G165" s="295" t="s">
        <v>788</v>
      </c>
      <c r="H165" s="710" t="s">
        <v>388</v>
      </c>
      <c r="I165" s="297" t="str">
        <f t="shared" si="26"/>
        <v>niet van toepassing</v>
      </c>
      <c r="J165" s="295" t="s">
        <v>475</v>
      </c>
      <c r="K165" s="298"/>
      <c r="L165" s="298">
        <v>3.08</v>
      </c>
      <c r="M165" s="299" t="s">
        <v>17</v>
      </c>
      <c r="N165" s="300">
        <f t="shared" si="21"/>
        <v>0</v>
      </c>
      <c r="O165" s="484">
        <v>1</v>
      </c>
      <c r="P165" s="484">
        <v>1</v>
      </c>
      <c r="Q165" s="292">
        <f t="shared" si="22"/>
        <v>0</v>
      </c>
      <c r="R165" s="292">
        <f t="shared" si="23"/>
        <v>0</v>
      </c>
      <c r="S165" s="301">
        <f t="shared" ref="S165:S228" si="27">IF($M165=0,0,VLOOKUP($M165,Kengetal,6,FALSE))</f>
        <v>0</v>
      </c>
      <c r="T165" s="301">
        <f t="shared" ref="T165:T228" si="28">IF($M165=0,0,VLOOKUP($M165,Kengetal,7,FALSE))</f>
        <v>0</v>
      </c>
      <c r="U165" s="771">
        <f t="shared" si="20"/>
        <v>0</v>
      </c>
      <c r="V165" s="303"/>
      <c r="W165" s="304">
        <f>(Q165+R165)*'1.0-Contractblad'!$L$37</f>
        <v>0</v>
      </c>
      <c r="X165" s="304">
        <f ca="1">VLOOKUP(E165,'1.1a-Jaarprijzen'!$B$35:$Q$57,16,FALSE)*K165</f>
        <v>0</v>
      </c>
      <c r="Z165" s="773">
        <f t="shared" si="24"/>
        <v>0</v>
      </c>
      <c r="AA165" s="492" t="str">
        <f t="shared" si="25"/>
        <v>nvt-0</v>
      </c>
    </row>
    <row r="166" spans="2:27" s="490" customFormat="1" ht="15">
      <c r="B166" s="330"/>
      <c r="C166" s="331"/>
      <c r="D166" s="295">
        <f>VLOOKUP(E166,'1.1a-Jaarprijzen'!$B$13:$G$32,6,FALSE)</f>
        <v>2</v>
      </c>
      <c r="E166" s="294" t="s">
        <v>792</v>
      </c>
      <c r="F166" s="295" t="s">
        <v>605</v>
      </c>
      <c r="G166" s="295" t="s">
        <v>597</v>
      </c>
      <c r="H166" s="710" t="s">
        <v>403</v>
      </c>
      <c r="I166" s="297" t="str">
        <f t="shared" si="26"/>
        <v>leslokaal groep 1 t/m 3</v>
      </c>
      <c r="J166" s="295" t="s">
        <v>696</v>
      </c>
      <c r="K166" s="298">
        <v>93.3</v>
      </c>
      <c r="L166" s="298"/>
      <c r="M166" s="299">
        <v>7200</v>
      </c>
      <c r="N166" s="300">
        <f t="shared" si="21"/>
        <v>200</v>
      </c>
      <c r="O166" s="484">
        <v>1</v>
      </c>
      <c r="P166" s="484">
        <v>1</v>
      </c>
      <c r="Q166" s="292">
        <f t="shared" si="22"/>
        <v>0</v>
      </c>
      <c r="R166" s="292">
        <f t="shared" si="23"/>
        <v>0</v>
      </c>
      <c r="S166" s="301">
        <f t="shared" si="27"/>
        <v>0</v>
      </c>
      <c r="T166" s="301">
        <f t="shared" si="28"/>
        <v>0</v>
      </c>
      <c r="U166" s="771" t="str">
        <f t="shared" si="20"/>
        <v>L</v>
      </c>
      <c r="V166" s="303"/>
      <c r="W166" s="304">
        <f>(Q166+R166)*'1.0-Contractblad'!$L$37</f>
        <v>0</v>
      </c>
      <c r="X166" s="304">
        <f ca="1">VLOOKUP(E166,'1.1a-Jaarprijzen'!$B$35:$Q$57,16,FALSE)*K166</f>
        <v>0</v>
      </c>
      <c r="Z166" s="773">
        <f t="shared" si="24"/>
        <v>18660</v>
      </c>
      <c r="AA166" s="492" t="str">
        <f t="shared" si="25"/>
        <v>7200-200</v>
      </c>
    </row>
    <row r="167" spans="2:27" s="490" customFormat="1" ht="15">
      <c r="B167" s="330"/>
      <c r="C167" s="331"/>
      <c r="D167" s="295">
        <f>VLOOKUP(E167,'1.1a-Jaarprijzen'!$B$13:$G$32,6,FALSE)</f>
        <v>2</v>
      </c>
      <c r="E167" s="294" t="s">
        <v>792</v>
      </c>
      <c r="F167" s="295" t="s">
        <v>605</v>
      </c>
      <c r="G167" s="295" t="s">
        <v>473</v>
      </c>
      <c r="H167" s="710" t="s">
        <v>685</v>
      </c>
      <c r="I167" s="297" t="str">
        <f t="shared" si="26"/>
        <v>leslokaal/leerplein groep 4 t/m 8</v>
      </c>
      <c r="J167" s="295" t="s">
        <v>696</v>
      </c>
      <c r="K167" s="298">
        <v>44.1</v>
      </c>
      <c r="L167" s="298"/>
      <c r="M167" s="299">
        <v>18200</v>
      </c>
      <c r="N167" s="300">
        <f t="shared" si="21"/>
        <v>200</v>
      </c>
      <c r="O167" s="484">
        <v>1</v>
      </c>
      <c r="P167" s="484">
        <v>1</v>
      </c>
      <c r="Q167" s="292">
        <f t="shared" si="22"/>
        <v>0</v>
      </c>
      <c r="R167" s="292">
        <f t="shared" si="23"/>
        <v>0</v>
      </c>
      <c r="S167" s="301">
        <f t="shared" si="27"/>
        <v>0</v>
      </c>
      <c r="T167" s="301">
        <f t="shared" si="28"/>
        <v>0</v>
      </c>
      <c r="U167" s="771" t="str">
        <f t="shared" si="20"/>
        <v>L</v>
      </c>
      <c r="V167" s="303"/>
      <c r="W167" s="304">
        <f>(Q167+R167)*'1.0-Contractblad'!$L$37</f>
        <v>0</v>
      </c>
      <c r="X167" s="304">
        <f ca="1">VLOOKUP(E167,'1.1a-Jaarprijzen'!$B$35:$Q$57,16,FALSE)*K167</f>
        <v>0</v>
      </c>
      <c r="Z167" s="773">
        <f t="shared" si="24"/>
        <v>8820</v>
      </c>
      <c r="AA167" s="492" t="str">
        <f t="shared" si="25"/>
        <v>18200-200</v>
      </c>
    </row>
    <row r="168" spans="2:27" s="490" customFormat="1" ht="15">
      <c r="B168" s="330"/>
      <c r="C168" s="331"/>
      <c r="D168" s="295">
        <f>VLOOKUP(E168,'1.1a-Jaarprijzen'!$B$13:$G$32,6,FALSE)</f>
        <v>2</v>
      </c>
      <c r="E168" s="294" t="s">
        <v>792</v>
      </c>
      <c r="F168" s="295" t="s">
        <v>605</v>
      </c>
      <c r="G168" s="295" t="s">
        <v>472</v>
      </c>
      <c r="H168" s="710" t="s">
        <v>477</v>
      </c>
      <c r="I168" s="297" t="str">
        <f t="shared" si="26"/>
        <v>sanitaire ruimte (toilet-/doucheruimte)</v>
      </c>
      <c r="J168" s="295" t="s">
        <v>475</v>
      </c>
      <c r="K168" s="298">
        <v>3.1</v>
      </c>
      <c r="L168" s="298"/>
      <c r="M168" s="299">
        <v>4200</v>
      </c>
      <c r="N168" s="300">
        <f t="shared" si="21"/>
        <v>200</v>
      </c>
      <c r="O168" s="484">
        <v>1</v>
      </c>
      <c r="P168" s="484">
        <v>1</v>
      </c>
      <c r="Q168" s="292">
        <f t="shared" si="22"/>
        <v>0</v>
      </c>
      <c r="R168" s="292">
        <f t="shared" si="23"/>
        <v>0</v>
      </c>
      <c r="S168" s="301">
        <f t="shared" si="27"/>
        <v>0</v>
      </c>
      <c r="T168" s="301">
        <f t="shared" si="28"/>
        <v>0</v>
      </c>
      <c r="U168" s="771" t="str">
        <f t="shared" si="20"/>
        <v>S</v>
      </c>
      <c r="V168" s="303"/>
      <c r="W168" s="304">
        <f>(Q168+R168)*'1.0-Contractblad'!$L$37</f>
        <v>0</v>
      </c>
      <c r="X168" s="304">
        <f ca="1">VLOOKUP(E168,'1.1a-Jaarprijzen'!$B$35:$Q$57,16,FALSE)*K168</f>
        <v>0</v>
      </c>
      <c r="Z168" s="773">
        <f t="shared" si="24"/>
        <v>620</v>
      </c>
      <c r="AA168" s="492" t="str">
        <f t="shared" si="25"/>
        <v>4200-200</v>
      </c>
    </row>
    <row r="169" spans="2:27" s="490" customFormat="1" ht="15">
      <c r="B169" s="330"/>
      <c r="C169" s="331"/>
      <c r="D169" s="295">
        <f>VLOOKUP(E169,'1.1a-Jaarprijzen'!$B$13:$G$32,6,FALSE)</f>
        <v>2</v>
      </c>
      <c r="E169" s="294" t="s">
        <v>792</v>
      </c>
      <c r="F169" s="295" t="s">
        <v>605</v>
      </c>
      <c r="G169" s="295" t="s">
        <v>471</v>
      </c>
      <c r="H169" s="710" t="s">
        <v>558</v>
      </c>
      <c r="I169" s="297" t="str">
        <f t="shared" si="26"/>
        <v>administratieve -,  vergaderruimte</v>
      </c>
      <c r="J169" s="295" t="s">
        <v>696</v>
      </c>
      <c r="K169" s="298">
        <v>12.4</v>
      </c>
      <c r="L169" s="298"/>
      <c r="M169" s="299">
        <v>1040</v>
      </c>
      <c r="N169" s="300">
        <f t="shared" si="21"/>
        <v>40</v>
      </c>
      <c r="O169" s="484">
        <v>1</v>
      </c>
      <c r="P169" s="484">
        <v>1</v>
      </c>
      <c r="Q169" s="292">
        <f t="shared" si="22"/>
        <v>0</v>
      </c>
      <c r="R169" s="292">
        <f t="shared" si="23"/>
        <v>0</v>
      </c>
      <c r="S169" s="301">
        <f t="shared" si="27"/>
        <v>0</v>
      </c>
      <c r="T169" s="301">
        <f t="shared" si="28"/>
        <v>0</v>
      </c>
      <c r="U169" s="771" t="str">
        <f t="shared" si="20"/>
        <v>V</v>
      </c>
      <c r="V169" s="303"/>
      <c r="W169" s="304">
        <f>(Q169+R169)*'1.0-Contractblad'!$L$37</f>
        <v>0</v>
      </c>
      <c r="X169" s="304">
        <f ca="1">VLOOKUP(E169,'1.1a-Jaarprijzen'!$B$35:$Q$57,16,FALSE)*K169</f>
        <v>0</v>
      </c>
      <c r="Z169" s="773">
        <f t="shared" si="24"/>
        <v>496</v>
      </c>
      <c r="AA169" s="492" t="str">
        <f t="shared" si="25"/>
        <v>1040-40</v>
      </c>
    </row>
    <row r="170" spans="2:27" s="490" customFormat="1" ht="15">
      <c r="B170" s="330"/>
      <c r="C170" s="331"/>
      <c r="D170" s="295">
        <f>VLOOKUP(E170,'1.1a-Jaarprijzen'!$B$13:$G$32,6,FALSE)</f>
        <v>2</v>
      </c>
      <c r="E170" s="294" t="s">
        <v>792</v>
      </c>
      <c r="F170" s="295" t="s">
        <v>605</v>
      </c>
      <c r="G170" s="295" t="s">
        <v>470</v>
      </c>
      <c r="H170" s="710" t="s">
        <v>656</v>
      </c>
      <c r="I170" s="297" t="str">
        <f t="shared" si="26"/>
        <v>administratieve -,  vergaderruimte</v>
      </c>
      <c r="J170" s="295" t="s">
        <v>696</v>
      </c>
      <c r="K170" s="298">
        <v>13.1</v>
      </c>
      <c r="L170" s="298"/>
      <c r="M170" s="299">
        <v>1040</v>
      </c>
      <c r="N170" s="300">
        <f t="shared" si="21"/>
        <v>40</v>
      </c>
      <c r="O170" s="484">
        <v>1</v>
      </c>
      <c r="P170" s="484">
        <v>1</v>
      </c>
      <c r="Q170" s="292">
        <f t="shared" si="22"/>
        <v>0</v>
      </c>
      <c r="R170" s="292">
        <f t="shared" si="23"/>
        <v>0</v>
      </c>
      <c r="S170" s="301">
        <f t="shared" si="27"/>
        <v>0</v>
      </c>
      <c r="T170" s="301">
        <f t="shared" si="28"/>
        <v>0</v>
      </c>
      <c r="U170" s="771" t="str">
        <f t="shared" si="20"/>
        <v>V</v>
      </c>
      <c r="V170" s="303"/>
      <c r="W170" s="304">
        <f>(Q170+R170)*'1.0-Contractblad'!$L$37</f>
        <v>0</v>
      </c>
      <c r="X170" s="304">
        <f ca="1">VLOOKUP(E170,'1.1a-Jaarprijzen'!$B$35:$Q$57,16,FALSE)*K170</f>
        <v>0</v>
      </c>
      <c r="Z170" s="773">
        <f t="shared" si="24"/>
        <v>524</v>
      </c>
      <c r="AA170" s="492" t="str">
        <f t="shared" si="25"/>
        <v>1040-40</v>
      </c>
    </row>
    <row r="171" spans="2:27" s="490" customFormat="1" ht="15">
      <c r="B171" s="330"/>
      <c r="C171" s="331"/>
      <c r="D171" s="295">
        <f>VLOOKUP(E171,'1.1a-Jaarprijzen'!$B$13:$G$32,6,FALSE)</f>
        <v>2</v>
      </c>
      <c r="E171" s="294" t="s">
        <v>792</v>
      </c>
      <c r="F171" s="295" t="s">
        <v>605</v>
      </c>
      <c r="G171" s="295" t="s">
        <v>474</v>
      </c>
      <c r="H171" s="710" t="s">
        <v>393</v>
      </c>
      <c r="I171" s="297" t="str">
        <f t="shared" si="26"/>
        <v>entree, gang, hal, repro</v>
      </c>
      <c r="J171" s="295" t="s">
        <v>698</v>
      </c>
      <c r="K171" s="298">
        <v>13.3</v>
      </c>
      <c r="L171" s="298"/>
      <c r="M171" s="299">
        <v>3200</v>
      </c>
      <c r="N171" s="300">
        <f t="shared" si="21"/>
        <v>200</v>
      </c>
      <c r="O171" s="484">
        <v>1</v>
      </c>
      <c r="P171" s="484">
        <v>1</v>
      </c>
      <c r="Q171" s="292">
        <f t="shared" si="22"/>
        <v>0</v>
      </c>
      <c r="R171" s="292">
        <f t="shared" si="23"/>
        <v>0</v>
      </c>
      <c r="S171" s="301">
        <f t="shared" si="27"/>
        <v>0</v>
      </c>
      <c r="T171" s="301">
        <f t="shared" si="28"/>
        <v>0</v>
      </c>
      <c r="U171" s="771" t="str">
        <f t="shared" si="20"/>
        <v>V</v>
      </c>
      <c r="V171" s="303"/>
      <c r="W171" s="304">
        <f>(Q171+R171)*'1.0-Contractblad'!$L$37</f>
        <v>0</v>
      </c>
      <c r="X171" s="304">
        <f ca="1">VLOOKUP(E171,'1.1a-Jaarprijzen'!$B$35:$Q$57,16,FALSE)*K171</f>
        <v>0</v>
      </c>
      <c r="Z171" s="773">
        <f t="shared" si="24"/>
        <v>2660</v>
      </c>
      <c r="AA171" s="492" t="str">
        <f t="shared" si="25"/>
        <v>3200-200</v>
      </c>
    </row>
    <row r="172" spans="2:27" s="490" customFormat="1" ht="15">
      <c r="B172" s="330"/>
      <c r="C172" s="331"/>
      <c r="D172" s="295">
        <f>VLOOKUP(E172,'1.1a-Jaarprijzen'!$B$13:$G$32,6,FALSE)</f>
        <v>2</v>
      </c>
      <c r="E172" s="294" t="s">
        <v>792</v>
      </c>
      <c r="F172" s="295" t="s">
        <v>605</v>
      </c>
      <c r="G172" s="295" t="s">
        <v>468</v>
      </c>
      <c r="H172" s="710" t="s">
        <v>793</v>
      </c>
      <c r="I172" s="297" t="str">
        <f t="shared" ref="I172:I402" si="29">IF($M172="",0,VLOOKUP($M172,Kengetal,4,FALSE))</f>
        <v>leslokaal/leerplein groep 4 t/m 8</v>
      </c>
      <c r="J172" s="295" t="s">
        <v>696</v>
      </c>
      <c r="K172" s="298">
        <v>48.3</v>
      </c>
      <c r="L172" s="298"/>
      <c r="M172" s="299">
        <v>18200</v>
      </c>
      <c r="N172" s="300">
        <f t="shared" si="21"/>
        <v>200</v>
      </c>
      <c r="O172" s="484">
        <v>1</v>
      </c>
      <c r="P172" s="484">
        <v>1</v>
      </c>
      <c r="Q172" s="292">
        <f t="shared" si="22"/>
        <v>0</v>
      </c>
      <c r="R172" s="292">
        <f t="shared" si="23"/>
        <v>0</v>
      </c>
      <c r="S172" s="301">
        <f t="shared" si="27"/>
        <v>0</v>
      </c>
      <c r="T172" s="301">
        <f t="shared" si="28"/>
        <v>0</v>
      </c>
      <c r="U172" s="771" t="str">
        <f t="shared" ref="U172:U235" si="30">IF(M172="","",VLOOKUP(M172,Kengetal,14,FALSE))</f>
        <v>L</v>
      </c>
      <c r="V172" s="303"/>
      <c r="W172" s="304">
        <f>(Q172+R172)*'1.0-Contractblad'!$L$37</f>
        <v>0</v>
      </c>
      <c r="X172" s="304">
        <f ca="1">VLOOKUP(E172,'1.1a-Jaarprijzen'!$B$35:$Q$57,16,FALSE)*K172</f>
        <v>0</v>
      </c>
      <c r="Z172" s="773">
        <f t="shared" si="24"/>
        <v>9660</v>
      </c>
      <c r="AA172" s="492" t="str">
        <f t="shared" si="25"/>
        <v>18200-200</v>
      </c>
    </row>
    <row r="173" spans="2:27" s="490" customFormat="1" ht="15">
      <c r="B173" s="330"/>
      <c r="C173" s="331"/>
      <c r="D173" s="295">
        <f>VLOOKUP(E173,'1.1a-Jaarprijzen'!$B$13:$G$32,6,FALSE)</f>
        <v>2</v>
      </c>
      <c r="E173" s="294" t="s">
        <v>792</v>
      </c>
      <c r="F173" s="295" t="s">
        <v>605</v>
      </c>
      <c r="G173" s="295" t="s">
        <v>467</v>
      </c>
      <c r="H173" s="710" t="s">
        <v>794</v>
      </c>
      <c r="I173" s="297" t="str">
        <f t="shared" si="29"/>
        <v>aula, gemeenschappelijke ruimte, bibliotheek</v>
      </c>
      <c r="J173" s="295" t="s">
        <v>696</v>
      </c>
      <c r="K173" s="298">
        <v>149.19999999999999</v>
      </c>
      <c r="L173" s="298"/>
      <c r="M173" s="299">
        <v>2200</v>
      </c>
      <c r="N173" s="300">
        <f t="shared" ref="N173:N236" si="31">VLOOKUP(M173,Kengetal,3,FALSE)</f>
        <v>200</v>
      </c>
      <c r="O173" s="484">
        <v>1</v>
      </c>
      <c r="P173" s="484">
        <v>1</v>
      </c>
      <c r="Q173" s="292">
        <f t="shared" ref="Q173:Q236" si="32">S173*K173*O173</f>
        <v>0</v>
      </c>
      <c r="R173" s="292">
        <f t="shared" ref="R173:R236" si="33">T173*K173*P173</f>
        <v>0</v>
      </c>
      <c r="S173" s="301">
        <f t="shared" si="27"/>
        <v>0</v>
      </c>
      <c r="T173" s="301">
        <f t="shared" si="28"/>
        <v>0</v>
      </c>
      <c r="U173" s="771" t="str">
        <f t="shared" si="30"/>
        <v>V</v>
      </c>
      <c r="V173" s="303"/>
      <c r="W173" s="304">
        <f>(Q173+R173)*'1.0-Contractblad'!$L$37</f>
        <v>0</v>
      </c>
      <c r="X173" s="304">
        <f ca="1">VLOOKUP(E173,'1.1a-Jaarprijzen'!$B$35:$Q$57,16,FALSE)*K173</f>
        <v>0</v>
      </c>
      <c r="Z173" s="773">
        <f t="shared" ref="Z173:Z236" si="34">K173*N173</f>
        <v>29839.999999999996</v>
      </c>
      <c r="AA173" s="492" t="str">
        <f t="shared" ref="AA173:AA236" si="35">CONCATENATE(M173,"-",N173)</f>
        <v>2200-200</v>
      </c>
    </row>
    <row r="174" spans="2:27" s="490" customFormat="1" ht="15">
      <c r="B174" s="330"/>
      <c r="C174" s="331"/>
      <c r="D174" s="295">
        <f>VLOOKUP(E174,'1.1a-Jaarprijzen'!$B$13:$G$32,6,FALSE)</f>
        <v>2</v>
      </c>
      <c r="E174" s="294" t="s">
        <v>792</v>
      </c>
      <c r="F174" s="295" t="s">
        <v>605</v>
      </c>
      <c r="G174" s="295" t="s">
        <v>795</v>
      </c>
      <c r="H174" s="710" t="s">
        <v>796</v>
      </c>
      <c r="I174" s="297" t="str">
        <f t="shared" si="29"/>
        <v>aula, gemeenschappelijke ruimte, bibliotheek</v>
      </c>
      <c r="J174" s="295" t="s">
        <v>475</v>
      </c>
      <c r="K174" s="298">
        <v>18.600000000000001</v>
      </c>
      <c r="L174" s="298"/>
      <c r="M174" s="299">
        <v>2040</v>
      </c>
      <c r="N174" s="300">
        <f t="shared" si="31"/>
        <v>40</v>
      </c>
      <c r="O174" s="484">
        <v>1</v>
      </c>
      <c r="P174" s="484">
        <v>1</v>
      </c>
      <c r="Q174" s="292">
        <f t="shared" si="32"/>
        <v>0</v>
      </c>
      <c r="R174" s="292">
        <f t="shared" si="33"/>
        <v>0</v>
      </c>
      <c r="S174" s="301">
        <f t="shared" si="27"/>
        <v>0</v>
      </c>
      <c r="T174" s="301">
        <f t="shared" si="28"/>
        <v>0</v>
      </c>
      <c r="U174" s="771" t="str">
        <f t="shared" si="30"/>
        <v>V</v>
      </c>
      <c r="V174" s="303" t="s">
        <v>1065</v>
      </c>
      <c r="W174" s="304">
        <f>(Q174+R174)*'1.0-Contractblad'!$L$37</f>
        <v>0</v>
      </c>
      <c r="X174" s="304">
        <f ca="1">VLOOKUP(E174,'1.1a-Jaarprijzen'!$B$35:$Q$57,16,FALSE)*K174</f>
        <v>0</v>
      </c>
      <c r="Z174" s="773">
        <f t="shared" si="34"/>
        <v>744</v>
      </c>
      <c r="AA174" s="492" t="str">
        <f t="shared" si="35"/>
        <v>2040-40</v>
      </c>
    </row>
    <row r="175" spans="2:27" s="490" customFormat="1" ht="15">
      <c r="B175" s="330"/>
      <c r="C175" s="331"/>
      <c r="D175" s="295">
        <f>VLOOKUP(E175,'1.1a-Jaarprijzen'!$B$13:$G$32,6,FALSE)</f>
        <v>2</v>
      </c>
      <c r="E175" s="294" t="s">
        <v>792</v>
      </c>
      <c r="F175" s="295" t="s">
        <v>605</v>
      </c>
      <c r="G175" s="295" t="s">
        <v>755</v>
      </c>
      <c r="H175" s="710" t="s">
        <v>395</v>
      </c>
      <c r="I175" s="297" t="str">
        <f t="shared" si="29"/>
        <v>pantry/keuken</v>
      </c>
      <c r="J175" s="295" t="s">
        <v>475</v>
      </c>
      <c r="K175" s="298">
        <v>24.9</v>
      </c>
      <c r="L175" s="298"/>
      <c r="M175" s="299">
        <v>5040</v>
      </c>
      <c r="N175" s="300">
        <f t="shared" si="31"/>
        <v>40</v>
      </c>
      <c r="O175" s="484">
        <v>1</v>
      </c>
      <c r="P175" s="484">
        <v>1</v>
      </c>
      <c r="Q175" s="292">
        <f t="shared" si="32"/>
        <v>0</v>
      </c>
      <c r="R175" s="292">
        <f t="shared" si="33"/>
        <v>0</v>
      </c>
      <c r="S175" s="301">
        <f t="shared" si="27"/>
        <v>0</v>
      </c>
      <c r="T175" s="301">
        <f t="shared" si="28"/>
        <v>0</v>
      </c>
      <c r="U175" s="771" t="str">
        <f t="shared" si="30"/>
        <v>V</v>
      </c>
      <c r="V175" s="303"/>
      <c r="W175" s="304">
        <f>(Q175+R175)*'1.0-Contractblad'!$L$37</f>
        <v>0</v>
      </c>
      <c r="X175" s="304">
        <f ca="1">VLOOKUP(E175,'1.1a-Jaarprijzen'!$B$35:$Q$57,16,FALSE)*K175</f>
        <v>0</v>
      </c>
      <c r="Z175" s="773">
        <f t="shared" si="34"/>
        <v>996</v>
      </c>
      <c r="AA175" s="492" t="str">
        <f t="shared" si="35"/>
        <v>5040-40</v>
      </c>
    </row>
    <row r="176" spans="2:27" s="490" customFormat="1" ht="15">
      <c r="B176" s="330"/>
      <c r="C176" s="331"/>
      <c r="D176" s="295">
        <f>VLOOKUP(E176,'1.1a-Jaarprijzen'!$B$13:$G$32,6,FALSE)</f>
        <v>2</v>
      </c>
      <c r="E176" s="294" t="s">
        <v>792</v>
      </c>
      <c r="F176" s="295" t="s">
        <v>605</v>
      </c>
      <c r="G176" s="295" t="s">
        <v>599</v>
      </c>
      <c r="H176" s="710" t="s">
        <v>390</v>
      </c>
      <c r="I176" s="297" t="str">
        <f t="shared" si="29"/>
        <v>speellokaal</v>
      </c>
      <c r="J176" s="295" t="s">
        <v>696</v>
      </c>
      <c r="K176" s="298">
        <v>82.7</v>
      </c>
      <c r="L176" s="298"/>
      <c r="M176" s="299">
        <v>8200</v>
      </c>
      <c r="N176" s="300">
        <f t="shared" si="31"/>
        <v>200</v>
      </c>
      <c r="O176" s="484">
        <v>1</v>
      </c>
      <c r="P176" s="484">
        <v>1</v>
      </c>
      <c r="Q176" s="292">
        <f t="shared" si="32"/>
        <v>0</v>
      </c>
      <c r="R176" s="292">
        <f t="shared" si="33"/>
        <v>0</v>
      </c>
      <c r="S176" s="301">
        <f t="shared" si="27"/>
        <v>0</v>
      </c>
      <c r="T176" s="301">
        <f t="shared" si="28"/>
        <v>0</v>
      </c>
      <c r="U176" s="771" t="str">
        <f t="shared" si="30"/>
        <v>L</v>
      </c>
      <c r="V176" s="303"/>
      <c r="W176" s="304">
        <f>(Q176+R176)*'1.0-Contractblad'!$L$37</f>
        <v>0</v>
      </c>
      <c r="X176" s="304">
        <f ca="1">VLOOKUP(E176,'1.1a-Jaarprijzen'!$B$35:$Q$57,16,FALSE)*K176</f>
        <v>0</v>
      </c>
      <c r="Z176" s="773">
        <f t="shared" si="34"/>
        <v>16540</v>
      </c>
      <c r="AA176" s="492" t="str">
        <f t="shared" si="35"/>
        <v>8200-200</v>
      </c>
    </row>
    <row r="177" spans="2:27" s="490" customFormat="1" ht="15">
      <c r="B177" s="330"/>
      <c r="C177" s="331"/>
      <c r="D177" s="295">
        <f>VLOOKUP(E177,'1.1a-Jaarprijzen'!$B$13:$G$32,6,FALSE)</f>
        <v>2</v>
      </c>
      <c r="E177" s="294" t="s">
        <v>792</v>
      </c>
      <c r="F177" s="295" t="s">
        <v>605</v>
      </c>
      <c r="G177" s="295" t="s">
        <v>607</v>
      </c>
      <c r="H177" s="710" t="s">
        <v>797</v>
      </c>
      <c r="I177" s="297" t="str">
        <f t="shared" si="29"/>
        <v>leslokaal/leerplein groep 4 t/m 8</v>
      </c>
      <c r="J177" s="295" t="s">
        <v>696</v>
      </c>
      <c r="K177" s="298">
        <v>95.4</v>
      </c>
      <c r="L177" s="298"/>
      <c r="M177" s="299">
        <v>18200</v>
      </c>
      <c r="N177" s="300">
        <f t="shared" si="31"/>
        <v>200</v>
      </c>
      <c r="O177" s="484">
        <v>1</v>
      </c>
      <c r="P177" s="484">
        <v>1</v>
      </c>
      <c r="Q177" s="292">
        <f t="shared" si="32"/>
        <v>0</v>
      </c>
      <c r="R177" s="292">
        <f t="shared" si="33"/>
        <v>0</v>
      </c>
      <c r="S177" s="301">
        <f t="shared" si="27"/>
        <v>0</v>
      </c>
      <c r="T177" s="301">
        <f t="shared" si="28"/>
        <v>0</v>
      </c>
      <c r="U177" s="771" t="str">
        <f t="shared" si="30"/>
        <v>L</v>
      </c>
      <c r="V177" s="303"/>
      <c r="W177" s="304">
        <f>(Q177+R177)*'1.0-Contractblad'!$L$37</f>
        <v>0</v>
      </c>
      <c r="X177" s="304">
        <f ca="1">VLOOKUP(E177,'1.1a-Jaarprijzen'!$B$35:$Q$57,16,FALSE)*K177</f>
        <v>0</v>
      </c>
      <c r="Z177" s="773">
        <f t="shared" si="34"/>
        <v>19080</v>
      </c>
      <c r="AA177" s="492" t="str">
        <f t="shared" si="35"/>
        <v>18200-200</v>
      </c>
    </row>
    <row r="178" spans="2:27" s="490" customFormat="1" ht="15">
      <c r="B178" s="330"/>
      <c r="C178" s="331"/>
      <c r="D178" s="295">
        <f>VLOOKUP(E178,'1.1a-Jaarprijzen'!$B$13:$G$32,6,FALSE)</f>
        <v>2</v>
      </c>
      <c r="E178" s="294" t="s">
        <v>792</v>
      </c>
      <c r="F178" s="295" t="s">
        <v>605</v>
      </c>
      <c r="G178" s="295" t="s">
        <v>610</v>
      </c>
      <c r="H178" s="710" t="s">
        <v>693</v>
      </c>
      <c r="I178" s="297" t="str">
        <f t="shared" si="29"/>
        <v>sanitaire ruimte (toilet-/doucheruimte)</v>
      </c>
      <c r="J178" s="295" t="s">
        <v>475</v>
      </c>
      <c r="K178" s="298">
        <v>10.9</v>
      </c>
      <c r="L178" s="298"/>
      <c r="M178" s="299">
        <v>4200</v>
      </c>
      <c r="N178" s="300">
        <f t="shared" si="31"/>
        <v>200</v>
      </c>
      <c r="O178" s="484">
        <v>1</v>
      </c>
      <c r="P178" s="484">
        <v>1</v>
      </c>
      <c r="Q178" s="292">
        <f t="shared" si="32"/>
        <v>0</v>
      </c>
      <c r="R178" s="292">
        <f t="shared" si="33"/>
        <v>0</v>
      </c>
      <c r="S178" s="301">
        <f t="shared" si="27"/>
        <v>0</v>
      </c>
      <c r="T178" s="301">
        <f t="shared" si="28"/>
        <v>0</v>
      </c>
      <c r="U178" s="771" t="str">
        <f t="shared" si="30"/>
        <v>S</v>
      </c>
      <c r="V178" s="303"/>
      <c r="W178" s="304">
        <f>(Q178+R178)*'1.0-Contractblad'!$L$37</f>
        <v>0</v>
      </c>
      <c r="X178" s="304">
        <f ca="1">VLOOKUP(E178,'1.1a-Jaarprijzen'!$B$35:$Q$57,16,FALSE)*K178</f>
        <v>0</v>
      </c>
      <c r="Z178" s="773">
        <f t="shared" si="34"/>
        <v>2180</v>
      </c>
      <c r="AA178" s="492" t="str">
        <f t="shared" si="35"/>
        <v>4200-200</v>
      </c>
    </row>
    <row r="179" spans="2:27" s="490" customFormat="1" ht="15">
      <c r="B179" s="330"/>
      <c r="C179" s="331"/>
      <c r="D179" s="295">
        <f>VLOOKUP(E179,'1.1a-Jaarprijzen'!$B$13:$G$32,6,FALSE)</f>
        <v>2</v>
      </c>
      <c r="E179" s="294" t="s">
        <v>792</v>
      </c>
      <c r="F179" s="295" t="s">
        <v>605</v>
      </c>
      <c r="G179" s="295" t="s">
        <v>623</v>
      </c>
      <c r="H179" s="710" t="s">
        <v>387</v>
      </c>
      <c r="I179" s="297" t="str">
        <f t="shared" si="29"/>
        <v>entree, gang, hal, repro</v>
      </c>
      <c r="J179" s="295" t="s">
        <v>696</v>
      </c>
      <c r="K179" s="298">
        <v>21</v>
      </c>
      <c r="L179" s="298"/>
      <c r="M179" s="299">
        <v>3200</v>
      </c>
      <c r="N179" s="300">
        <f t="shared" si="31"/>
        <v>200</v>
      </c>
      <c r="O179" s="484">
        <v>1</v>
      </c>
      <c r="P179" s="484">
        <v>1</v>
      </c>
      <c r="Q179" s="292">
        <f t="shared" si="32"/>
        <v>0</v>
      </c>
      <c r="R179" s="292">
        <f t="shared" si="33"/>
        <v>0</v>
      </c>
      <c r="S179" s="301">
        <f t="shared" si="27"/>
        <v>0</v>
      </c>
      <c r="T179" s="301">
        <f t="shared" si="28"/>
        <v>0</v>
      </c>
      <c r="U179" s="771" t="str">
        <f t="shared" si="30"/>
        <v>V</v>
      </c>
      <c r="V179" s="303"/>
      <c r="W179" s="304">
        <f>(Q179+R179)*'1.0-Contractblad'!$L$37</f>
        <v>0</v>
      </c>
      <c r="X179" s="304">
        <f ca="1">VLOOKUP(E179,'1.1a-Jaarprijzen'!$B$35:$Q$57,16,FALSE)*K179</f>
        <v>0</v>
      </c>
      <c r="Z179" s="773">
        <f t="shared" si="34"/>
        <v>4200</v>
      </c>
      <c r="AA179" s="492" t="str">
        <f t="shared" si="35"/>
        <v>3200-200</v>
      </c>
    </row>
    <row r="180" spans="2:27" s="490" customFormat="1" ht="15">
      <c r="B180" s="330"/>
      <c r="C180" s="331"/>
      <c r="D180" s="295">
        <f>VLOOKUP(E180,'1.1a-Jaarprijzen'!$B$13:$G$32,6,FALSE)</f>
        <v>2</v>
      </c>
      <c r="E180" s="294" t="s">
        <v>792</v>
      </c>
      <c r="F180" s="295" t="s">
        <v>605</v>
      </c>
      <c r="G180" s="295" t="s">
        <v>612</v>
      </c>
      <c r="H180" s="710" t="s">
        <v>403</v>
      </c>
      <c r="I180" s="297" t="str">
        <f t="shared" si="29"/>
        <v>leslokaal/leerplein groep 4 t/m 8</v>
      </c>
      <c r="J180" s="295" t="s">
        <v>696</v>
      </c>
      <c r="K180" s="298">
        <v>55.4</v>
      </c>
      <c r="L180" s="298"/>
      <c r="M180" s="299">
        <v>18200</v>
      </c>
      <c r="N180" s="300">
        <f t="shared" si="31"/>
        <v>200</v>
      </c>
      <c r="O180" s="484">
        <v>1</v>
      </c>
      <c r="P180" s="484">
        <v>1</v>
      </c>
      <c r="Q180" s="292">
        <f t="shared" si="32"/>
        <v>0</v>
      </c>
      <c r="R180" s="292">
        <f t="shared" si="33"/>
        <v>0</v>
      </c>
      <c r="S180" s="301">
        <f t="shared" si="27"/>
        <v>0</v>
      </c>
      <c r="T180" s="301">
        <f t="shared" si="28"/>
        <v>0</v>
      </c>
      <c r="U180" s="771" t="str">
        <f t="shared" si="30"/>
        <v>L</v>
      </c>
      <c r="V180" s="303"/>
      <c r="W180" s="304">
        <f>(Q180+R180)*'1.0-Contractblad'!$L$37</f>
        <v>0</v>
      </c>
      <c r="X180" s="304">
        <f ca="1">VLOOKUP(E180,'1.1a-Jaarprijzen'!$B$35:$Q$57,16,FALSE)*K180</f>
        <v>0</v>
      </c>
      <c r="Z180" s="773">
        <f t="shared" si="34"/>
        <v>11080</v>
      </c>
      <c r="AA180" s="492" t="str">
        <f t="shared" si="35"/>
        <v>18200-200</v>
      </c>
    </row>
    <row r="181" spans="2:27" s="490" customFormat="1" ht="15">
      <c r="B181" s="330"/>
      <c r="C181" s="331"/>
      <c r="D181" s="295">
        <f>VLOOKUP(E181,'1.1a-Jaarprijzen'!$B$13:$G$32,6,FALSE)</f>
        <v>2</v>
      </c>
      <c r="E181" s="294" t="s">
        <v>792</v>
      </c>
      <c r="F181" s="295" t="s">
        <v>605</v>
      </c>
      <c r="G181" s="295" t="s">
        <v>613</v>
      </c>
      <c r="H181" s="710" t="s">
        <v>403</v>
      </c>
      <c r="I181" s="297" t="str">
        <f t="shared" si="29"/>
        <v>leslokaal/leerplein groep 4 t/m 8</v>
      </c>
      <c r="J181" s="295" t="s">
        <v>696</v>
      </c>
      <c r="K181" s="298">
        <v>55.4</v>
      </c>
      <c r="L181" s="298"/>
      <c r="M181" s="299">
        <v>18200</v>
      </c>
      <c r="N181" s="300">
        <f t="shared" si="31"/>
        <v>200</v>
      </c>
      <c r="O181" s="484">
        <v>1</v>
      </c>
      <c r="P181" s="484">
        <v>1</v>
      </c>
      <c r="Q181" s="292">
        <f t="shared" si="32"/>
        <v>0</v>
      </c>
      <c r="R181" s="292">
        <f t="shared" si="33"/>
        <v>0</v>
      </c>
      <c r="S181" s="301">
        <f t="shared" si="27"/>
        <v>0</v>
      </c>
      <c r="T181" s="301">
        <f t="shared" si="28"/>
        <v>0</v>
      </c>
      <c r="U181" s="771" t="str">
        <f t="shared" si="30"/>
        <v>L</v>
      </c>
      <c r="V181" s="303"/>
      <c r="W181" s="304">
        <f>(Q181+R181)*'1.0-Contractblad'!$L$37</f>
        <v>0</v>
      </c>
      <c r="X181" s="304">
        <f ca="1">VLOOKUP(E181,'1.1a-Jaarprijzen'!$B$35:$Q$57,16,FALSE)*K181</f>
        <v>0</v>
      </c>
      <c r="Z181" s="773">
        <f t="shared" si="34"/>
        <v>11080</v>
      </c>
      <c r="AA181" s="492" t="str">
        <f t="shared" si="35"/>
        <v>18200-200</v>
      </c>
    </row>
    <row r="182" spans="2:27" s="490" customFormat="1" ht="15">
      <c r="B182" s="330"/>
      <c r="C182" s="331"/>
      <c r="D182" s="295">
        <f>VLOOKUP(E182,'1.1a-Jaarprijzen'!$B$13:$G$32,6,FALSE)</f>
        <v>2</v>
      </c>
      <c r="E182" s="294" t="s">
        <v>792</v>
      </c>
      <c r="F182" s="295" t="s">
        <v>605</v>
      </c>
      <c r="G182" s="295" t="s">
        <v>614</v>
      </c>
      <c r="H182" s="710" t="s">
        <v>403</v>
      </c>
      <c r="I182" s="297" t="str">
        <f t="shared" si="29"/>
        <v>leslokaal/leerplein groep 4 t/m 8</v>
      </c>
      <c r="J182" s="295" t="s">
        <v>696</v>
      </c>
      <c r="K182" s="298">
        <v>55.4</v>
      </c>
      <c r="L182" s="298"/>
      <c r="M182" s="299">
        <v>18200</v>
      </c>
      <c r="N182" s="300">
        <f t="shared" si="31"/>
        <v>200</v>
      </c>
      <c r="O182" s="484">
        <v>1</v>
      </c>
      <c r="P182" s="484">
        <v>1</v>
      </c>
      <c r="Q182" s="292">
        <f t="shared" si="32"/>
        <v>0</v>
      </c>
      <c r="R182" s="292">
        <f t="shared" si="33"/>
        <v>0</v>
      </c>
      <c r="S182" s="301">
        <f t="shared" si="27"/>
        <v>0</v>
      </c>
      <c r="T182" s="301">
        <f t="shared" si="28"/>
        <v>0</v>
      </c>
      <c r="U182" s="771" t="str">
        <f t="shared" si="30"/>
        <v>L</v>
      </c>
      <c r="V182" s="303" t="s">
        <v>1073</v>
      </c>
      <c r="W182" s="304">
        <f>(Q182+R182)*'1.0-Contractblad'!$L$37</f>
        <v>0</v>
      </c>
      <c r="X182" s="304">
        <f ca="1">VLOOKUP(E182,'1.1a-Jaarprijzen'!$B$35:$Q$57,16,FALSE)*K182</f>
        <v>0</v>
      </c>
      <c r="Z182" s="773">
        <f t="shared" si="34"/>
        <v>11080</v>
      </c>
      <c r="AA182" s="492" t="str">
        <f t="shared" si="35"/>
        <v>18200-200</v>
      </c>
    </row>
    <row r="183" spans="2:27" s="490" customFormat="1" ht="15">
      <c r="B183" s="330"/>
      <c r="C183" s="331"/>
      <c r="D183" s="295">
        <f>VLOOKUP(E183,'1.1a-Jaarprijzen'!$B$13:$G$32,6,FALSE)</f>
        <v>2</v>
      </c>
      <c r="E183" s="294" t="s">
        <v>1063</v>
      </c>
      <c r="F183" s="295" t="s">
        <v>605</v>
      </c>
      <c r="G183" s="295" t="s">
        <v>615</v>
      </c>
      <c r="H183" s="710" t="s">
        <v>798</v>
      </c>
      <c r="I183" s="297" t="str">
        <f t="shared" si="29"/>
        <v>leslokaal/leerplein groep 4 t/m 8</v>
      </c>
      <c r="J183" s="295" t="s">
        <v>696</v>
      </c>
      <c r="K183" s="298">
        <v>55.4</v>
      </c>
      <c r="L183" s="298"/>
      <c r="M183" s="299">
        <v>18200</v>
      </c>
      <c r="N183" s="300">
        <f t="shared" si="31"/>
        <v>200</v>
      </c>
      <c r="O183" s="484">
        <v>1</v>
      </c>
      <c r="P183" s="484">
        <v>1</v>
      </c>
      <c r="Q183" s="292">
        <f t="shared" si="32"/>
        <v>0</v>
      </c>
      <c r="R183" s="292">
        <f t="shared" si="33"/>
        <v>0</v>
      </c>
      <c r="S183" s="301">
        <f t="shared" si="27"/>
        <v>0</v>
      </c>
      <c r="T183" s="301">
        <f t="shared" si="28"/>
        <v>0</v>
      </c>
      <c r="U183" s="771" t="str">
        <f t="shared" si="30"/>
        <v>L</v>
      </c>
      <c r="V183" s="303" t="s">
        <v>1073</v>
      </c>
      <c r="W183" s="304">
        <f>(Q183+R183)*'1.0-Contractblad'!$L$37</f>
        <v>0</v>
      </c>
      <c r="X183" s="304">
        <f ca="1">VLOOKUP(E183,'1.1a-Jaarprijzen'!$B$35:$Q$57,16,FALSE)*K183</f>
        <v>0</v>
      </c>
      <c r="Z183" s="773">
        <f t="shared" si="34"/>
        <v>11080</v>
      </c>
      <c r="AA183" s="492" t="str">
        <f t="shared" si="35"/>
        <v>18200-200</v>
      </c>
    </row>
    <row r="184" spans="2:27" s="490" customFormat="1" ht="15">
      <c r="B184" s="330"/>
      <c r="C184" s="331"/>
      <c r="D184" s="295">
        <f>VLOOKUP(E184,'1.1a-Jaarprijzen'!$B$13:$G$32,6,FALSE)</f>
        <v>2</v>
      </c>
      <c r="E184" s="294" t="s">
        <v>792</v>
      </c>
      <c r="F184" s="295" t="s">
        <v>605</v>
      </c>
      <c r="G184" s="295" t="s">
        <v>622</v>
      </c>
      <c r="H184" s="710" t="s">
        <v>391</v>
      </c>
      <c r="I184" s="297" t="str">
        <f t="shared" si="29"/>
        <v>niet van toepassing</v>
      </c>
      <c r="J184" s="295" t="s">
        <v>696</v>
      </c>
      <c r="K184" s="298"/>
      <c r="L184" s="298">
        <v>7.2</v>
      </c>
      <c r="M184" s="299" t="s">
        <v>17</v>
      </c>
      <c r="N184" s="300">
        <f t="shared" si="31"/>
        <v>0</v>
      </c>
      <c r="O184" s="484">
        <v>1</v>
      </c>
      <c r="P184" s="484">
        <v>1</v>
      </c>
      <c r="Q184" s="292">
        <f t="shared" si="32"/>
        <v>0</v>
      </c>
      <c r="R184" s="292">
        <f t="shared" si="33"/>
        <v>0</v>
      </c>
      <c r="S184" s="301">
        <f t="shared" si="27"/>
        <v>0</v>
      </c>
      <c r="T184" s="301">
        <f t="shared" si="28"/>
        <v>0</v>
      </c>
      <c r="U184" s="771">
        <f t="shared" si="30"/>
        <v>0</v>
      </c>
      <c r="V184" s="303" t="s">
        <v>1073</v>
      </c>
      <c r="W184" s="304">
        <f>(Q184+R184)*'1.0-Contractblad'!$L$37</f>
        <v>0</v>
      </c>
      <c r="X184" s="304">
        <f ca="1">VLOOKUP(E184,'1.1a-Jaarprijzen'!$B$35:$Q$57,16,FALSE)*K184</f>
        <v>0</v>
      </c>
      <c r="Z184" s="773">
        <f t="shared" si="34"/>
        <v>0</v>
      </c>
      <c r="AA184" s="492" t="str">
        <f t="shared" si="35"/>
        <v>nvt-0</v>
      </c>
    </row>
    <row r="185" spans="2:27" s="490" customFormat="1" ht="15">
      <c r="B185" s="330"/>
      <c r="C185" s="331"/>
      <c r="D185" s="295">
        <f>VLOOKUP(E185,'1.1a-Jaarprijzen'!$B$13:$G$32,6,FALSE)</f>
        <v>2</v>
      </c>
      <c r="E185" s="294" t="s">
        <v>792</v>
      </c>
      <c r="F185" s="295" t="s">
        <v>605</v>
      </c>
      <c r="G185" s="295" t="s">
        <v>623</v>
      </c>
      <c r="H185" s="710" t="s">
        <v>799</v>
      </c>
      <c r="I185" s="297" t="str">
        <f t="shared" si="29"/>
        <v>entree, gang, hal, repro</v>
      </c>
      <c r="J185" s="295" t="s">
        <v>696</v>
      </c>
      <c r="K185" s="298">
        <v>19.899999999999999</v>
      </c>
      <c r="L185" s="298"/>
      <c r="M185" s="299">
        <v>3200</v>
      </c>
      <c r="N185" s="300">
        <f t="shared" si="31"/>
        <v>200</v>
      </c>
      <c r="O185" s="484">
        <v>1</v>
      </c>
      <c r="P185" s="484">
        <v>1</v>
      </c>
      <c r="Q185" s="292">
        <f t="shared" si="32"/>
        <v>0</v>
      </c>
      <c r="R185" s="292">
        <f t="shared" si="33"/>
        <v>0</v>
      </c>
      <c r="S185" s="301">
        <f t="shared" si="27"/>
        <v>0</v>
      </c>
      <c r="T185" s="301">
        <f t="shared" si="28"/>
        <v>0</v>
      </c>
      <c r="U185" s="771" t="str">
        <f t="shared" si="30"/>
        <v>V</v>
      </c>
      <c r="V185" s="303" t="s">
        <v>1073</v>
      </c>
      <c r="W185" s="304">
        <f>(Q185+R185)*'1.0-Contractblad'!$L$37</f>
        <v>0</v>
      </c>
      <c r="X185" s="304">
        <f ca="1">VLOOKUP(E185,'1.1a-Jaarprijzen'!$B$35:$Q$57,16,FALSE)*K185</f>
        <v>0</v>
      </c>
      <c r="Z185" s="773">
        <f t="shared" si="34"/>
        <v>3979.9999999999995</v>
      </c>
      <c r="AA185" s="492" t="str">
        <f t="shared" si="35"/>
        <v>3200-200</v>
      </c>
    </row>
    <row r="186" spans="2:27" s="490" customFormat="1" ht="15">
      <c r="B186" s="330"/>
      <c r="C186" s="331"/>
      <c r="D186" s="295">
        <f>VLOOKUP(E186,'1.1a-Jaarprijzen'!$B$13:$G$32,6,FALSE)</f>
        <v>2</v>
      </c>
      <c r="E186" s="294" t="s">
        <v>792</v>
      </c>
      <c r="F186" s="295" t="s">
        <v>605</v>
      </c>
      <c r="G186" s="296" t="s">
        <v>621</v>
      </c>
      <c r="H186" s="294" t="s">
        <v>388</v>
      </c>
      <c r="I186" s="297" t="str">
        <f t="shared" si="29"/>
        <v>niet van toepassing</v>
      </c>
      <c r="J186" s="295" t="s">
        <v>475</v>
      </c>
      <c r="K186" s="298"/>
      <c r="L186" s="298">
        <v>1.2</v>
      </c>
      <c r="M186" s="299" t="s">
        <v>17</v>
      </c>
      <c r="N186" s="300">
        <f t="shared" si="31"/>
        <v>0</v>
      </c>
      <c r="O186" s="484">
        <v>1</v>
      </c>
      <c r="P186" s="484">
        <v>1</v>
      </c>
      <c r="Q186" s="292">
        <f t="shared" si="32"/>
        <v>0</v>
      </c>
      <c r="R186" s="292">
        <f t="shared" si="33"/>
        <v>0</v>
      </c>
      <c r="S186" s="301">
        <f t="shared" si="27"/>
        <v>0</v>
      </c>
      <c r="T186" s="301">
        <f t="shared" si="28"/>
        <v>0</v>
      </c>
      <c r="U186" s="771">
        <f t="shared" si="30"/>
        <v>0</v>
      </c>
      <c r="V186" s="303" t="s">
        <v>1074</v>
      </c>
      <c r="W186" s="304">
        <f>(Q186+R186)*'1.0-Contractblad'!$L$37</f>
        <v>0</v>
      </c>
      <c r="X186" s="304">
        <f ca="1">VLOOKUP(E186,'1.1a-Jaarprijzen'!$B$35:$Q$57,16,FALSE)*K186</f>
        <v>0</v>
      </c>
      <c r="Z186" s="773">
        <f t="shared" si="34"/>
        <v>0</v>
      </c>
      <c r="AA186" s="492" t="str">
        <f t="shared" si="35"/>
        <v>nvt-0</v>
      </c>
    </row>
    <row r="187" spans="2:27" s="490" customFormat="1" ht="15">
      <c r="B187" s="330"/>
      <c r="C187" s="331"/>
      <c r="D187" s="295">
        <f>VLOOKUP(E187,'1.1a-Jaarprijzen'!$B$13:$G$32,6,FALSE)</f>
        <v>2</v>
      </c>
      <c r="E187" s="686" t="s">
        <v>1063</v>
      </c>
      <c r="F187" s="295" t="s">
        <v>605</v>
      </c>
      <c r="G187" s="296" t="s">
        <v>619</v>
      </c>
      <c r="H187" s="294" t="s">
        <v>800</v>
      </c>
      <c r="I187" s="297" t="str">
        <f t="shared" si="29"/>
        <v>sanitaire ruimte (toilet-/doucheruimte)</v>
      </c>
      <c r="J187" s="295" t="s">
        <v>475</v>
      </c>
      <c r="K187" s="298">
        <v>8.1999999999999993</v>
      </c>
      <c r="L187" s="298"/>
      <c r="M187" s="299">
        <v>4200</v>
      </c>
      <c r="N187" s="300">
        <f t="shared" si="31"/>
        <v>200</v>
      </c>
      <c r="O187" s="484">
        <v>1</v>
      </c>
      <c r="P187" s="484">
        <v>1</v>
      </c>
      <c r="Q187" s="292">
        <f t="shared" si="32"/>
        <v>0</v>
      </c>
      <c r="R187" s="292">
        <f t="shared" si="33"/>
        <v>0</v>
      </c>
      <c r="S187" s="301">
        <f t="shared" si="27"/>
        <v>0</v>
      </c>
      <c r="T187" s="301">
        <f t="shared" si="28"/>
        <v>0</v>
      </c>
      <c r="U187" s="771" t="str">
        <f t="shared" si="30"/>
        <v>S</v>
      </c>
      <c r="V187" s="303" t="s">
        <v>1074</v>
      </c>
      <c r="W187" s="304">
        <f>(Q187+R187)*'1.0-Contractblad'!$L$37</f>
        <v>0</v>
      </c>
      <c r="X187" s="304">
        <f ca="1">VLOOKUP(E187,'1.1a-Jaarprijzen'!$B$35:$Q$57,16,FALSE)*K187</f>
        <v>0</v>
      </c>
      <c r="Z187" s="773">
        <f t="shared" si="34"/>
        <v>1639.9999999999998</v>
      </c>
      <c r="AA187" s="492" t="str">
        <f t="shared" si="35"/>
        <v>4200-200</v>
      </c>
    </row>
    <row r="188" spans="2:27" s="490" customFormat="1" ht="15">
      <c r="B188" s="330"/>
      <c r="C188" s="331"/>
      <c r="D188" s="295">
        <f>VLOOKUP(E188,'1.1a-Jaarprijzen'!$B$13:$G$32,6,FALSE)</f>
        <v>2</v>
      </c>
      <c r="E188" s="686" t="s">
        <v>1063</v>
      </c>
      <c r="F188" s="295" t="s">
        <v>605</v>
      </c>
      <c r="G188" s="296" t="s">
        <v>620</v>
      </c>
      <c r="H188" s="294" t="s">
        <v>800</v>
      </c>
      <c r="I188" s="297" t="str">
        <f t="shared" si="29"/>
        <v>sanitaire ruimte (toilet-/doucheruimte)</v>
      </c>
      <c r="J188" s="295" t="s">
        <v>475</v>
      </c>
      <c r="K188" s="298">
        <v>8</v>
      </c>
      <c r="L188" s="298"/>
      <c r="M188" s="299">
        <v>4200</v>
      </c>
      <c r="N188" s="300">
        <f t="shared" si="31"/>
        <v>200</v>
      </c>
      <c r="O188" s="484">
        <v>1</v>
      </c>
      <c r="P188" s="484">
        <v>1</v>
      </c>
      <c r="Q188" s="292">
        <f t="shared" si="32"/>
        <v>0</v>
      </c>
      <c r="R188" s="292">
        <f t="shared" si="33"/>
        <v>0</v>
      </c>
      <c r="S188" s="301">
        <f t="shared" si="27"/>
        <v>0</v>
      </c>
      <c r="T188" s="301">
        <f t="shared" si="28"/>
        <v>0</v>
      </c>
      <c r="U188" s="771" t="str">
        <f t="shared" si="30"/>
        <v>S</v>
      </c>
      <c r="V188" s="303" t="s">
        <v>1074</v>
      </c>
      <c r="W188" s="304">
        <f>(Q188+R188)*'1.0-Contractblad'!$L$37</f>
        <v>0</v>
      </c>
      <c r="X188" s="304">
        <f ca="1">VLOOKUP(E188,'1.1a-Jaarprijzen'!$B$35:$Q$57,16,FALSE)*K188</f>
        <v>0</v>
      </c>
      <c r="Z188" s="773">
        <f t="shared" si="34"/>
        <v>1600</v>
      </c>
      <c r="AA188" s="492" t="str">
        <f t="shared" si="35"/>
        <v>4200-200</v>
      </c>
    </row>
    <row r="189" spans="2:27" s="490" customFormat="1" ht="15">
      <c r="B189" s="330"/>
      <c r="C189" s="331"/>
      <c r="D189" s="295">
        <f>VLOOKUP(E189,'1.1a-Jaarprijzen'!$B$13:$G$32,6,FALSE)</f>
        <v>2</v>
      </c>
      <c r="E189" s="686" t="s">
        <v>1063</v>
      </c>
      <c r="F189" s="295" t="s">
        <v>605</v>
      </c>
      <c r="G189" s="296" t="s">
        <v>617</v>
      </c>
      <c r="H189" s="294" t="s">
        <v>801</v>
      </c>
      <c r="I189" s="297" t="str">
        <f t="shared" si="29"/>
        <v>entree, gang, hal, repro</v>
      </c>
      <c r="J189" s="295" t="s">
        <v>698</v>
      </c>
      <c r="K189" s="298">
        <v>6.5</v>
      </c>
      <c r="L189" s="298"/>
      <c r="M189" s="299">
        <v>3200</v>
      </c>
      <c r="N189" s="300">
        <f t="shared" si="31"/>
        <v>200</v>
      </c>
      <c r="O189" s="484">
        <v>1</v>
      </c>
      <c r="P189" s="484">
        <v>1</v>
      </c>
      <c r="Q189" s="292">
        <f t="shared" si="32"/>
        <v>0</v>
      </c>
      <c r="R189" s="292">
        <f t="shared" si="33"/>
        <v>0</v>
      </c>
      <c r="S189" s="301">
        <f t="shared" si="27"/>
        <v>0</v>
      </c>
      <c r="T189" s="301">
        <f t="shared" si="28"/>
        <v>0</v>
      </c>
      <c r="U189" s="771" t="str">
        <f t="shared" si="30"/>
        <v>V</v>
      </c>
      <c r="V189" s="303" t="s">
        <v>1074</v>
      </c>
      <c r="W189" s="304">
        <f>(Q189+R189)*'1.0-Contractblad'!$L$37</f>
        <v>0</v>
      </c>
      <c r="X189" s="304">
        <f ca="1">VLOOKUP(E189,'1.1a-Jaarprijzen'!$B$35:$Q$57,16,FALSE)*K189</f>
        <v>0</v>
      </c>
      <c r="Z189" s="773">
        <f t="shared" si="34"/>
        <v>1300</v>
      </c>
      <c r="AA189" s="492" t="str">
        <f t="shared" si="35"/>
        <v>3200-200</v>
      </c>
    </row>
    <row r="190" spans="2:27" s="490" customFormat="1" ht="15">
      <c r="B190" s="330"/>
      <c r="C190" s="331"/>
      <c r="D190" s="295">
        <f>VLOOKUP(E190,'1.1a-Jaarprijzen'!$B$13:$G$32,6,FALSE)</f>
        <v>2</v>
      </c>
      <c r="E190" s="686" t="s">
        <v>1063</v>
      </c>
      <c r="F190" s="295" t="s">
        <v>605</v>
      </c>
      <c r="G190" s="296" t="s">
        <v>618</v>
      </c>
      <c r="H190" s="294" t="s">
        <v>802</v>
      </c>
      <c r="I190" s="297" t="str">
        <f t="shared" si="29"/>
        <v>administratieve -,  vergaderruimte</v>
      </c>
      <c r="J190" s="295" t="s">
        <v>696</v>
      </c>
      <c r="K190" s="298">
        <v>9.6</v>
      </c>
      <c r="L190" s="298"/>
      <c r="M190" s="299">
        <v>1040</v>
      </c>
      <c r="N190" s="300">
        <f t="shared" si="31"/>
        <v>40</v>
      </c>
      <c r="O190" s="484">
        <v>1</v>
      </c>
      <c r="P190" s="484">
        <v>1</v>
      </c>
      <c r="Q190" s="292">
        <f t="shared" si="32"/>
        <v>0</v>
      </c>
      <c r="R190" s="292">
        <f t="shared" si="33"/>
        <v>0</v>
      </c>
      <c r="S190" s="301">
        <f t="shared" si="27"/>
        <v>0</v>
      </c>
      <c r="T190" s="301">
        <f t="shared" si="28"/>
        <v>0</v>
      </c>
      <c r="U190" s="771" t="str">
        <f t="shared" si="30"/>
        <v>V</v>
      </c>
      <c r="V190" s="303" t="s">
        <v>1074</v>
      </c>
      <c r="W190" s="304">
        <f>(Q190+R190)*'1.0-Contractblad'!$L$37</f>
        <v>0</v>
      </c>
      <c r="X190" s="304">
        <f ca="1">VLOOKUP(E190,'1.1a-Jaarprijzen'!$B$35:$Q$57,16,FALSE)*K190</f>
        <v>0</v>
      </c>
      <c r="Z190" s="773">
        <f t="shared" si="34"/>
        <v>384</v>
      </c>
      <c r="AA190" s="492" t="str">
        <f t="shared" si="35"/>
        <v>1040-40</v>
      </c>
    </row>
    <row r="191" spans="2:27" s="490" customFormat="1" ht="15">
      <c r="B191" s="330"/>
      <c r="C191" s="331"/>
      <c r="D191" s="295">
        <f>VLOOKUP(E191,'1.1a-Jaarprijzen'!$B$13:$G$32,6,FALSE)</f>
        <v>2</v>
      </c>
      <c r="E191" s="686" t="s">
        <v>1063</v>
      </c>
      <c r="F191" s="295" t="s">
        <v>605</v>
      </c>
      <c r="G191" s="296" t="s">
        <v>616</v>
      </c>
      <c r="H191" s="294" t="s">
        <v>803</v>
      </c>
      <c r="I191" s="297" t="str">
        <f t="shared" si="29"/>
        <v>leslokaal/leerplein groep 4 t/m 8</v>
      </c>
      <c r="J191" s="295" t="s">
        <v>696</v>
      </c>
      <c r="K191" s="298">
        <v>29.3</v>
      </c>
      <c r="L191" s="298"/>
      <c r="M191" s="299">
        <v>18200</v>
      </c>
      <c r="N191" s="300">
        <f t="shared" si="31"/>
        <v>200</v>
      </c>
      <c r="O191" s="484">
        <v>1</v>
      </c>
      <c r="P191" s="484">
        <v>1</v>
      </c>
      <c r="Q191" s="292">
        <f t="shared" si="32"/>
        <v>0</v>
      </c>
      <c r="R191" s="292">
        <f t="shared" si="33"/>
        <v>0</v>
      </c>
      <c r="S191" s="301">
        <f t="shared" si="27"/>
        <v>0</v>
      </c>
      <c r="T191" s="301">
        <f t="shared" si="28"/>
        <v>0</v>
      </c>
      <c r="U191" s="771" t="str">
        <f t="shared" si="30"/>
        <v>L</v>
      </c>
      <c r="V191" s="303" t="s">
        <v>1074</v>
      </c>
      <c r="W191" s="304">
        <f>(Q191+R191)*'1.0-Contractblad'!$L$37</f>
        <v>0</v>
      </c>
      <c r="X191" s="304">
        <f ca="1">VLOOKUP(E191,'1.1a-Jaarprijzen'!$B$35:$Q$57,16,FALSE)*K191</f>
        <v>0</v>
      </c>
      <c r="Z191" s="773">
        <f t="shared" si="34"/>
        <v>5860</v>
      </c>
      <c r="AA191" s="492" t="str">
        <f t="shared" si="35"/>
        <v>18200-200</v>
      </c>
    </row>
    <row r="192" spans="2:27" s="490" customFormat="1" ht="15">
      <c r="B192" s="330"/>
      <c r="C192" s="331"/>
      <c r="D192" s="295">
        <f>VLOOKUP(E192,'1.1a-Jaarprijzen'!$B$13:$G$32,6,FALSE)</f>
        <v>2</v>
      </c>
      <c r="E192" s="686" t="s">
        <v>792</v>
      </c>
      <c r="F192" s="295" t="s">
        <v>605</v>
      </c>
      <c r="G192" s="296" t="s">
        <v>747</v>
      </c>
      <c r="H192" s="294" t="s">
        <v>804</v>
      </c>
      <c r="I192" s="297" t="str">
        <f t="shared" si="29"/>
        <v>sanitaire ruimte (toilet-/doucheruimte)</v>
      </c>
      <c r="J192" s="295" t="s">
        <v>475</v>
      </c>
      <c r="K192" s="298">
        <v>4.7</v>
      </c>
      <c r="L192" s="298"/>
      <c r="M192" s="299">
        <v>4200</v>
      </c>
      <c r="N192" s="300">
        <f t="shared" si="31"/>
        <v>200</v>
      </c>
      <c r="O192" s="484">
        <v>1</v>
      </c>
      <c r="P192" s="484">
        <v>1</v>
      </c>
      <c r="Q192" s="292">
        <f t="shared" si="32"/>
        <v>0</v>
      </c>
      <c r="R192" s="292">
        <f t="shared" si="33"/>
        <v>0</v>
      </c>
      <c r="S192" s="301">
        <f t="shared" si="27"/>
        <v>0</v>
      </c>
      <c r="T192" s="301">
        <f t="shared" si="28"/>
        <v>0</v>
      </c>
      <c r="U192" s="771" t="str">
        <f t="shared" si="30"/>
        <v>S</v>
      </c>
      <c r="V192" s="303" t="s">
        <v>1074</v>
      </c>
      <c r="W192" s="304">
        <f>(Q192+R192)*'1.0-Contractblad'!$L$37</f>
        <v>0</v>
      </c>
      <c r="X192" s="304">
        <f ca="1">VLOOKUP(E192,'1.1a-Jaarprijzen'!$B$35:$Q$57,16,FALSE)*K192</f>
        <v>0</v>
      </c>
      <c r="Z192" s="773">
        <f t="shared" si="34"/>
        <v>940</v>
      </c>
      <c r="AA192" s="492" t="str">
        <f t="shared" si="35"/>
        <v>4200-200</v>
      </c>
    </row>
    <row r="193" spans="2:27" s="490" customFormat="1" ht="15">
      <c r="B193" s="330"/>
      <c r="C193" s="331"/>
      <c r="D193" s="295">
        <f>VLOOKUP(E193,'1.1a-Jaarprijzen'!$B$13:$G$32,6,FALSE)</f>
        <v>2</v>
      </c>
      <c r="E193" s="294" t="s">
        <v>1063</v>
      </c>
      <c r="F193" s="295" t="s">
        <v>605</v>
      </c>
      <c r="G193" s="296" t="s">
        <v>598</v>
      </c>
      <c r="H193" s="294" t="s">
        <v>798</v>
      </c>
      <c r="I193" s="297" t="str">
        <f t="shared" si="29"/>
        <v>leslokaal/leerplein groep 4 t/m 8</v>
      </c>
      <c r="J193" s="295" t="s">
        <v>696</v>
      </c>
      <c r="K193" s="298">
        <v>93.7</v>
      </c>
      <c r="L193" s="298"/>
      <c r="M193" s="299">
        <v>18200</v>
      </c>
      <c r="N193" s="300">
        <f t="shared" si="31"/>
        <v>200</v>
      </c>
      <c r="O193" s="484">
        <v>1</v>
      </c>
      <c r="P193" s="484">
        <v>1</v>
      </c>
      <c r="Q193" s="292">
        <f t="shared" si="32"/>
        <v>0</v>
      </c>
      <c r="R193" s="292">
        <f t="shared" si="33"/>
        <v>0</v>
      </c>
      <c r="S193" s="301">
        <f t="shared" si="27"/>
        <v>0</v>
      </c>
      <c r="T193" s="301">
        <f t="shared" si="28"/>
        <v>0</v>
      </c>
      <c r="U193" s="771" t="str">
        <f t="shared" si="30"/>
        <v>L</v>
      </c>
      <c r="V193" s="303" t="s">
        <v>1062</v>
      </c>
      <c r="W193" s="304">
        <f>(Q193+R193)*'1.0-Contractblad'!$L$37</f>
        <v>0</v>
      </c>
      <c r="X193" s="304">
        <f ca="1">VLOOKUP(E193,'1.1a-Jaarprijzen'!$B$35:$Q$57,16,FALSE)*K193</f>
        <v>0</v>
      </c>
      <c r="Z193" s="773">
        <f t="shared" si="34"/>
        <v>18740</v>
      </c>
      <c r="AA193" s="492" t="str">
        <f t="shared" si="35"/>
        <v>18200-200</v>
      </c>
    </row>
    <row r="194" spans="2:27" s="490" customFormat="1" ht="15">
      <c r="B194" s="330"/>
      <c r="C194" s="331"/>
      <c r="D194" s="295">
        <f>VLOOKUP(E194,'1.1a-Jaarprijzen'!$B$13:$G$32,6,FALSE)</f>
        <v>2</v>
      </c>
      <c r="E194" s="294" t="s">
        <v>792</v>
      </c>
      <c r="F194" s="295" t="s">
        <v>605</v>
      </c>
      <c r="G194" s="296" t="s">
        <v>805</v>
      </c>
      <c r="H194" s="294" t="s">
        <v>477</v>
      </c>
      <c r="I194" s="297" t="str">
        <f t="shared" si="29"/>
        <v>niet van toepassing</v>
      </c>
      <c r="J194" s="295" t="s">
        <v>17</v>
      </c>
      <c r="K194" s="298"/>
      <c r="L194" s="298">
        <v>2.8</v>
      </c>
      <c r="M194" s="299" t="s">
        <v>17</v>
      </c>
      <c r="N194" s="300">
        <f t="shared" si="31"/>
        <v>0</v>
      </c>
      <c r="O194" s="484">
        <v>1</v>
      </c>
      <c r="P194" s="484">
        <v>1</v>
      </c>
      <c r="Q194" s="292">
        <f t="shared" si="32"/>
        <v>0</v>
      </c>
      <c r="R194" s="292">
        <f t="shared" si="33"/>
        <v>0</v>
      </c>
      <c r="S194" s="301">
        <f t="shared" si="27"/>
        <v>0</v>
      </c>
      <c r="T194" s="301">
        <f t="shared" si="28"/>
        <v>0</v>
      </c>
      <c r="U194" s="771">
        <f t="shared" si="30"/>
        <v>0</v>
      </c>
      <c r="V194" s="303"/>
      <c r="W194" s="304">
        <f>(Q194+R194)*'1.0-Contractblad'!$L$37</f>
        <v>0</v>
      </c>
      <c r="X194" s="304">
        <f ca="1">VLOOKUP(E194,'1.1a-Jaarprijzen'!$B$35:$Q$57,16,FALSE)*K194</f>
        <v>0</v>
      </c>
      <c r="Z194" s="773">
        <f t="shared" si="34"/>
        <v>0</v>
      </c>
      <c r="AA194" s="492" t="str">
        <f t="shared" si="35"/>
        <v>nvt-0</v>
      </c>
    </row>
    <row r="195" spans="2:27" s="490" customFormat="1" ht="15">
      <c r="B195" s="330"/>
      <c r="C195" s="331"/>
      <c r="D195" s="295">
        <f>VLOOKUP(E195,'1.1a-Jaarprijzen'!$B$13:$G$32,6,FALSE)</f>
        <v>2</v>
      </c>
      <c r="E195" s="294" t="s">
        <v>792</v>
      </c>
      <c r="F195" s="295" t="s">
        <v>605</v>
      </c>
      <c r="G195" s="296" t="s">
        <v>751</v>
      </c>
      <c r="H195" s="294" t="s">
        <v>806</v>
      </c>
      <c r="I195" s="297" t="str">
        <f t="shared" si="29"/>
        <v>niet van toepassing</v>
      </c>
      <c r="J195" s="295" t="s">
        <v>17</v>
      </c>
      <c r="K195" s="298"/>
      <c r="L195" s="298">
        <v>57.3</v>
      </c>
      <c r="M195" s="299" t="s">
        <v>17</v>
      </c>
      <c r="N195" s="300">
        <f t="shared" si="31"/>
        <v>0</v>
      </c>
      <c r="O195" s="484">
        <v>1</v>
      </c>
      <c r="P195" s="484">
        <v>1</v>
      </c>
      <c r="Q195" s="292">
        <f t="shared" si="32"/>
        <v>0</v>
      </c>
      <c r="R195" s="292">
        <f t="shared" si="33"/>
        <v>0</v>
      </c>
      <c r="S195" s="301">
        <f t="shared" si="27"/>
        <v>0</v>
      </c>
      <c r="T195" s="301">
        <f t="shared" si="28"/>
        <v>0</v>
      </c>
      <c r="U195" s="771">
        <f t="shared" si="30"/>
        <v>0</v>
      </c>
      <c r="V195" s="303"/>
      <c r="W195" s="304">
        <f>(Q195+R195)*'1.0-Contractblad'!$L$37</f>
        <v>0</v>
      </c>
      <c r="X195" s="304">
        <f ca="1">VLOOKUP(E195,'1.1a-Jaarprijzen'!$B$35:$Q$57,16,FALSE)*K195</f>
        <v>0</v>
      </c>
      <c r="Z195" s="773">
        <f t="shared" si="34"/>
        <v>0</v>
      </c>
      <c r="AA195" s="492" t="str">
        <f t="shared" si="35"/>
        <v>nvt-0</v>
      </c>
    </row>
    <row r="196" spans="2:27" s="490" customFormat="1" ht="15">
      <c r="B196" s="330"/>
      <c r="C196" s="331"/>
      <c r="D196" s="295">
        <f>VLOOKUP(E196,'1.1a-Jaarprijzen'!$B$13:$G$32,6,FALSE)</f>
        <v>2</v>
      </c>
      <c r="E196" s="294" t="s">
        <v>792</v>
      </c>
      <c r="F196" s="295" t="s">
        <v>605</v>
      </c>
      <c r="G196" s="296" t="s">
        <v>753</v>
      </c>
      <c r="H196" s="294" t="s">
        <v>807</v>
      </c>
      <c r="I196" s="297" t="str">
        <f t="shared" si="29"/>
        <v>niet van toepassing</v>
      </c>
      <c r="J196" s="295" t="s">
        <v>17</v>
      </c>
      <c r="K196" s="298"/>
      <c r="L196" s="298">
        <v>51.8</v>
      </c>
      <c r="M196" s="299" t="s">
        <v>17</v>
      </c>
      <c r="N196" s="300">
        <f t="shared" si="31"/>
        <v>0</v>
      </c>
      <c r="O196" s="484">
        <v>1</v>
      </c>
      <c r="P196" s="484">
        <v>1</v>
      </c>
      <c r="Q196" s="292">
        <f t="shared" si="32"/>
        <v>0</v>
      </c>
      <c r="R196" s="292">
        <f t="shared" si="33"/>
        <v>0</v>
      </c>
      <c r="S196" s="301">
        <f t="shared" si="27"/>
        <v>0</v>
      </c>
      <c r="T196" s="301">
        <f t="shared" si="28"/>
        <v>0</v>
      </c>
      <c r="U196" s="771">
        <f t="shared" si="30"/>
        <v>0</v>
      </c>
      <c r="V196" s="303"/>
      <c r="W196" s="304">
        <f>(Q196+R196)*'1.0-Contractblad'!$L$37</f>
        <v>0</v>
      </c>
      <c r="X196" s="304">
        <f ca="1">VLOOKUP(E196,'1.1a-Jaarprijzen'!$B$35:$Q$57,16,FALSE)*K196</f>
        <v>0</v>
      </c>
      <c r="Z196" s="773">
        <f t="shared" si="34"/>
        <v>0</v>
      </c>
      <c r="AA196" s="492" t="str">
        <f t="shared" si="35"/>
        <v>nvt-0</v>
      </c>
    </row>
    <row r="197" spans="2:27" s="490" customFormat="1" ht="15">
      <c r="B197" s="330"/>
      <c r="C197" s="331"/>
      <c r="D197" s="295">
        <f>VLOOKUP(E197,'1.1a-Jaarprijzen'!$B$13:$G$32,6,FALSE)</f>
        <v>2</v>
      </c>
      <c r="E197" s="294" t="s">
        <v>792</v>
      </c>
      <c r="F197" s="295" t="s">
        <v>605</v>
      </c>
      <c r="G197" s="296" t="s">
        <v>752</v>
      </c>
      <c r="H197" s="294" t="s">
        <v>807</v>
      </c>
      <c r="I197" s="297" t="str">
        <f t="shared" si="29"/>
        <v>niet van toepassing</v>
      </c>
      <c r="J197" s="295" t="s">
        <v>17</v>
      </c>
      <c r="K197" s="298"/>
      <c r="L197" s="298">
        <v>53.7</v>
      </c>
      <c r="M197" s="299" t="s">
        <v>17</v>
      </c>
      <c r="N197" s="300">
        <f t="shared" si="31"/>
        <v>0</v>
      </c>
      <c r="O197" s="484">
        <v>1</v>
      </c>
      <c r="P197" s="484">
        <v>1</v>
      </c>
      <c r="Q197" s="292">
        <f t="shared" si="32"/>
        <v>0</v>
      </c>
      <c r="R197" s="292">
        <f t="shared" si="33"/>
        <v>0</v>
      </c>
      <c r="S197" s="301">
        <f t="shared" si="27"/>
        <v>0</v>
      </c>
      <c r="T197" s="301">
        <f t="shared" si="28"/>
        <v>0</v>
      </c>
      <c r="U197" s="771">
        <f t="shared" si="30"/>
        <v>0</v>
      </c>
      <c r="V197" s="303"/>
      <c r="W197" s="304">
        <f>(Q197+R197)*'1.0-Contractblad'!$L$37</f>
        <v>0</v>
      </c>
      <c r="X197" s="304">
        <f ca="1">VLOOKUP(E197,'1.1a-Jaarprijzen'!$B$35:$Q$57,16,FALSE)*K197</f>
        <v>0</v>
      </c>
      <c r="Z197" s="773">
        <f t="shared" si="34"/>
        <v>0</v>
      </c>
      <c r="AA197" s="492" t="str">
        <f t="shared" si="35"/>
        <v>nvt-0</v>
      </c>
    </row>
    <row r="198" spans="2:27" s="490" customFormat="1" ht="15">
      <c r="B198" s="330"/>
      <c r="C198" s="331"/>
      <c r="D198" s="295">
        <f>VLOOKUP(E198,'1.1a-Jaarprijzen'!$B$13:$G$32,6,FALSE)</f>
        <v>2</v>
      </c>
      <c r="E198" s="294" t="s">
        <v>792</v>
      </c>
      <c r="F198" s="295" t="s">
        <v>605</v>
      </c>
      <c r="G198" s="296" t="s">
        <v>750</v>
      </c>
      <c r="H198" s="294" t="s">
        <v>1030</v>
      </c>
      <c r="I198" s="297" t="str">
        <f t="shared" si="29"/>
        <v>niet van toepassing</v>
      </c>
      <c r="J198" s="295" t="s">
        <v>17</v>
      </c>
      <c r="K198" s="298"/>
      <c r="L198" s="298">
        <v>4.5</v>
      </c>
      <c r="M198" s="299" t="s">
        <v>17</v>
      </c>
      <c r="N198" s="300">
        <f t="shared" si="31"/>
        <v>0</v>
      </c>
      <c r="O198" s="484">
        <v>1</v>
      </c>
      <c r="P198" s="484">
        <v>1</v>
      </c>
      <c r="Q198" s="292">
        <f t="shared" si="32"/>
        <v>0</v>
      </c>
      <c r="R198" s="292">
        <f t="shared" si="33"/>
        <v>0</v>
      </c>
      <c r="S198" s="301">
        <f t="shared" si="27"/>
        <v>0</v>
      </c>
      <c r="T198" s="301">
        <f t="shared" si="28"/>
        <v>0</v>
      </c>
      <c r="U198" s="771">
        <f t="shared" si="30"/>
        <v>0</v>
      </c>
      <c r="V198" s="303"/>
      <c r="W198" s="304">
        <f>(Q198+R198)*'1.0-Contractblad'!$L$37</f>
        <v>0</v>
      </c>
      <c r="X198" s="304">
        <f ca="1">VLOOKUP(E198,'1.1a-Jaarprijzen'!$B$35:$Q$57,16,FALSE)*K198</f>
        <v>0</v>
      </c>
      <c r="Z198" s="773">
        <f t="shared" si="34"/>
        <v>0</v>
      </c>
      <c r="AA198" s="492" t="str">
        <f t="shared" si="35"/>
        <v>nvt-0</v>
      </c>
    </row>
    <row r="199" spans="2:27" s="490" customFormat="1" ht="15">
      <c r="B199" s="330"/>
      <c r="C199" s="331"/>
      <c r="D199" s="295">
        <f>VLOOKUP(E199,'1.1a-Jaarprijzen'!$B$13:$G$32,6,FALSE)</f>
        <v>2</v>
      </c>
      <c r="E199" s="294" t="s">
        <v>792</v>
      </c>
      <c r="F199" s="295" t="s">
        <v>605</v>
      </c>
      <c r="G199" s="296" t="s">
        <v>756</v>
      </c>
      <c r="H199" s="294" t="s">
        <v>477</v>
      </c>
      <c r="I199" s="297" t="str">
        <f t="shared" si="29"/>
        <v>niet van toepassing</v>
      </c>
      <c r="J199" s="295" t="s">
        <v>17</v>
      </c>
      <c r="K199" s="298"/>
      <c r="L199" s="298">
        <v>5.4</v>
      </c>
      <c r="M199" s="299" t="s">
        <v>17</v>
      </c>
      <c r="N199" s="300">
        <f t="shared" si="31"/>
        <v>0</v>
      </c>
      <c r="O199" s="484">
        <v>1</v>
      </c>
      <c r="P199" s="484">
        <v>1</v>
      </c>
      <c r="Q199" s="292">
        <f t="shared" si="32"/>
        <v>0</v>
      </c>
      <c r="R199" s="292">
        <f t="shared" si="33"/>
        <v>0</v>
      </c>
      <c r="S199" s="301">
        <f t="shared" si="27"/>
        <v>0</v>
      </c>
      <c r="T199" s="301">
        <f t="shared" si="28"/>
        <v>0</v>
      </c>
      <c r="U199" s="771">
        <f t="shared" si="30"/>
        <v>0</v>
      </c>
      <c r="V199" s="303"/>
      <c r="W199" s="304">
        <f>(Q199+R199)*'1.0-Contractblad'!$L$37</f>
        <v>0</v>
      </c>
      <c r="X199" s="304">
        <f ca="1">VLOOKUP(E199,'1.1a-Jaarprijzen'!$B$35:$Q$57,16,FALSE)*K199</f>
        <v>0</v>
      </c>
      <c r="Z199" s="773">
        <f t="shared" si="34"/>
        <v>0</v>
      </c>
      <c r="AA199" s="492" t="str">
        <f t="shared" si="35"/>
        <v>nvt-0</v>
      </c>
    </row>
    <row r="200" spans="2:27" s="490" customFormat="1" ht="15">
      <c r="B200" s="330"/>
      <c r="C200" s="331"/>
      <c r="D200" s="295">
        <f>VLOOKUP(E200,'1.1a-Jaarprijzen'!$B$13:$G$32,6,FALSE)</f>
        <v>2</v>
      </c>
      <c r="E200" s="294" t="s">
        <v>792</v>
      </c>
      <c r="F200" s="295" t="s">
        <v>605</v>
      </c>
      <c r="G200" s="296" t="s">
        <v>757</v>
      </c>
      <c r="H200" s="294" t="s">
        <v>477</v>
      </c>
      <c r="I200" s="297" t="str">
        <f t="shared" si="29"/>
        <v>niet van toepassing</v>
      </c>
      <c r="J200" s="295" t="s">
        <v>17</v>
      </c>
      <c r="K200" s="298"/>
      <c r="L200" s="298">
        <v>5.3</v>
      </c>
      <c r="M200" s="299" t="s">
        <v>17</v>
      </c>
      <c r="N200" s="300">
        <f t="shared" si="31"/>
        <v>0</v>
      </c>
      <c r="O200" s="484">
        <v>1</v>
      </c>
      <c r="P200" s="484">
        <v>1</v>
      </c>
      <c r="Q200" s="292">
        <f t="shared" si="32"/>
        <v>0</v>
      </c>
      <c r="R200" s="292">
        <f t="shared" si="33"/>
        <v>0</v>
      </c>
      <c r="S200" s="301">
        <f t="shared" si="27"/>
        <v>0</v>
      </c>
      <c r="T200" s="301">
        <f t="shared" si="28"/>
        <v>0</v>
      </c>
      <c r="U200" s="771">
        <f t="shared" si="30"/>
        <v>0</v>
      </c>
      <c r="V200" s="303"/>
      <c r="W200" s="304">
        <f>(Q200+R200)*'1.0-Contractblad'!$L$37</f>
        <v>0</v>
      </c>
      <c r="X200" s="304">
        <f ca="1">VLOOKUP(E200,'1.1a-Jaarprijzen'!$B$35:$Q$57,16,FALSE)*K200</f>
        <v>0</v>
      </c>
      <c r="Z200" s="773">
        <f t="shared" si="34"/>
        <v>0</v>
      </c>
      <c r="AA200" s="492" t="str">
        <f t="shared" si="35"/>
        <v>nvt-0</v>
      </c>
    </row>
    <row r="201" spans="2:27" s="490" customFormat="1" ht="15">
      <c r="B201" s="330"/>
      <c r="C201" s="331"/>
      <c r="D201" s="295">
        <f>VLOOKUP(E201,'1.1a-Jaarprijzen'!$B$13:$G$32,6,FALSE)</f>
        <v>2</v>
      </c>
      <c r="E201" s="294" t="s">
        <v>808</v>
      </c>
      <c r="F201" s="295" t="s">
        <v>605</v>
      </c>
      <c r="G201" s="296" t="s">
        <v>809</v>
      </c>
      <c r="H201" s="294" t="s">
        <v>393</v>
      </c>
      <c r="I201" s="297" t="str">
        <f t="shared" si="29"/>
        <v>entree, gang, hal, repro</v>
      </c>
      <c r="J201" s="295" t="s">
        <v>465</v>
      </c>
      <c r="K201" s="298">
        <v>13</v>
      </c>
      <c r="L201" s="298"/>
      <c r="M201" s="299">
        <v>3200</v>
      </c>
      <c r="N201" s="300">
        <f t="shared" si="31"/>
        <v>200</v>
      </c>
      <c r="O201" s="484">
        <v>1</v>
      </c>
      <c r="P201" s="484">
        <v>1</v>
      </c>
      <c r="Q201" s="292">
        <f t="shared" si="32"/>
        <v>0</v>
      </c>
      <c r="R201" s="292">
        <f t="shared" si="33"/>
        <v>0</v>
      </c>
      <c r="S201" s="301">
        <f t="shared" si="27"/>
        <v>0</v>
      </c>
      <c r="T201" s="301">
        <f t="shared" si="28"/>
        <v>0</v>
      </c>
      <c r="U201" s="771" t="str">
        <f t="shared" si="30"/>
        <v>V</v>
      </c>
      <c r="V201" s="303"/>
      <c r="W201" s="304">
        <f>(Q201+R201)*'1.0-Contractblad'!$L$37</f>
        <v>0</v>
      </c>
      <c r="X201" s="304">
        <f ca="1">VLOOKUP(E201,'1.1a-Jaarprijzen'!$B$35:$Q$57,16,FALSE)*K201</f>
        <v>0</v>
      </c>
      <c r="Z201" s="773">
        <f t="shared" si="34"/>
        <v>2600</v>
      </c>
      <c r="AA201" s="492" t="str">
        <f t="shared" si="35"/>
        <v>3200-200</v>
      </c>
    </row>
    <row r="202" spans="2:27" s="490" customFormat="1" ht="15">
      <c r="B202" s="330"/>
      <c r="C202" s="331"/>
      <c r="D202" s="295">
        <f>VLOOKUP(E202,'1.1a-Jaarprijzen'!$B$13:$G$32,6,FALSE)</f>
        <v>2</v>
      </c>
      <c r="E202" s="294" t="s">
        <v>808</v>
      </c>
      <c r="F202" s="295" t="s">
        <v>605</v>
      </c>
      <c r="G202" s="296" t="s">
        <v>810</v>
      </c>
      <c r="H202" s="294" t="s">
        <v>571</v>
      </c>
      <c r="I202" s="297" t="str">
        <f t="shared" si="29"/>
        <v>niet van toepassing</v>
      </c>
      <c r="J202" s="295" t="s">
        <v>465</v>
      </c>
      <c r="K202" s="298"/>
      <c r="L202" s="298">
        <v>1</v>
      </c>
      <c r="M202" s="299" t="s">
        <v>17</v>
      </c>
      <c r="N202" s="300">
        <f t="shared" si="31"/>
        <v>0</v>
      </c>
      <c r="O202" s="484">
        <v>1</v>
      </c>
      <c r="P202" s="484">
        <v>1</v>
      </c>
      <c r="Q202" s="292">
        <f t="shared" si="32"/>
        <v>0</v>
      </c>
      <c r="R202" s="292">
        <f t="shared" si="33"/>
        <v>0</v>
      </c>
      <c r="S202" s="301">
        <f t="shared" si="27"/>
        <v>0</v>
      </c>
      <c r="T202" s="301">
        <f t="shared" si="28"/>
        <v>0</v>
      </c>
      <c r="U202" s="771">
        <f t="shared" si="30"/>
        <v>0</v>
      </c>
      <c r="V202" s="303"/>
      <c r="W202" s="304">
        <f>(Q202+R202)*'1.0-Contractblad'!$L$37</f>
        <v>0</v>
      </c>
      <c r="X202" s="304">
        <f ca="1">VLOOKUP(E202,'1.1a-Jaarprijzen'!$B$35:$Q$57,16,FALSE)*K202</f>
        <v>0</v>
      </c>
      <c r="Z202" s="773">
        <f t="shared" si="34"/>
        <v>0</v>
      </c>
      <c r="AA202" s="492" t="str">
        <f t="shared" si="35"/>
        <v>nvt-0</v>
      </c>
    </row>
    <row r="203" spans="2:27" s="490" customFormat="1" ht="15">
      <c r="B203" s="330"/>
      <c r="C203" s="331"/>
      <c r="D203" s="295">
        <f>VLOOKUP(E203,'1.1a-Jaarprijzen'!$B$13:$G$32,6,FALSE)</f>
        <v>2</v>
      </c>
      <c r="E203" s="294" t="s">
        <v>808</v>
      </c>
      <c r="F203" s="295" t="s">
        <v>605</v>
      </c>
      <c r="G203" s="296" t="s">
        <v>811</v>
      </c>
      <c r="H203" s="294" t="s">
        <v>571</v>
      </c>
      <c r="I203" s="297" t="str">
        <f t="shared" si="29"/>
        <v>niet van toepassing</v>
      </c>
      <c r="J203" s="295" t="s">
        <v>465</v>
      </c>
      <c r="K203" s="298"/>
      <c r="L203" s="298">
        <v>1.5</v>
      </c>
      <c r="M203" s="299" t="s">
        <v>17</v>
      </c>
      <c r="N203" s="300">
        <f t="shared" si="31"/>
        <v>0</v>
      </c>
      <c r="O203" s="484">
        <v>1</v>
      </c>
      <c r="P203" s="484">
        <v>1</v>
      </c>
      <c r="Q203" s="292">
        <f t="shared" si="32"/>
        <v>0</v>
      </c>
      <c r="R203" s="292">
        <f t="shared" si="33"/>
        <v>0</v>
      </c>
      <c r="S203" s="301">
        <f t="shared" si="27"/>
        <v>0</v>
      </c>
      <c r="T203" s="301">
        <f t="shared" si="28"/>
        <v>0</v>
      </c>
      <c r="U203" s="771">
        <f t="shared" si="30"/>
        <v>0</v>
      </c>
      <c r="V203" s="303"/>
      <c r="W203" s="304">
        <f>(Q203+R203)*'1.0-Contractblad'!$L$37</f>
        <v>0</v>
      </c>
      <c r="X203" s="304">
        <f ca="1">VLOOKUP(E203,'1.1a-Jaarprijzen'!$B$35:$Q$57,16,FALSE)*K203</f>
        <v>0</v>
      </c>
      <c r="Z203" s="773">
        <f t="shared" si="34"/>
        <v>0</v>
      </c>
      <c r="AA203" s="492" t="str">
        <f t="shared" si="35"/>
        <v>nvt-0</v>
      </c>
    </row>
    <row r="204" spans="2:27" s="490" customFormat="1" ht="15">
      <c r="B204" s="330"/>
      <c r="C204" s="331"/>
      <c r="D204" s="295">
        <f>VLOOKUP(E204,'1.1a-Jaarprijzen'!$B$13:$G$32,6,FALSE)</f>
        <v>2</v>
      </c>
      <c r="E204" s="294" t="s">
        <v>808</v>
      </c>
      <c r="F204" s="295" t="s">
        <v>605</v>
      </c>
      <c r="G204" s="296" t="s">
        <v>812</v>
      </c>
      <c r="H204" s="294" t="s">
        <v>392</v>
      </c>
      <c r="I204" s="297" t="str">
        <f t="shared" si="29"/>
        <v>aula, gemeenschappelijke ruimte, bibliotheek</v>
      </c>
      <c r="J204" s="295" t="s">
        <v>465</v>
      </c>
      <c r="K204" s="298">
        <v>83.5</v>
      </c>
      <c r="L204" s="298"/>
      <c r="M204" s="299">
        <v>2200</v>
      </c>
      <c r="N204" s="300">
        <f t="shared" si="31"/>
        <v>200</v>
      </c>
      <c r="O204" s="484">
        <v>1</v>
      </c>
      <c r="P204" s="484">
        <v>1</v>
      </c>
      <c r="Q204" s="292">
        <f t="shared" si="32"/>
        <v>0</v>
      </c>
      <c r="R204" s="292">
        <f t="shared" si="33"/>
        <v>0</v>
      </c>
      <c r="S204" s="301">
        <f t="shared" si="27"/>
        <v>0</v>
      </c>
      <c r="T204" s="301">
        <f t="shared" si="28"/>
        <v>0</v>
      </c>
      <c r="U204" s="771" t="str">
        <f t="shared" si="30"/>
        <v>V</v>
      </c>
      <c r="V204" s="303"/>
      <c r="W204" s="304">
        <f>(Q204+R204)*'1.0-Contractblad'!$L$37</f>
        <v>0</v>
      </c>
      <c r="X204" s="304">
        <f ca="1">VLOOKUP(E204,'1.1a-Jaarprijzen'!$B$35:$Q$57,16,FALSE)*K204</f>
        <v>0</v>
      </c>
      <c r="Z204" s="773">
        <f t="shared" si="34"/>
        <v>16700</v>
      </c>
      <c r="AA204" s="492" t="str">
        <f t="shared" si="35"/>
        <v>2200-200</v>
      </c>
    </row>
    <row r="205" spans="2:27" s="490" customFormat="1" ht="15">
      <c r="B205" s="330"/>
      <c r="C205" s="331"/>
      <c r="D205" s="295">
        <f>VLOOKUP(E205,'1.1a-Jaarprijzen'!$B$13:$G$32,6,FALSE)</f>
        <v>2</v>
      </c>
      <c r="E205" s="294" t="s">
        <v>808</v>
      </c>
      <c r="F205" s="295" t="s">
        <v>605</v>
      </c>
      <c r="G205" s="296" t="s">
        <v>813</v>
      </c>
      <c r="H205" s="294" t="s">
        <v>396</v>
      </c>
      <c r="I205" s="297" t="str">
        <f t="shared" si="29"/>
        <v>aula, gemeenschappelijke ruimte, bibliotheek</v>
      </c>
      <c r="J205" s="295" t="s">
        <v>465</v>
      </c>
      <c r="K205" s="298">
        <v>101</v>
      </c>
      <c r="L205" s="298"/>
      <c r="M205" s="299">
        <v>2200</v>
      </c>
      <c r="N205" s="300">
        <f t="shared" si="31"/>
        <v>200</v>
      </c>
      <c r="O205" s="484">
        <v>1</v>
      </c>
      <c r="P205" s="484">
        <v>1</v>
      </c>
      <c r="Q205" s="292">
        <f t="shared" si="32"/>
        <v>0</v>
      </c>
      <c r="R205" s="292">
        <f t="shared" si="33"/>
        <v>0</v>
      </c>
      <c r="S205" s="301">
        <f t="shared" si="27"/>
        <v>0</v>
      </c>
      <c r="T205" s="301">
        <f t="shared" si="28"/>
        <v>0</v>
      </c>
      <c r="U205" s="771" t="str">
        <f t="shared" si="30"/>
        <v>V</v>
      </c>
      <c r="V205" s="303"/>
      <c r="W205" s="304">
        <f>(Q205+R205)*'1.0-Contractblad'!$L$37</f>
        <v>0</v>
      </c>
      <c r="X205" s="304">
        <f ca="1">VLOOKUP(E205,'1.1a-Jaarprijzen'!$B$35:$Q$57,16,FALSE)*K205</f>
        <v>0</v>
      </c>
      <c r="Z205" s="773">
        <f t="shared" si="34"/>
        <v>20200</v>
      </c>
      <c r="AA205" s="492" t="str">
        <f t="shared" si="35"/>
        <v>2200-200</v>
      </c>
    </row>
    <row r="206" spans="2:27" s="490" customFormat="1" ht="15">
      <c r="B206" s="330"/>
      <c r="C206" s="331"/>
      <c r="D206" s="295">
        <f>VLOOKUP(E206,'1.1a-Jaarprijzen'!$B$13:$G$32,6,FALSE)</f>
        <v>2</v>
      </c>
      <c r="E206" s="294" t="s">
        <v>808</v>
      </c>
      <c r="F206" s="295" t="s">
        <v>605</v>
      </c>
      <c r="G206" s="296" t="s">
        <v>814</v>
      </c>
      <c r="H206" s="294" t="s">
        <v>796</v>
      </c>
      <c r="I206" s="297" t="str">
        <f t="shared" si="29"/>
        <v>aula, gemeenschappelijke ruimte, bibliotheek</v>
      </c>
      <c r="J206" s="295" t="s">
        <v>465</v>
      </c>
      <c r="K206" s="298">
        <v>25</v>
      </c>
      <c r="L206" s="298"/>
      <c r="M206" s="299">
        <v>2200</v>
      </c>
      <c r="N206" s="300">
        <f t="shared" si="31"/>
        <v>200</v>
      </c>
      <c r="O206" s="484">
        <v>1</v>
      </c>
      <c r="P206" s="484">
        <v>1</v>
      </c>
      <c r="Q206" s="292">
        <f t="shared" si="32"/>
        <v>0</v>
      </c>
      <c r="R206" s="292">
        <f t="shared" si="33"/>
        <v>0</v>
      </c>
      <c r="S206" s="301">
        <f t="shared" si="27"/>
        <v>0</v>
      </c>
      <c r="T206" s="301">
        <f t="shared" si="28"/>
        <v>0</v>
      </c>
      <c r="U206" s="771" t="str">
        <f t="shared" si="30"/>
        <v>V</v>
      </c>
      <c r="V206" s="303"/>
      <c r="W206" s="304">
        <f>(Q206+R206)*'1.0-Contractblad'!$L$37</f>
        <v>0</v>
      </c>
      <c r="X206" s="304">
        <f ca="1">VLOOKUP(E206,'1.1a-Jaarprijzen'!$B$35:$Q$57,16,FALSE)*K206</f>
        <v>0</v>
      </c>
      <c r="Z206" s="773">
        <f t="shared" si="34"/>
        <v>5000</v>
      </c>
      <c r="AA206" s="492" t="str">
        <f t="shared" si="35"/>
        <v>2200-200</v>
      </c>
    </row>
    <row r="207" spans="2:27" s="490" customFormat="1" ht="15">
      <c r="B207" s="330"/>
      <c r="C207" s="331"/>
      <c r="D207" s="295">
        <f>VLOOKUP(E207,'1.1a-Jaarprijzen'!$B$13:$G$32,6,FALSE)</f>
        <v>2</v>
      </c>
      <c r="E207" s="294" t="s">
        <v>808</v>
      </c>
      <c r="F207" s="295" t="s">
        <v>605</v>
      </c>
      <c r="G207" s="296" t="s">
        <v>815</v>
      </c>
      <c r="H207" s="294" t="s">
        <v>387</v>
      </c>
      <c r="I207" s="297" t="str">
        <f t="shared" si="29"/>
        <v>entree, gang, hal, repro</v>
      </c>
      <c r="J207" s="295" t="s">
        <v>465</v>
      </c>
      <c r="K207" s="298">
        <v>32.5</v>
      </c>
      <c r="L207" s="298"/>
      <c r="M207" s="299">
        <v>3200</v>
      </c>
      <c r="N207" s="300">
        <f t="shared" si="31"/>
        <v>200</v>
      </c>
      <c r="O207" s="484">
        <v>1</v>
      </c>
      <c r="P207" s="484">
        <v>1</v>
      </c>
      <c r="Q207" s="292">
        <f t="shared" si="32"/>
        <v>0</v>
      </c>
      <c r="R207" s="292">
        <f t="shared" si="33"/>
        <v>0</v>
      </c>
      <c r="S207" s="301">
        <f t="shared" si="27"/>
        <v>0</v>
      </c>
      <c r="T207" s="301">
        <f t="shared" si="28"/>
        <v>0</v>
      </c>
      <c r="U207" s="771" t="str">
        <f t="shared" si="30"/>
        <v>V</v>
      </c>
      <c r="V207" s="303"/>
      <c r="W207" s="304">
        <f>(Q207+R207)*'1.0-Contractblad'!$L$37</f>
        <v>0</v>
      </c>
      <c r="X207" s="304">
        <f ca="1">VLOOKUP(E207,'1.1a-Jaarprijzen'!$B$35:$Q$57,16,FALSE)*K207</f>
        <v>0</v>
      </c>
      <c r="Z207" s="773">
        <f t="shared" si="34"/>
        <v>6500</v>
      </c>
      <c r="AA207" s="492" t="str">
        <f t="shared" si="35"/>
        <v>3200-200</v>
      </c>
    </row>
    <row r="208" spans="2:27" s="490" customFormat="1" ht="15">
      <c r="B208" s="330"/>
      <c r="C208" s="331"/>
      <c r="D208" s="295">
        <f>VLOOKUP(E208,'1.1a-Jaarprijzen'!$B$13:$G$32,6,FALSE)</f>
        <v>2</v>
      </c>
      <c r="E208" s="294" t="s">
        <v>808</v>
      </c>
      <c r="F208" s="295" t="s">
        <v>605</v>
      </c>
      <c r="G208" s="296" t="s">
        <v>816</v>
      </c>
      <c r="H208" s="294" t="s">
        <v>1031</v>
      </c>
      <c r="I208" s="297" t="str">
        <f t="shared" si="29"/>
        <v>sanitaire ruimte (toilet-/doucheruimte)</v>
      </c>
      <c r="J208" s="295" t="s">
        <v>465</v>
      </c>
      <c r="K208" s="298">
        <v>3.5</v>
      </c>
      <c r="L208" s="298"/>
      <c r="M208" s="299">
        <v>4200</v>
      </c>
      <c r="N208" s="300">
        <f t="shared" si="31"/>
        <v>200</v>
      </c>
      <c r="O208" s="484">
        <v>1</v>
      </c>
      <c r="P208" s="484">
        <v>1</v>
      </c>
      <c r="Q208" s="292">
        <f t="shared" si="32"/>
        <v>0</v>
      </c>
      <c r="R208" s="292">
        <f t="shared" si="33"/>
        <v>0</v>
      </c>
      <c r="S208" s="301">
        <f t="shared" si="27"/>
        <v>0</v>
      </c>
      <c r="T208" s="301">
        <f t="shared" si="28"/>
        <v>0</v>
      </c>
      <c r="U208" s="771" t="str">
        <f t="shared" si="30"/>
        <v>S</v>
      </c>
      <c r="V208" s="303"/>
      <c r="W208" s="304">
        <f>(Q208+R208)*'1.0-Contractblad'!$L$37</f>
        <v>0</v>
      </c>
      <c r="X208" s="304">
        <f ca="1">VLOOKUP(E208,'1.1a-Jaarprijzen'!$B$35:$Q$57,16,FALSE)*K208</f>
        <v>0</v>
      </c>
      <c r="Z208" s="773">
        <f t="shared" si="34"/>
        <v>700</v>
      </c>
      <c r="AA208" s="492" t="str">
        <f t="shared" si="35"/>
        <v>4200-200</v>
      </c>
    </row>
    <row r="209" spans="2:27" s="490" customFormat="1" ht="15">
      <c r="B209" s="330"/>
      <c r="C209" s="331"/>
      <c r="D209" s="295">
        <f>VLOOKUP(E209,'1.1a-Jaarprijzen'!$B$13:$G$32,6,FALSE)</f>
        <v>2</v>
      </c>
      <c r="E209" s="294" t="s">
        <v>808</v>
      </c>
      <c r="F209" s="295" t="s">
        <v>605</v>
      </c>
      <c r="G209" s="296" t="s">
        <v>817</v>
      </c>
      <c r="H209" s="294" t="s">
        <v>417</v>
      </c>
      <c r="I209" s="297" t="str">
        <f t="shared" si="29"/>
        <v>lift</v>
      </c>
      <c r="J209" s="295" t="s">
        <v>465</v>
      </c>
      <c r="K209" s="298">
        <v>2</v>
      </c>
      <c r="L209" s="298"/>
      <c r="M209" s="299">
        <v>10040</v>
      </c>
      <c r="N209" s="300">
        <f t="shared" si="31"/>
        <v>40</v>
      </c>
      <c r="O209" s="484">
        <v>1</v>
      </c>
      <c r="P209" s="484">
        <v>1</v>
      </c>
      <c r="Q209" s="292">
        <f t="shared" si="32"/>
        <v>0</v>
      </c>
      <c r="R209" s="292">
        <f t="shared" si="33"/>
        <v>0</v>
      </c>
      <c r="S209" s="301">
        <f t="shared" si="27"/>
        <v>0</v>
      </c>
      <c r="T209" s="301">
        <f t="shared" si="28"/>
        <v>0</v>
      </c>
      <c r="U209" s="771" t="str">
        <f t="shared" si="30"/>
        <v>V</v>
      </c>
      <c r="V209" s="303"/>
      <c r="W209" s="304">
        <f>(Q209+R209)*'1.0-Contractblad'!$L$37</f>
        <v>0</v>
      </c>
      <c r="X209" s="304">
        <f ca="1">VLOOKUP(E209,'1.1a-Jaarprijzen'!$B$35:$Q$57,16,FALSE)*K209</f>
        <v>0</v>
      </c>
      <c r="Z209" s="773">
        <f t="shared" si="34"/>
        <v>80</v>
      </c>
      <c r="AA209" s="492" t="str">
        <f t="shared" si="35"/>
        <v>10040-40</v>
      </c>
    </row>
    <row r="210" spans="2:27" s="490" customFormat="1" ht="15">
      <c r="B210" s="330"/>
      <c r="C210" s="331"/>
      <c r="D210" s="295">
        <f>VLOOKUP(E210,'1.1a-Jaarprijzen'!$B$13:$G$32,6,FALSE)</f>
        <v>2</v>
      </c>
      <c r="E210" s="294" t="s">
        <v>808</v>
      </c>
      <c r="F210" s="295" t="s">
        <v>605</v>
      </c>
      <c r="G210" s="296" t="s">
        <v>809</v>
      </c>
      <c r="H210" s="294" t="s">
        <v>391</v>
      </c>
      <c r="I210" s="297" t="str">
        <f t="shared" si="29"/>
        <v>niet van toepassing</v>
      </c>
      <c r="J210" s="295" t="s">
        <v>465</v>
      </c>
      <c r="K210" s="298"/>
      <c r="L210" s="298">
        <v>12.5</v>
      </c>
      <c r="M210" s="299" t="s">
        <v>17</v>
      </c>
      <c r="N210" s="300">
        <f t="shared" si="31"/>
        <v>0</v>
      </c>
      <c r="O210" s="484">
        <v>1</v>
      </c>
      <c r="P210" s="484">
        <v>1</v>
      </c>
      <c r="Q210" s="292">
        <f t="shared" si="32"/>
        <v>0</v>
      </c>
      <c r="R210" s="292">
        <f t="shared" si="33"/>
        <v>0</v>
      </c>
      <c r="S210" s="301">
        <f t="shared" si="27"/>
        <v>0</v>
      </c>
      <c r="T210" s="301">
        <f t="shared" si="28"/>
        <v>0</v>
      </c>
      <c r="U210" s="771">
        <f t="shared" si="30"/>
        <v>0</v>
      </c>
      <c r="V210" s="303"/>
      <c r="W210" s="304">
        <f>(Q210+R210)*'1.0-Contractblad'!$L$37</f>
        <v>0</v>
      </c>
      <c r="X210" s="304">
        <f ca="1">VLOOKUP(E210,'1.1a-Jaarprijzen'!$B$35:$Q$57,16,FALSE)*K210</f>
        <v>0</v>
      </c>
      <c r="Z210" s="773">
        <f t="shared" si="34"/>
        <v>0</v>
      </c>
      <c r="AA210" s="492" t="str">
        <f t="shared" si="35"/>
        <v>nvt-0</v>
      </c>
    </row>
    <row r="211" spans="2:27" s="490" customFormat="1" ht="15">
      <c r="B211" s="330"/>
      <c r="C211" s="331"/>
      <c r="D211" s="295">
        <f>VLOOKUP(E211,'1.1a-Jaarprijzen'!$B$13:$G$32,6,FALSE)</f>
        <v>2</v>
      </c>
      <c r="E211" s="294" t="s">
        <v>808</v>
      </c>
      <c r="F211" s="295" t="s">
        <v>605</v>
      </c>
      <c r="G211" s="296" t="s">
        <v>599</v>
      </c>
      <c r="H211" s="294" t="s">
        <v>388</v>
      </c>
      <c r="I211" s="297" t="str">
        <f t="shared" si="29"/>
        <v>niet van toepassing</v>
      </c>
      <c r="J211" s="295" t="s">
        <v>465</v>
      </c>
      <c r="K211" s="298"/>
      <c r="L211" s="298">
        <v>2</v>
      </c>
      <c r="M211" s="299" t="s">
        <v>17</v>
      </c>
      <c r="N211" s="300">
        <f t="shared" si="31"/>
        <v>0</v>
      </c>
      <c r="O211" s="484">
        <v>1</v>
      </c>
      <c r="P211" s="484">
        <v>1</v>
      </c>
      <c r="Q211" s="292">
        <f t="shared" si="32"/>
        <v>0</v>
      </c>
      <c r="R211" s="292">
        <f t="shared" si="33"/>
        <v>0</v>
      </c>
      <c r="S211" s="301">
        <f t="shared" si="27"/>
        <v>0</v>
      </c>
      <c r="T211" s="301">
        <f t="shared" si="28"/>
        <v>0</v>
      </c>
      <c r="U211" s="771">
        <f t="shared" si="30"/>
        <v>0</v>
      </c>
      <c r="V211" s="303"/>
      <c r="W211" s="304">
        <f>(Q211+R211)*'1.0-Contractblad'!$L$37</f>
        <v>0</v>
      </c>
      <c r="X211" s="304">
        <f ca="1">VLOOKUP(E211,'1.1a-Jaarprijzen'!$B$35:$Q$57,16,FALSE)*K211</f>
        <v>0</v>
      </c>
      <c r="Z211" s="773">
        <f t="shared" si="34"/>
        <v>0</v>
      </c>
      <c r="AA211" s="492" t="str">
        <f t="shared" si="35"/>
        <v>nvt-0</v>
      </c>
    </row>
    <row r="212" spans="2:27" s="490" customFormat="1" ht="15">
      <c r="B212" s="330"/>
      <c r="C212" s="331"/>
      <c r="D212" s="295">
        <f>VLOOKUP(E212,'1.1a-Jaarprijzen'!$B$13:$G$32,6,FALSE)</f>
        <v>2</v>
      </c>
      <c r="E212" s="294" t="s">
        <v>808</v>
      </c>
      <c r="F212" s="295" t="s">
        <v>605</v>
      </c>
      <c r="G212" s="295" t="s">
        <v>607</v>
      </c>
      <c r="H212" s="294" t="s">
        <v>818</v>
      </c>
      <c r="I212" s="297" t="str">
        <f t="shared" si="29"/>
        <v>niet van toepassing</v>
      </c>
      <c r="J212" s="295" t="s">
        <v>465</v>
      </c>
      <c r="K212" s="298"/>
      <c r="L212" s="298">
        <v>5</v>
      </c>
      <c r="M212" s="299" t="s">
        <v>17</v>
      </c>
      <c r="N212" s="300">
        <f t="shared" si="31"/>
        <v>0</v>
      </c>
      <c r="O212" s="484">
        <v>1</v>
      </c>
      <c r="P212" s="484">
        <v>1</v>
      </c>
      <c r="Q212" s="292">
        <f t="shared" si="32"/>
        <v>0</v>
      </c>
      <c r="R212" s="292">
        <f t="shared" si="33"/>
        <v>0</v>
      </c>
      <c r="S212" s="301">
        <f t="shared" si="27"/>
        <v>0</v>
      </c>
      <c r="T212" s="301">
        <f t="shared" si="28"/>
        <v>0</v>
      </c>
      <c r="U212" s="771">
        <f t="shared" si="30"/>
        <v>0</v>
      </c>
      <c r="V212" s="303"/>
      <c r="W212" s="304">
        <f>(Q212+R212)*'1.0-Contractblad'!$L$37</f>
        <v>0</v>
      </c>
      <c r="X212" s="304">
        <f ca="1">VLOOKUP(E212,'1.1a-Jaarprijzen'!$B$35:$Q$57,16,FALSE)*K212</f>
        <v>0</v>
      </c>
      <c r="Z212" s="773">
        <f t="shared" si="34"/>
        <v>0</v>
      </c>
      <c r="AA212" s="492" t="str">
        <f t="shared" si="35"/>
        <v>nvt-0</v>
      </c>
    </row>
    <row r="213" spans="2:27" s="490" customFormat="1" ht="15">
      <c r="B213" s="330"/>
      <c r="C213" s="331"/>
      <c r="D213" s="295">
        <f>VLOOKUP(E213,'1.1a-Jaarprijzen'!$B$13:$G$32,6,FALSE)</f>
        <v>2</v>
      </c>
      <c r="E213" s="294" t="s">
        <v>808</v>
      </c>
      <c r="F213" s="295" t="s">
        <v>605</v>
      </c>
      <c r="G213" s="295" t="s">
        <v>608</v>
      </c>
      <c r="H213" s="294" t="s">
        <v>387</v>
      </c>
      <c r="I213" s="297" t="str">
        <f t="shared" si="29"/>
        <v>entree, gang, hal, repro</v>
      </c>
      <c r="J213" s="295" t="s">
        <v>465</v>
      </c>
      <c r="K213" s="298">
        <v>9.5</v>
      </c>
      <c r="L213" s="298"/>
      <c r="M213" s="299">
        <v>3200</v>
      </c>
      <c r="N213" s="300">
        <f t="shared" si="31"/>
        <v>200</v>
      </c>
      <c r="O213" s="484">
        <v>1</v>
      </c>
      <c r="P213" s="484">
        <v>1</v>
      </c>
      <c r="Q213" s="292">
        <f t="shared" si="32"/>
        <v>0</v>
      </c>
      <c r="R213" s="292">
        <f t="shared" si="33"/>
        <v>0</v>
      </c>
      <c r="S213" s="301">
        <f t="shared" si="27"/>
        <v>0</v>
      </c>
      <c r="T213" s="301">
        <f t="shared" si="28"/>
        <v>0</v>
      </c>
      <c r="U213" s="771" t="str">
        <f t="shared" si="30"/>
        <v>V</v>
      </c>
      <c r="V213" s="303"/>
      <c r="W213" s="304">
        <f>(Q213+R213)*'1.0-Contractblad'!$L$37</f>
        <v>0</v>
      </c>
      <c r="X213" s="304">
        <f ca="1">VLOOKUP(E213,'1.1a-Jaarprijzen'!$B$35:$Q$57,16,FALSE)*K213</f>
        <v>0</v>
      </c>
      <c r="Z213" s="773">
        <f t="shared" si="34"/>
        <v>1900</v>
      </c>
      <c r="AA213" s="492" t="str">
        <f t="shared" si="35"/>
        <v>3200-200</v>
      </c>
    </row>
    <row r="214" spans="2:27" s="490" customFormat="1" ht="15">
      <c r="B214" s="330"/>
      <c r="C214" s="331"/>
      <c r="D214" s="295">
        <f>VLOOKUP(E214,'1.1a-Jaarprijzen'!$B$13:$G$32,6,FALSE)</f>
        <v>2</v>
      </c>
      <c r="E214" s="294" t="s">
        <v>808</v>
      </c>
      <c r="F214" s="295" t="s">
        <v>605</v>
      </c>
      <c r="G214" s="296" t="s">
        <v>609</v>
      </c>
      <c r="H214" s="294" t="s">
        <v>387</v>
      </c>
      <c r="I214" s="297" t="str">
        <f t="shared" si="29"/>
        <v>entree, gang, hal, repro</v>
      </c>
      <c r="J214" s="295" t="s">
        <v>465</v>
      </c>
      <c r="K214" s="298">
        <v>9.5</v>
      </c>
      <c r="L214" s="298"/>
      <c r="M214" s="299">
        <v>3200</v>
      </c>
      <c r="N214" s="300">
        <f t="shared" si="31"/>
        <v>200</v>
      </c>
      <c r="O214" s="484">
        <v>1</v>
      </c>
      <c r="P214" s="484">
        <v>1</v>
      </c>
      <c r="Q214" s="292">
        <f t="shared" si="32"/>
        <v>0</v>
      </c>
      <c r="R214" s="292">
        <f t="shared" si="33"/>
        <v>0</v>
      </c>
      <c r="S214" s="301">
        <f t="shared" si="27"/>
        <v>0</v>
      </c>
      <c r="T214" s="301">
        <f t="shared" si="28"/>
        <v>0</v>
      </c>
      <c r="U214" s="771" t="str">
        <f t="shared" si="30"/>
        <v>V</v>
      </c>
      <c r="V214" s="303"/>
      <c r="W214" s="304">
        <f>(Q214+R214)*'1.0-Contractblad'!$L$37</f>
        <v>0</v>
      </c>
      <c r="X214" s="304">
        <f ca="1">VLOOKUP(E214,'1.1a-Jaarprijzen'!$B$35:$Q$57,16,FALSE)*K214</f>
        <v>0</v>
      </c>
      <c r="Z214" s="773">
        <f t="shared" si="34"/>
        <v>1900</v>
      </c>
      <c r="AA214" s="492" t="str">
        <f t="shared" si="35"/>
        <v>3200-200</v>
      </c>
    </row>
    <row r="215" spans="2:27" s="490" customFormat="1" ht="15">
      <c r="B215" s="330"/>
      <c r="C215" s="331"/>
      <c r="D215" s="295">
        <f>VLOOKUP(E215,'1.1a-Jaarprijzen'!$B$13:$G$32,6,FALSE)</f>
        <v>2</v>
      </c>
      <c r="E215" s="294" t="s">
        <v>808</v>
      </c>
      <c r="F215" s="295" t="s">
        <v>605</v>
      </c>
      <c r="G215" s="296" t="s">
        <v>610</v>
      </c>
      <c r="H215" s="294" t="s">
        <v>397</v>
      </c>
      <c r="I215" s="297" t="str">
        <f t="shared" si="29"/>
        <v>administratieve -,  vergaderruimte</v>
      </c>
      <c r="J215" s="295" t="s">
        <v>465</v>
      </c>
      <c r="K215" s="298">
        <v>15</v>
      </c>
      <c r="L215" s="298"/>
      <c r="M215" s="299">
        <v>1200</v>
      </c>
      <c r="N215" s="300">
        <f t="shared" si="31"/>
        <v>200</v>
      </c>
      <c r="O215" s="484">
        <v>1</v>
      </c>
      <c r="P215" s="484">
        <v>1</v>
      </c>
      <c r="Q215" s="292">
        <f t="shared" si="32"/>
        <v>0</v>
      </c>
      <c r="R215" s="292">
        <f t="shared" si="33"/>
        <v>0</v>
      </c>
      <c r="S215" s="301">
        <f t="shared" si="27"/>
        <v>0</v>
      </c>
      <c r="T215" s="301">
        <f t="shared" si="28"/>
        <v>0</v>
      </c>
      <c r="U215" s="771" t="str">
        <f t="shared" si="30"/>
        <v>V</v>
      </c>
      <c r="V215" s="303"/>
      <c r="W215" s="304">
        <f>(Q215+R215)*'1.0-Contractblad'!$L$37</f>
        <v>0</v>
      </c>
      <c r="X215" s="304">
        <f ca="1">VLOOKUP(E215,'1.1a-Jaarprijzen'!$B$35:$Q$57,16,FALSE)*K215</f>
        <v>0</v>
      </c>
      <c r="Z215" s="773">
        <f t="shared" si="34"/>
        <v>3000</v>
      </c>
      <c r="AA215" s="492" t="str">
        <f t="shared" si="35"/>
        <v>1200-200</v>
      </c>
    </row>
    <row r="216" spans="2:27" s="490" customFormat="1" ht="15">
      <c r="B216" s="330"/>
      <c r="C216" s="331"/>
      <c r="D216" s="295">
        <f>VLOOKUP(E216,'1.1a-Jaarprijzen'!$B$13:$G$32,6,FALSE)</f>
        <v>2</v>
      </c>
      <c r="E216" s="294" t="s">
        <v>808</v>
      </c>
      <c r="F216" s="295" t="s">
        <v>605</v>
      </c>
      <c r="G216" s="296" t="s">
        <v>612</v>
      </c>
      <c r="H216" s="294" t="s">
        <v>1032</v>
      </c>
      <c r="I216" s="297" t="str">
        <f t="shared" si="29"/>
        <v>administratieve -,  vergaderruimte</v>
      </c>
      <c r="J216" s="295" t="s">
        <v>465</v>
      </c>
      <c r="K216" s="298">
        <v>15.5</v>
      </c>
      <c r="L216" s="298"/>
      <c r="M216" s="299">
        <v>1200</v>
      </c>
      <c r="N216" s="300">
        <f t="shared" si="31"/>
        <v>200</v>
      </c>
      <c r="O216" s="484">
        <v>1</v>
      </c>
      <c r="P216" s="484">
        <v>1</v>
      </c>
      <c r="Q216" s="292">
        <f t="shared" si="32"/>
        <v>0</v>
      </c>
      <c r="R216" s="292">
        <f t="shared" si="33"/>
        <v>0</v>
      </c>
      <c r="S216" s="301">
        <f t="shared" si="27"/>
        <v>0</v>
      </c>
      <c r="T216" s="301">
        <f t="shared" si="28"/>
        <v>0</v>
      </c>
      <c r="U216" s="771" t="str">
        <f t="shared" si="30"/>
        <v>V</v>
      </c>
      <c r="V216" s="303"/>
      <c r="W216" s="304">
        <f>(Q216+R216)*'1.0-Contractblad'!$L$37</f>
        <v>0</v>
      </c>
      <c r="X216" s="304">
        <f ca="1">VLOOKUP(E216,'1.1a-Jaarprijzen'!$B$35:$Q$57,16,FALSE)*K216</f>
        <v>0</v>
      </c>
      <c r="Z216" s="773">
        <f t="shared" si="34"/>
        <v>3100</v>
      </c>
      <c r="AA216" s="492" t="str">
        <f t="shared" si="35"/>
        <v>1200-200</v>
      </c>
    </row>
    <row r="217" spans="2:27" s="490" customFormat="1" ht="15">
      <c r="B217" s="330"/>
      <c r="C217" s="331"/>
      <c r="D217" s="295">
        <f>VLOOKUP(E217,'1.1a-Jaarprijzen'!$B$13:$G$32,6,FALSE)</f>
        <v>2</v>
      </c>
      <c r="E217" s="294" t="s">
        <v>808</v>
      </c>
      <c r="F217" s="295" t="s">
        <v>605</v>
      </c>
      <c r="G217" s="296" t="s">
        <v>613</v>
      </c>
      <c r="H217" s="294" t="s">
        <v>558</v>
      </c>
      <c r="I217" s="297" t="str">
        <f t="shared" si="29"/>
        <v>administratieve -,  vergaderruimte</v>
      </c>
      <c r="J217" s="295" t="s">
        <v>465</v>
      </c>
      <c r="K217" s="298">
        <v>20</v>
      </c>
      <c r="L217" s="298"/>
      <c r="M217" s="299">
        <v>1200</v>
      </c>
      <c r="N217" s="300">
        <f t="shared" si="31"/>
        <v>200</v>
      </c>
      <c r="O217" s="484">
        <v>1</v>
      </c>
      <c r="P217" s="484">
        <v>1</v>
      </c>
      <c r="Q217" s="292">
        <f t="shared" si="32"/>
        <v>0</v>
      </c>
      <c r="R217" s="292">
        <f t="shared" si="33"/>
        <v>0</v>
      </c>
      <c r="S217" s="301">
        <f t="shared" si="27"/>
        <v>0</v>
      </c>
      <c r="T217" s="301">
        <f t="shared" si="28"/>
        <v>0</v>
      </c>
      <c r="U217" s="771" t="str">
        <f t="shared" si="30"/>
        <v>V</v>
      </c>
      <c r="V217" s="303"/>
      <c r="W217" s="304">
        <f>(Q217+R217)*'1.0-Contractblad'!$L$37</f>
        <v>0</v>
      </c>
      <c r="X217" s="304">
        <f ca="1">VLOOKUP(E217,'1.1a-Jaarprijzen'!$B$35:$Q$57,16,FALSE)*K217</f>
        <v>0</v>
      </c>
      <c r="Z217" s="773">
        <f t="shared" si="34"/>
        <v>4000</v>
      </c>
      <c r="AA217" s="492" t="str">
        <f t="shared" si="35"/>
        <v>1200-200</v>
      </c>
    </row>
    <row r="218" spans="2:27" s="490" customFormat="1" ht="15">
      <c r="B218" s="330"/>
      <c r="C218" s="331"/>
      <c r="D218" s="295">
        <f>VLOOKUP(E218,'1.1a-Jaarprijzen'!$B$13:$G$32,6,FALSE)</f>
        <v>2</v>
      </c>
      <c r="E218" s="294" t="s">
        <v>808</v>
      </c>
      <c r="F218" s="295" t="s">
        <v>605</v>
      </c>
      <c r="G218" s="296" t="s">
        <v>614</v>
      </c>
      <c r="H218" s="294" t="s">
        <v>1033</v>
      </c>
      <c r="I218" s="297" t="str">
        <f t="shared" si="29"/>
        <v>leslokaal/leerplein groep 4 t/m 8</v>
      </c>
      <c r="J218" s="295" t="s">
        <v>465</v>
      </c>
      <c r="K218" s="298">
        <v>56.5</v>
      </c>
      <c r="L218" s="298"/>
      <c r="M218" s="299">
        <v>18200</v>
      </c>
      <c r="N218" s="300">
        <f t="shared" si="31"/>
        <v>200</v>
      </c>
      <c r="O218" s="484">
        <v>1</v>
      </c>
      <c r="P218" s="484">
        <v>1</v>
      </c>
      <c r="Q218" s="292">
        <f t="shared" si="32"/>
        <v>0</v>
      </c>
      <c r="R218" s="292">
        <f t="shared" si="33"/>
        <v>0</v>
      </c>
      <c r="S218" s="301">
        <f t="shared" si="27"/>
        <v>0</v>
      </c>
      <c r="T218" s="301">
        <f t="shared" si="28"/>
        <v>0</v>
      </c>
      <c r="U218" s="771" t="str">
        <f t="shared" si="30"/>
        <v>L</v>
      </c>
      <c r="V218" s="303"/>
      <c r="W218" s="304">
        <f>(Q218+R218)*'1.0-Contractblad'!$L$37</f>
        <v>0</v>
      </c>
      <c r="X218" s="304">
        <f ca="1">VLOOKUP(E218,'1.1a-Jaarprijzen'!$B$35:$Q$57,16,FALSE)*K218</f>
        <v>0</v>
      </c>
      <c r="Z218" s="773">
        <f t="shared" si="34"/>
        <v>11300</v>
      </c>
      <c r="AA218" s="492" t="str">
        <f t="shared" si="35"/>
        <v>18200-200</v>
      </c>
    </row>
    <row r="219" spans="2:27" s="490" customFormat="1" ht="15">
      <c r="B219" s="330"/>
      <c r="C219" s="331"/>
      <c r="D219" s="295">
        <f>VLOOKUP(E219,'1.1a-Jaarprijzen'!$B$13:$G$32,6,FALSE)</f>
        <v>2</v>
      </c>
      <c r="E219" s="294" t="s">
        <v>808</v>
      </c>
      <c r="F219" s="295" t="s">
        <v>605</v>
      </c>
      <c r="G219" s="296" t="s">
        <v>615</v>
      </c>
      <c r="H219" s="294" t="s">
        <v>688</v>
      </c>
      <c r="I219" s="297" t="str">
        <f t="shared" si="29"/>
        <v>leslokaal groep 1 t/m 3</v>
      </c>
      <c r="J219" s="295" t="s">
        <v>465</v>
      </c>
      <c r="K219" s="298">
        <v>48</v>
      </c>
      <c r="L219" s="298"/>
      <c r="M219" s="299">
        <v>7200</v>
      </c>
      <c r="N219" s="300">
        <f t="shared" si="31"/>
        <v>200</v>
      </c>
      <c r="O219" s="484">
        <v>1</v>
      </c>
      <c r="P219" s="484">
        <v>1</v>
      </c>
      <c r="Q219" s="292">
        <f t="shared" si="32"/>
        <v>0</v>
      </c>
      <c r="R219" s="292">
        <f t="shared" si="33"/>
        <v>0</v>
      </c>
      <c r="S219" s="301">
        <f t="shared" si="27"/>
        <v>0</v>
      </c>
      <c r="T219" s="301">
        <f t="shared" si="28"/>
        <v>0</v>
      </c>
      <c r="U219" s="771" t="str">
        <f t="shared" si="30"/>
        <v>L</v>
      </c>
      <c r="V219" s="303"/>
      <c r="W219" s="304">
        <f>(Q219+R219)*'1.0-Contractblad'!$L$37</f>
        <v>0</v>
      </c>
      <c r="X219" s="304">
        <f ca="1">VLOOKUP(E219,'1.1a-Jaarprijzen'!$B$35:$Q$57,16,FALSE)*K219</f>
        <v>0</v>
      </c>
      <c r="Z219" s="773">
        <f t="shared" si="34"/>
        <v>9600</v>
      </c>
      <c r="AA219" s="492" t="str">
        <f t="shared" si="35"/>
        <v>7200-200</v>
      </c>
    </row>
    <row r="220" spans="2:27" s="490" customFormat="1" ht="15">
      <c r="B220" s="330"/>
      <c r="C220" s="331"/>
      <c r="D220" s="295">
        <f>VLOOKUP(E220,'1.1a-Jaarprijzen'!$B$13:$G$32,6,FALSE)</f>
        <v>2</v>
      </c>
      <c r="E220" s="294" t="s">
        <v>808</v>
      </c>
      <c r="F220" s="295" t="s">
        <v>605</v>
      </c>
      <c r="G220" s="296" t="s">
        <v>810</v>
      </c>
      <c r="H220" s="294" t="s">
        <v>1017</v>
      </c>
      <c r="I220" s="297" t="str">
        <f t="shared" si="29"/>
        <v>sanitaire ruimte (toilet-/doucheruimte)</v>
      </c>
      <c r="J220" s="295" t="s">
        <v>460</v>
      </c>
      <c r="K220" s="298">
        <v>9</v>
      </c>
      <c r="L220" s="298"/>
      <c r="M220" s="299">
        <v>4200</v>
      </c>
      <c r="N220" s="300">
        <f t="shared" si="31"/>
        <v>200</v>
      </c>
      <c r="O220" s="484">
        <v>1</v>
      </c>
      <c r="P220" s="484">
        <v>1</v>
      </c>
      <c r="Q220" s="292">
        <f t="shared" si="32"/>
        <v>0</v>
      </c>
      <c r="R220" s="292">
        <f t="shared" si="33"/>
        <v>0</v>
      </c>
      <c r="S220" s="301">
        <f t="shared" si="27"/>
        <v>0</v>
      </c>
      <c r="T220" s="301">
        <f t="shared" si="28"/>
        <v>0</v>
      </c>
      <c r="U220" s="771" t="str">
        <f t="shared" si="30"/>
        <v>S</v>
      </c>
      <c r="V220" s="303"/>
      <c r="W220" s="304">
        <f>(Q220+R220)*'1.0-Contractblad'!$L$37</f>
        <v>0</v>
      </c>
      <c r="X220" s="304">
        <f ca="1">VLOOKUP(E220,'1.1a-Jaarprijzen'!$B$35:$Q$57,16,FALSE)*K220</f>
        <v>0</v>
      </c>
      <c r="Z220" s="773">
        <f t="shared" si="34"/>
        <v>1800</v>
      </c>
      <c r="AA220" s="492" t="str">
        <f t="shared" si="35"/>
        <v>4200-200</v>
      </c>
    </row>
    <row r="221" spans="2:27" s="490" customFormat="1" ht="15">
      <c r="B221" s="330"/>
      <c r="C221" s="331"/>
      <c r="D221" s="295">
        <f>VLOOKUP(E221,'1.1a-Jaarprijzen'!$B$13:$G$32,6,FALSE)</f>
        <v>2</v>
      </c>
      <c r="E221" s="294" t="s">
        <v>808</v>
      </c>
      <c r="F221" s="295" t="s">
        <v>605</v>
      </c>
      <c r="G221" s="296" t="s">
        <v>617</v>
      </c>
      <c r="H221" s="294" t="s">
        <v>1034</v>
      </c>
      <c r="I221" s="297" t="str">
        <f t="shared" si="29"/>
        <v>leslokaal/leerplein groep 4 t/m 8</v>
      </c>
      <c r="J221" s="295" t="s">
        <v>465</v>
      </c>
      <c r="K221" s="298">
        <v>57</v>
      </c>
      <c r="L221" s="298"/>
      <c r="M221" s="299">
        <v>18200</v>
      </c>
      <c r="N221" s="300">
        <f t="shared" si="31"/>
        <v>200</v>
      </c>
      <c r="O221" s="484">
        <v>1</v>
      </c>
      <c r="P221" s="484">
        <v>1</v>
      </c>
      <c r="Q221" s="292">
        <f t="shared" si="32"/>
        <v>0</v>
      </c>
      <c r="R221" s="292">
        <f t="shared" si="33"/>
        <v>0</v>
      </c>
      <c r="S221" s="301">
        <f t="shared" si="27"/>
        <v>0</v>
      </c>
      <c r="T221" s="301">
        <f t="shared" si="28"/>
        <v>0</v>
      </c>
      <c r="U221" s="771" t="str">
        <f t="shared" si="30"/>
        <v>L</v>
      </c>
      <c r="V221" s="303"/>
      <c r="W221" s="304">
        <f>(Q221+R221)*'1.0-Contractblad'!$L$37</f>
        <v>0</v>
      </c>
      <c r="X221" s="304">
        <f ca="1">VLOOKUP(E221,'1.1a-Jaarprijzen'!$B$35:$Q$57,16,FALSE)*K221</f>
        <v>0</v>
      </c>
      <c r="Z221" s="773">
        <f t="shared" si="34"/>
        <v>11400</v>
      </c>
      <c r="AA221" s="492" t="str">
        <f t="shared" si="35"/>
        <v>18200-200</v>
      </c>
    </row>
    <row r="222" spans="2:27" s="490" customFormat="1" ht="15">
      <c r="B222" s="330"/>
      <c r="C222" s="331"/>
      <c r="D222" s="295">
        <f>VLOOKUP(E222,'1.1a-Jaarprijzen'!$B$13:$G$32,6,FALSE)</f>
        <v>2</v>
      </c>
      <c r="E222" s="294" t="s">
        <v>808</v>
      </c>
      <c r="F222" s="295" t="s">
        <v>605</v>
      </c>
      <c r="G222" s="296" t="s">
        <v>618</v>
      </c>
      <c r="H222" s="294" t="s">
        <v>1035</v>
      </c>
      <c r="I222" s="297" t="str">
        <f t="shared" si="29"/>
        <v>leslokaal/leerplein groep 4 t/m 8</v>
      </c>
      <c r="J222" s="295" t="s">
        <v>465</v>
      </c>
      <c r="K222" s="298">
        <v>57</v>
      </c>
      <c r="L222" s="298"/>
      <c r="M222" s="299">
        <v>18200</v>
      </c>
      <c r="N222" s="300">
        <f t="shared" si="31"/>
        <v>200</v>
      </c>
      <c r="O222" s="484">
        <v>1</v>
      </c>
      <c r="P222" s="484">
        <v>1</v>
      </c>
      <c r="Q222" s="292">
        <f t="shared" si="32"/>
        <v>0</v>
      </c>
      <c r="R222" s="292">
        <f t="shared" si="33"/>
        <v>0</v>
      </c>
      <c r="S222" s="301">
        <f t="shared" si="27"/>
        <v>0</v>
      </c>
      <c r="T222" s="301">
        <f t="shared" si="28"/>
        <v>0</v>
      </c>
      <c r="U222" s="771" t="str">
        <f t="shared" si="30"/>
        <v>L</v>
      </c>
      <c r="V222" s="303"/>
      <c r="W222" s="304">
        <f>(Q222+R222)*'1.0-Contractblad'!$L$37</f>
        <v>0</v>
      </c>
      <c r="X222" s="304">
        <f ca="1">VLOOKUP(E222,'1.1a-Jaarprijzen'!$B$35:$Q$57,16,FALSE)*K222</f>
        <v>0</v>
      </c>
      <c r="Z222" s="773">
        <f t="shared" si="34"/>
        <v>11400</v>
      </c>
      <c r="AA222" s="492" t="str">
        <f t="shared" si="35"/>
        <v>18200-200</v>
      </c>
    </row>
    <row r="223" spans="2:27" s="490" customFormat="1" ht="15">
      <c r="B223" s="330"/>
      <c r="C223" s="331"/>
      <c r="D223" s="295">
        <f>VLOOKUP(E223,'1.1a-Jaarprijzen'!$B$13:$G$32,6,FALSE)</f>
        <v>2</v>
      </c>
      <c r="E223" s="294" t="s">
        <v>808</v>
      </c>
      <c r="F223" s="295" t="s">
        <v>605</v>
      </c>
      <c r="G223" s="296" t="s">
        <v>747</v>
      </c>
      <c r="H223" s="294" t="s">
        <v>688</v>
      </c>
      <c r="I223" s="297" t="str">
        <f t="shared" si="29"/>
        <v>leslokaal groep 1 t/m 3</v>
      </c>
      <c r="J223" s="295" t="s">
        <v>465</v>
      </c>
      <c r="K223" s="298">
        <v>40</v>
      </c>
      <c r="L223" s="298"/>
      <c r="M223" s="299">
        <v>7200</v>
      </c>
      <c r="N223" s="300">
        <f t="shared" si="31"/>
        <v>200</v>
      </c>
      <c r="O223" s="484">
        <v>1</v>
      </c>
      <c r="P223" s="484">
        <v>1</v>
      </c>
      <c r="Q223" s="292">
        <f t="shared" si="32"/>
        <v>0</v>
      </c>
      <c r="R223" s="292">
        <f t="shared" si="33"/>
        <v>0</v>
      </c>
      <c r="S223" s="301">
        <f t="shared" si="27"/>
        <v>0</v>
      </c>
      <c r="T223" s="301">
        <f t="shared" si="28"/>
        <v>0</v>
      </c>
      <c r="U223" s="771" t="str">
        <f t="shared" si="30"/>
        <v>L</v>
      </c>
      <c r="V223" s="303"/>
      <c r="W223" s="304">
        <f>(Q223+R223)*'1.0-Contractblad'!$L$37</f>
        <v>0</v>
      </c>
      <c r="X223" s="304">
        <f ca="1">VLOOKUP(E223,'1.1a-Jaarprijzen'!$B$35:$Q$57,16,FALSE)*K223</f>
        <v>0</v>
      </c>
      <c r="Z223" s="773">
        <f t="shared" si="34"/>
        <v>8000</v>
      </c>
      <c r="AA223" s="492" t="str">
        <f t="shared" si="35"/>
        <v>7200-200</v>
      </c>
    </row>
    <row r="224" spans="2:27" s="490" customFormat="1" ht="15">
      <c r="B224" s="330"/>
      <c r="C224" s="331"/>
      <c r="D224" s="295">
        <f>VLOOKUP(E224,'1.1a-Jaarprijzen'!$B$13:$G$32,6,FALSE)</f>
        <v>2</v>
      </c>
      <c r="E224" s="294" t="s">
        <v>808</v>
      </c>
      <c r="F224" s="295" t="s">
        <v>605</v>
      </c>
      <c r="G224" s="296" t="s">
        <v>619</v>
      </c>
      <c r="H224" s="294" t="s">
        <v>1036</v>
      </c>
      <c r="I224" s="297" t="str">
        <f t="shared" si="29"/>
        <v>sanitaire ruimte (toilet-/doucheruimte)</v>
      </c>
      <c r="J224" s="298" t="s">
        <v>460</v>
      </c>
      <c r="K224" s="298">
        <v>3</v>
      </c>
      <c r="L224" s="298"/>
      <c r="M224" s="299">
        <v>4200</v>
      </c>
      <c r="N224" s="300">
        <f t="shared" si="31"/>
        <v>200</v>
      </c>
      <c r="O224" s="484">
        <v>1</v>
      </c>
      <c r="P224" s="484">
        <v>1</v>
      </c>
      <c r="Q224" s="292">
        <f t="shared" si="32"/>
        <v>0</v>
      </c>
      <c r="R224" s="292">
        <f t="shared" si="33"/>
        <v>0</v>
      </c>
      <c r="S224" s="301">
        <f t="shared" si="27"/>
        <v>0</v>
      </c>
      <c r="T224" s="301">
        <f t="shared" si="28"/>
        <v>0</v>
      </c>
      <c r="U224" s="771" t="str">
        <f t="shared" si="30"/>
        <v>S</v>
      </c>
      <c r="V224" s="303"/>
      <c r="W224" s="304">
        <f>(Q224+R224)*'1.0-Contractblad'!$L$37</f>
        <v>0</v>
      </c>
      <c r="X224" s="304">
        <f ca="1">VLOOKUP(E224,'1.1a-Jaarprijzen'!$B$35:$Q$57,16,FALSE)*K224</f>
        <v>0</v>
      </c>
      <c r="Z224" s="773">
        <f t="shared" si="34"/>
        <v>600</v>
      </c>
      <c r="AA224" s="492" t="str">
        <f t="shared" si="35"/>
        <v>4200-200</v>
      </c>
    </row>
    <row r="225" spans="2:27" s="490" customFormat="1" ht="15">
      <c r="B225" s="330"/>
      <c r="C225" s="331"/>
      <c r="D225" s="295">
        <f>VLOOKUP(E225,'1.1a-Jaarprijzen'!$B$13:$G$32,6,FALSE)</f>
        <v>2</v>
      </c>
      <c r="E225" s="294" t="s">
        <v>808</v>
      </c>
      <c r="F225" s="295" t="s">
        <v>605</v>
      </c>
      <c r="G225" s="296" t="s">
        <v>620</v>
      </c>
      <c r="H225" s="294" t="s">
        <v>1017</v>
      </c>
      <c r="I225" s="297" t="str">
        <f t="shared" si="29"/>
        <v>sanitaire ruimte (toilet-/doucheruimte)</v>
      </c>
      <c r="J225" s="295" t="s">
        <v>460</v>
      </c>
      <c r="K225" s="298">
        <v>5</v>
      </c>
      <c r="L225" s="298"/>
      <c r="M225" s="299">
        <v>4200</v>
      </c>
      <c r="N225" s="300">
        <f t="shared" si="31"/>
        <v>200</v>
      </c>
      <c r="O225" s="484">
        <v>1</v>
      </c>
      <c r="P225" s="484">
        <v>1</v>
      </c>
      <c r="Q225" s="292">
        <f t="shared" si="32"/>
        <v>0</v>
      </c>
      <c r="R225" s="292">
        <f t="shared" si="33"/>
        <v>0</v>
      </c>
      <c r="S225" s="301">
        <f t="shared" si="27"/>
        <v>0</v>
      </c>
      <c r="T225" s="301">
        <f t="shared" si="28"/>
        <v>0</v>
      </c>
      <c r="U225" s="771" t="str">
        <f t="shared" si="30"/>
        <v>S</v>
      </c>
      <c r="V225" s="303"/>
      <c r="W225" s="304">
        <f>(Q225+R225)*'1.0-Contractblad'!$L$37</f>
        <v>0</v>
      </c>
      <c r="X225" s="304">
        <f ca="1">VLOOKUP(E225,'1.1a-Jaarprijzen'!$B$35:$Q$57,16,FALSE)*K225</f>
        <v>0</v>
      </c>
      <c r="Z225" s="773">
        <f t="shared" si="34"/>
        <v>1000</v>
      </c>
      <c r="AA225" s="492" t="str">
        <f t="shared" si="35"/>
        <v>4200-200</v>
      </c>
    </row>
    <row r="226" spans="2:27" s="490" customFormat="1" ht="15">
      <c r="B226" s="330"/>
      <c r="C226" s="331"/>
      <c r="D226" s="295">
        <f>VLOOKUP(E226,'1.1a-Jaarprijzen'!$B$13:$G$32,6,FALSE)</f>
        <v>2</v>
      </c>
      <c r="E226" s="294" t="s">
        <v>808</v>
      </c>
      <c r="F226" s="295" t="s">
        <v>605</v>
      </c>
      <c r="G226" s="296" t="s">
        <v>621</v>
      </c>
      <c r="H226" s="294" t="s">
        <v>1037</v>
      </c>
      <c r="I226" s="297" t="str">
        <f t="shared" si="29"/>
        <v>leslokaal/leerplein groep 4 t/m 8</v>
      </c>
      <c r="J226" s="295" t="s">
        <v>465</v>
      </c>
      <c r="K226" s="298">
        <v>57.5</v>
      </c>
      <c r="L226" s="298"/>
      <c r="M226" s="299">
        <v>18200</v>
      </c>
      <c r="N226" s="300">
        <f t="shared" si="31"/>
        <v>200</v>
      </c>
      <c r="O226" s="484">
        <v>1</v>
      </c>
      <c r="P226" s="484">
        <v>1</v>
      </c>
      <c r="Q226" s="292">
        <f t="shared" si="32"/>
        <v>0</v>
      </c>
      <c r="R226" s="292">
        <f t="shared" si="33"/>
        <v>0</v>
      </c>
      <c r="S226" s="301">
        <f t="shared" si="27"/>
        <v>0</v>
      </c>
      <c r="T226" s="301">
        <f t="shared" si="28"/>
        <v>0</v>
      </c>
      <c r="U226" s="771" t="str">
        <f t="shared" si="30"/>
        <v>L</v>
      </c>
      <c r="V226" s="303"/>
      <c r="W226" s="304">
        <f>(Q226+R226)*'1.0-Contractblad'!$L$37</f>
        <v>0</v>
      </c>
      <c r="X226" s="304">
        <f ca="1">VLOOKUP(E226,'1.1a-Jaarprijzen'!$B$35:$Q$57,16,FALSE)*K226</f>
        <v>0</v>
      </c>
      <c r="Z226" s="773">
        <f t="shared" si="34"/>
        <v>11500</v>
      </c>
      <c r="AA226" s="492" t="str">
        <f t="shared" si="35"/>
        <v>18200-200</v>
      </c>
    </row>
    <row r="227" spans="2:27" s="490" customFormat="1" ht="15">
      <c r="B227" s="330"/>
      <c r="C227" s="331"/>
      <c r="D227" s="295">
        <f>VLOOKUP(E227,'1.1a-Jaarprijzen'!$B$13:$G$32,6,FALSE)</f>
        <v>2</v>
      </c>
      <c r="E227" s="294" t="s">
        <v>808</v>
      </c>
      <c r="F227" s="295" t="s">
        <v>605</v>
      </c>
      <c r="G227" s="296" t="s">
        <v>622</v>
      </c>
      <c r="H227" s="294" t="s">
        <v>1038</v>
      </c>
      <c r="I227" s="297" t="str">
        <f t="shared" si="29"/>
        <v>leslokaal/leerplein groep 4 t/m 8</v>
      </c>
      <c r="J227" s="295" t="s">
        <v>465</v>
      </c>
      <c r="K227" s="298">
        <v>57.5</v>
      </c>
      <c r="L227" s="298"/>
      <c r="M227" s="299">
        <v>18200</v>
      </c>
      <c r="N227" s="300">
        <f t="shared" si="31"/>
        <v>200</v>
      </c>
      <c r="O227" s="484">
        <v>1</v>
      </c>
      <c r="P227" s="484">
        <v>1</v>
      </c>
      <c r="Q227" s="292">
        <f t="shared" si="32"/>
        <v>0</v>
      </c>
      <c r="R227" s="292">
        <f t="shared" si="33"/>
        <v>0</v>
      </c>
      <c r="S227" s="301">
        <f t="shared" si="27"/>
        <v>0</v>
      </c>
      <c r="T227" s="301">
        <f t="shared" si="28"/>
        <v>0</v>
      </c>
      <c r="U227" s="771" t="str">
        <f t="shared" si="30"/>
        <v>L</v>
      </c>
      <c r="V227" s="303"/>
      <c r="W227" s="304">
        <f>(Q227+R227)*'1.0-Contractblad'!$L$37</f>
        <v>0</v>
      </c>
      <c r="X227" s="304">
        <f ca="1">VLOOKUP(E227,'1.1a-Jaarprijzen'!$B$35:$Q$57,16,FALSE)*K227</f>
        <v>0</v>
      </c>
      <c r="Z227" s="773">
        <f t="shared" si="34"/>
        <v>11500</v>
      </c>
      <c r="AA227" s="492" t="str">
        <f t="shared" si="35"/>
        <v>18200-200</v>
      </c>
    </row>
    <row r="228" spans="2:27" s="490" customFormat="1" ht="15">
      <c r="B228" s="330"/>
      <c r="C228" s="331"/>
      <c r="D228" s="295">
        <f>VLOOKUP(E228,'1.1a-Jaarprijzen'!$B$13:$G$32,6,FALSE)</f>
        <v>2</v>
      </c>
      <c r="E228" s="294" t="s">
        <v>808</v>
      </c>
      <c r="F228" s="295" t="s">
        <v>605</v>
      </c>
      <c r="G228" s="296" t="s">
        <v>623</v>
      </c>
      <c r="H228" s="294" t="s">
        <v>1017</v>
      </c>
      <c r="I228" s="297" t="str">
        <f t="shared" si="29"/>
        <v>sanitaire ruimte (toilet-/doucheruimte)</v>
      </c>
      <c r="J228" s="295" t="s">
        <v>460</v>
      </c>
      <c r="K228" s="298">
        <v>5</v>
      </c>
      <c r="L228" s="298"/>
      <c r="M228" s="299">
        <v>4200</v>
      </c>
      <c r="N228" s="300">
        <f t="shared" si="31"/>
        <v>200</v>
      </c>
      <c r="O228" s="484">
        <v>1</v>
      </c>
      <c r="P228" s="484">
        <v>1</v>
      </c>
      <c r="Q228" s="292">
        <f t="shared" si="32"/>
        <v>0</v>
      </c>
      <c r="R228" s="292">
        <f t="shared" si="33"/>
        <v>0</v>
      </c>
      <c r="S228" s="301">
        <f t="shared" si="27"/>
        <v>0</v>
      </c>
      <c r="T228" s="301">
        <f t="shared" si="28"/>
        <v>0</v>
      </c>
      <c r="U228" s="771" t="str">
        <f t="shared" si="30"/>
        <v>S</v>
      </c>
      <c r="V228" s="303"/>
      <c r="W228" s="304">
        <f>(Q228+R228)*'1.0-Contractblad'!$L$37</f>
        <v>0</v>
      </c>
      <c r="X228" s="304">
        <f ca="1">VLOOKUP(E228,'1.1a-Jaarprijzen'!$B$35:$Q$57,16,FALSE)*K228</f>
        <v>0</v>
      </c>
      <c r="Z228" s="773">
        <f t="shared" si="34"/>
        <v>1000</v>
      </c>
      <c r="AA228" s="492" t="str">
        <f t="shared" si="35"/>
        <v>4200-200</v>
      </c>
    </row>
    <row r="229" spans="2:27" s="490" customFormat="1" ht="15">
      <c r="B229" s="330"/>
      <c r="C229" s="331"/>
      <c r="D229" s="295">
        <f>VLOOKUP(E229,'1.1a-Jaarprijzen'!$B$13:$G$32,6,FALSE)</f>
        <v>2</v>
      </c>
      <c r="E229" s="294" t="s">
        <v>808</v>
      </c>
      <c r="F229" s="295" t="s">
        <v>605</v>
      </c>
      <c r="G229" s="296" t="s">
        <v>749</v>
      </c>
      <c r="H229" s="294" t="s">
        <v>1039</v>
      </c>
      <c r="I229" s="297" t="str">
        <f t="shared" si="29"/>
        <v>sanitaire ruimte (toilet-/doucheruimte)</v>
      </c>
      <c r="J229" s="298" t="s">
        <v>460</v>
      </c>
      <c r="K229" s="298">
        <v>3</v>
      </c>
      <c r="L229" s="298"/>
      <c r="M229" s="299">
        <v>4200</v>
      </c>
      <c r="N229" s="300">
        <f t="shared" si="31"/>
        <v>200</v>
      </c>
      <c r="O229" s="484">
        <v>1</v>
      </c>
      <c r="P229" s="484">
        <v>1</v>
      </c>
      <c r="Q229" s="292">
        <f t="shared" si="32"/>
        <v>0</v>
      </c>
      <c r="R229" s="292">
        <f t="shared" si="33"/>
        <v>0</v>
      </c>
      <c r="S229" s="301">
        <f t="shared" ref="S229:S292" si="36">IF($M229=0,0,VLOOKUP($M229,Kengetal,6,FALSE))</f>
        <v>0</v>
      </c>
      <c r="T229" s="301">
        <f t="shared" ref="T229:T292" si="37">IF($M229=0,0,VLOOKUP($M229,Kengetal,7,FALSE))</f>
        <v>0</v>
      </c>
      <c r="U229" s="771" t="str">
        <f t="shared" si="30"/>
        <v>S</v>
      </c>
      <c r="V229" s="303"/>
      <c r="W229" s="304">
        <f>(Q229+R229)*'1.0-Contractblad'!$L$37</f>
        <v>0</v>
      </c>
      <c r="X229" s="304">
        <f ca="1">VLOOKUP(E229,'1.1a-Jaarprijzen'!$B$35:$Q$57,16,FALSE)*K229</f>
        <v>0</v>
      </c>
      <c r="Z229" s="773">
        <f t="shared" si="34"/>
        <v>600</v>
      </c>
      <c r="AA229" s="492" t="str">
        <f t="shared" si="35"/>
        <v>4200-200</v>
      </c>
    </row>
    <row r="230" spans="2:27" s="490" customFormat="1" ht="15">
      <c r="B230" s="330"/>
      <c r="C230" s="331"/>
      <c r="D230" s="295">
        <f>VLOOKUP(E230,'1.1a-Jaarprijzen'!$B$13:$G$32,6,FALSE)</f>
        <v>2</v>
      </c>
      <c r="E230" s="294" t="s">
        <v>808</v>
      </c>
      <c r="F230" s="295" t="s">
        <v>605</v>
      </c>
      <c r="G230" s="296" t="s">
        <v>811</v>
      </c>
      <c r="H230" s="294" t="s">
        <v>717</v>
      </c>
      <c r="I230" s="297" t="str">
        <f t="shared" si="29"/>
        <v>leslokaal groep 1 t/m 3</v>
      </c>
      <c r="J230" s="298" t="s">
        <v>465</v>
      </c>
      <c r="K230" s="298">
        <v>44.5</v>
      </c>
      <c r="L230" s="298"/>
      <c r="M230" s="299">
        <v>7200</v>
      </c>
      <c r="N230" s="300">
        <f t="shared" si="31"/>
        <v>200</v>
      </c>
      <c r="O230" s="484">
        <v>1</v>
      </c>
      <c r="P230" s="484">
        <v>1</v>
      </c>
      <c r="Q230" s="292">
        <f t="shared" si="32"/>
        <v>0</v>
      </c>
      <c r="R230" s="292">
        <f t="shared" si="33"/>
        <v>0</v>
      </c>
      <c r="S230" s="301">
        <f t="shared" si="36"/>
        <v>0</v>
      </c>
      <c r="T230" s="301">
        <f t="shared" si="37"/>
        <v>0</v>
      </c>
      <c r="U230" s="771" t="str">
        <f t="shared" si="30"/>
        <v>L</v>
      </c>
      <c r="V230" s="303"/>
      <c r="W230" s="304">
        <f>(Q230+R230)*'1.0-Contractblad'!$L$37</f>
        <v>0</v>
      </c>
      <c r="X230" s="304">
        <f ca="1">VLOOKUP(E230,'1.1a-Jaarprijzen'!$B$35:$Q$57,16,FALSE)*K230</f>
        <v>0</v>
      </c>
      <c r="Z230" s="773">
        <f t="shared" si="34"/>
        <v>8900</v>
      </c>
      <c r="AA230" s="492" t="str">
        <f t="shared" si="35"/>
        <v>7200-200</v>
      </c>
    </row>
    <row r="231" spans="2:27" s="490" customFormat="1" ht="15">
      <c r="B231" s="330"/>
      <c r="C231" s="331"/>
      <c r="D231" s="295">
        <f>VLOOKUP(E231,'1.1a-Jaarprijzen'!$B$13:$G$32,6,FALSE)</f>
        <v>2</v>
      </c>
      <c r="E231" s="294" t="s">
        <v>808</v>
      </c>
      <c r="F231" s="295" t="s">
        <v>605</v>
      </c>
      <c r="G231" s="296" t="s">
        <v>751</v>
      </c>
      <c r="H231" s="294" t="s">
        <v>1040</v>
      </c>
      <c r="I231" s="297" t="str">
        <f t="shared" si="29"/>
        <v>leslokaal/leerplein groep 4 t/m 8</v>
      </c>
      <c r="J231" s="298" t="s">
        <v>465</v>
      </c>
      <c r="K231" s="298">
        <v>56.5</v>
      </c>
      <c r="L231" s="298"/>
      <c r="M231" s="299">
        <v>18200</v>
      </c>
      <c r="N231" s="300">
        <f t="shared" si="31"/>
        <v>200</v>
      </c>
      <c r="O231" s="484">
        <v>1</v>
      </c>
      <c r="P231" s="484">
        <v>1</v>
      </c>
      <c r="Q231" s="292">
        <f t="shared" si="32"/>
        <v>0</v>
      </c>
      <c r="R231" s="292">
        <f t="shared" si="33"/>
        <v>0</v>
      </c>
      <c r="S231" s="301">
        <f t="shared" si="36"/>
        <v>0</v>
      </c>
      <c r="T231" s="301">
        <f t="shared" si="37"/>
        <v>0</v>
      </c>
      <c r="U231" s="771" t="str">
        <f t="shared" si="30"/>
        <v>L</v>
      </c>
      <c r="V231" s="303"/>
      <c r="W231" s="304">
        <f>(Q231+R231)*'1.0-Contractblad'!$L$37</f>
        <v>0</v>
      </c>
      <c r="X231" s="304">
        <f ca="1">VLOOKUP(E231,'1.1a-Jaarprijzen'!$B$35:$Q$57,16,FALSE)*K231</f>
        <v>0</v>
      </c>
      <c r="Z231" s="773">
        <f t="shared" si="34"/>
        <v>11300</v>
      </c>
      <c r="AA231" s="492" t="str">
        <f t="shared" si="35"/>
        <v>18200-200</v>
      </c>
    </row>
    <row r="232" spans="2:27" s="490" customFormat="1" ht="15">
      <c r="B232" s="330"/>
      <c r="C232" s="331"/>
      <c r="D232" s="295">
        <f>VLOOKUP(E232,'1.1a-Jaarprijzen'!$B$13:$G$32,6,FALSE)</f>
        <v>2</v>
      </c>
      <c r="E232" s="294" t="s">
        <v>808</v>
      </c>
      <c r="F232" s="295" t="s">
        <v>605</v>
      </c>
      <c r="G232" s="296" t="s">
        <v>752</v>
      </c>
      <c r="H232" s="294" t="s">
        <v>1041</v>
      </c>
      <c r="I232" s="297" t="str">
        <f t="shared" si="29"/>
        <v>leslokaal/leerplein groep 4 t/m 8</v>
      </c>
      <c r="J232" s="295" t="s">
        <v>465</v>
      </c>
      <c r="K232" s="298">
        <v>57.5</v>
      </c>
      <c r="L232" s="298"/>
      <c r="M232" s="299">
        <v>18200</v>
      </c>
      <c r="N232" s="300">
        <f t="shared" si="31"/>
        <v>200</v>
      </c>
      <c r="O232" s="484">
        <v>1</v>
      </c>
      <c r="P232" s="484">
        <v>1</v>
      </c>
      <c r="Q232" s="292">
        <f t="shared" si="32"/>
        <v>0</v>
      </c>
      <c r="R232" s="292">
        <f t="shared" si="33"/>
        <v>0</v>
      </c>
      <c r="S232" s="301">
        <f t="shared" si="36"/>
        <v>0</v>
      </c>
      <c r="T232" s="301">
        <f t="shared" si="37"/>
        <v>0</v>
      </c>
      <c r="U232" s="771" t="str">
        <f t="shared" si="30"/>
        <v>L</v>
      </c>
      <c r="V232" s="303"/>
      <c r="W232" s="304">
        <f>(Q232+R232)*'1.0-Contractblad'!$L$37</f>
        <v>0</v>
      </c>
      <c r="X232" s="304">
        <f ca="1">VLOOKUP(E232,'1.1a-Jaarprijzen'!$B$35:$Q$57,16,FALSE)*K232</f>
        <v>0</v>
      </c>
      <c r="Z232" s="773">
        <f t="shared" si="34"/>
        <v>11500</v>
      </c>
      <c r="AA232" s="492" t="str">
        <f t="shared" si="35"/>
        <v>18200-200</v>
      </c>
    </row>
    <row r="233" spans="2:27" s="490" customFormat="1" ht="15">
      <c r="B233" s="330"/>
      <c r="C233" s="331"/>
      <c r="D233" s="295">
        <f>VLOOKUP(E233,'1.1a-Jaarprijzen'!$B$13:$G$32,6,FALSE)</f>
        <v>2</v>
      </c>
      <c r="E233" s="294" t="s">
        <v>808</v>
      </c>
      <c r="F233" s="295" t="s">
        <v>605</v>
      </c>
      <c r="G233" s="296" t="s">
        <v>753</v>
      </c>
      <c r="H233" s="294" t="s">
        <v>387</v>
      </c>
      <c r="I233" s="297" t="str">
        <f t="shared" si="29"/>
        <v>entree, gang, hal, repro</v>
      </c>
      <c r="J233" s="295" t="s">
        <v>465</v>
      </c>
      <c r="K233" s="298">
        <v>4.5</v>
      </c>
      <c r="L233" s="298"/>
      <c r="M233" s="299">
        <v>3200</v>
      </c>
      <c r="N233" s="300">
        <f t="shared" si="31"/>
        <v>200</v>
      </c>
      <c r="O233" s="484">
        <v>1</v>
      </c>
      <c r="P233" s="484">
        <v>1</v>
      </c>
      <c r="Q233" s="292">
        <f t="shared" si="32"/>
        <v>0</v>
      </c>
      <c r="R233" s="292">
        <f t="shared" si="33"/>
        <v>0</v>
      </c>
      <c r="S233" s="301">
        <f t="shared" si="36"/>
        <v>0</v>
      </c>
      <c r="T233" s="301">
        <f t="shared" si="37"/>
        <v>0</v>
      </c>
      <c r="U233" s="771" t="str">
        <f t="shared" si="30"/>
        <v>V</v>
      </c>
      <c r="V233" s="303"/>
      <c r="W233" s="304">
        <f>(Q233+R233)*'1.0-Contractblad'!$L$37</f>
        <v>0</v>
      </c>
      <c r="X233" s="304">
        <f ca="1">VLOOKUP(E233,'1.1a-Jaarprijzen'!$B$35:$Q$57,16,FALSE)*K233</f>
        <v>0</v>
      </c>
      <c r="Z233" s="773">
        <f t="shared" si="34"/>
        <v>900</v>
      </c>
      <c r="AA233" s="492" t="str">
        <f t="shared" si="35"/>
        <v>3200-200</v>
      </c>
    </row>
    <row r="234" spans="2:27" s="490" customFormat="1" ht="15">
      <c r="B234" s="330"/>
      <c r="C234" s="331"/>
      <c r="D234" s="295">
        <f>VLOOKUP(E234,'1.1a-Jaarprijzen'!$B$13:$G$32,6,FALSE)</f>
        <v>2</v>
      </c>
      <c r="E234" s="294" t="s">
        <v>808</v>
      </c>
      <c r="F234" s="295" t="s">
        <v>605</v>
      </c>
      <c r="G234" s="296" t="s">
        <v>754</v>
      </c>
      <c r="H234" s="294" t="s">
        <v>1017</v>
      </c>
      <c r="I234" s="297" t="str">
        <f t="shared" si="29"/>
        <v>sanitaire ruimte (toilet-/doucheruimte)</v>
      </c>
      <c r="J234" s="295" t="s">
        <v>460</v>
      </c>
      <c r="K234" s="298">
        <v>9</v>
      </c>
      <c r="L234" s="298"/>
      <c r="M234" s="299">
        <v>4200</v>
      </c>
      <c r="N234" s="300">
        <f t="shared" si="31"/>
        <v>200</v>
      </c>
      <c r="O234" s="484">
        <v>1</v>
      </c>
      <c r="P234" s="484">
        <v>1</v>
      </c>
      <c r="Q234" s="292">
        <f t="shared" si="32"/>
        <v>0</v>
      </c>
      <c r="R234" s="292">
        <f t="shared" si="33"/>
        <v>0</v>
      </c>
      <c r="S234" s="301">
        <f t="shared" si="36"/>
        <v>0</v>
      </c>
      <c r="T234" s="301">
        <f t="shared" si="37"/>
        <v>0</v>
      </c>
      <c r="U234" s="771" t="str">
        <f t="shared" si="30"/>
        <v>S</v>
      </c>
      <c r="V234" s="303"/>
      <c r="W234" s="304">
        <f>(Q234+R234)*'1.0-Contractblad'!$L$37</f>
        <v>0</v>
      </c>
      <c r="X234" s="304">
        <f ca="1">VLOOKUP(E234,'1.1a-Jaarprijzen'!$B$35:$Q$57,16,FALSE)*K234</f>
        <v>0</v>
      </c>
      <c r="Z234" s="773">
        <f t="shared" si="34"/>
        <v>1800</v>
      </c>
      <c r="AA234" s="492" t="str">
        <f t="shared" si="35"/>
        <v>4200-200</v>
      </c>
    </row>
    <row r="235" spans="2:27" s="490" customFormat="1" ht="15">
      <c r="B235" s="330"/>
      <c r="C235" s="331"/>
      <c r="D235" s="295">
        <f>VLOOKUP(E235,'1.1a-Jaarprijzen'!$B$13:$G$32,6,FALSE)</f>
        <v>2</v>
      </c>
      <c r="E235" s="294" t="s">
        <v>808</v>
      </c>
      <c r="F235" s="295" t="s">
        <v>605</v>
      </c>
      <c r="G235" s="296" t="s">
        <v>755</v>
      </c>
      <c r="H235" s="294" t="s">
        <v>1042</v>
      </c>
      <c r="I235" s="297" t="str">
        <f t="shared" si="29"/>
        <v>aula, gemeenschappelijke ruimte, bibliotheek</v>
      </c>
      <c r="J235" s="295" t="s">
        <v>465</v>
      </c>
      <c r="K235" s="298">
        <v>57.5</v>
      </c>
      <c r="L235" s="298"/>
      <c r="M235" s="299">
        <v>2200</v>
      </c>
      <c r="N235" s="300">
        <f t="shared" si="31"/>
        <v>200</v>
      </c>
      <c r="O235" s="484">
        <v>1</v>
      </c>
      <c r="P235" s="484">
        <v>1</v>
      </c>
      <c r="Q235" s="292">
        <f t="shared" si="32"/>
        <v>0</v>
      </c>
      <c r="R235" s="292">
        <f t="shared" si="33"/>
        <v>0</v>
      </c>
      <c r="S235" s="301">
        <f t="shared" si="36"/>
        <v>0</v>
      </c>
      <c r="T235" s="301">
        <f t="shared" si="37"/>
        <v>0</v>
      </c>
      <c r="U235" s="771" t="str">
        <f t="shared" si="30"/>
        <v>V</v>
      </c>
      <c r="V235" s="303"/>
      <c r="W235" s="304">
        <f>(Q235+R235)*'1.0-Contractblad'!$L$37</f>
        <v>0</v>
      </c>
      <c r="X235" s="304">
        <f ca="1">VLOOKUP(E235,'1.1a-Jaarprijzen'!$B$35:$Q$57,16,FALSE)*K235</f>
        <v>0</v>
      </c>
      <c r="Z235" s="773">
        <f t="shared" si="34"/>
        <v>11500</v>
      </c>
      <c r="AA235" s="492" t="str">
        <f t="shared" si="35"/>
        <v>2200-200</v>
      </c>
    </row>
    <row r="236" spans="2:27" s="490" customFormat="1" ht="15">
      <c r="B236" s="330"/>
      <c r="C236" s="331"/>
      <c r="D236" s="295">
        <f>VLOOKUP(E236,'1.1a-Jaarprijzen'!$B$13:$G$32,6,FALSE)</f>
        <v>2</v>
      </c>
      <c r="E236" s="294" t="s">
        <v>808</v>
      </c>
      <c r="F236" s="295" t="s">
        <v>605</v>
      </c>
      <c r="G236" s="296" t="s">
        <v>756</v>
      </c>
      <c r="H236" s="294" t="s">
        <v>746</v>
      </c>
      <c r="I236" s="297" t="str">
        <f t="shared" si="29"/>
        <v>leslokaal/leerplein groep 4 t/m 8</v>
      </c>
      <c r="J236" s="295" t="s">
        <v>465</v>
      </c>
      <c r="K236" s="298">
        <v>78.5</v>
      </c>
      <c r="L236" s="298"/>
      <c r="M236" s="299">
        <v>18200</v>
      </c>
      <c r="N236" s="300">
        <f t="shared" si="31"/>
        <v>200</v>
      </c>
      <c r="O236" s="484">
        <v>1</v>
      </c>
      <c r="P236" s="484">
        <v>1</v>
      </c>
      <c r="Q236" s="292">
        <f t="shared" si="32"/>
        <v>0</v>
      </c>
      <c r="R236" s="292">
        <f t="shared" si="33"/>
        <v>0</v>
      </c>
      <c r="S236" s="301">
        <f t="shared" si="36"/>
        <v>0</v>
      </c>
      <c r="T236" s="301">
        <f t="shared" si="37"/>
        <v>0</v>
      </c>
      <c r="U236" s="771" t="str">
        <f t="shared" ref="U236:U299" si="38">IF(M236="","",VLOOKUP(M236,Kengetal,14,FALSE))</f>
        <v>L</v>
      </c>
      <c r="V236" s="303"/>
      <c r="W236" s="304">
        <f>(Q236+R236)*'1.0-Contractblad'!$L$37</f>
        <v>0</v>
      </c>
      <c r="X236" s="304">
        <f ca="1">VLOOKUP(E236,'1.1a-Jaarprijzen'!$B$35:$Q$57,16,FALSE)*K236</f>
        <v>0</v>
      </c>
      <c r="Z236" s="773">
        <f t="shared" si="34"/>
        <v>15700</v>
      </c>
      <c r="AA236" s="492" t="str">
        <f t="shared" si="35"/>
        <v>18200-200</v>
      </c>
    </row>
    <row r="237" spans="2:27" s="490" customFormat="1" ht="15">
      <c r="B237" s="330"/>
      <c r="C237" s="331"/>
      <c r="D237" s="295">
        <f>VLOOKUP(E237,'1.1a-Jaarprijzen'!$B$13:$G$32,6,FALSE)</f>
        <v>2</v>
      </c>
      <c r="E237" s="294" t="s">
        <v>808</v>
      </c>
      <c r="F237" s="295" t="s">
        <v>605</v>
      </c>
      <c r="G237" s="296" t="s">
        <v>757</v>
      </c>
      <c r="H237" s="294" t="s">
        <v>393</v>
      </c>
      <c r="I237" s="297" t="str">
        <f t="shared" si="29"/>
        <v>entree, gang, hal, repro</v>
      </c>
      <c r="J237" s="295" t="s">
        <v>465</v>
      </c>
      <c r="K237" s="298">
        <v>11.5</v>
      </c>
      <c r="L237" s="298"/>
      <c r="M237" s="299">
        <v>3200</v>
      </c>
      <c r="N237" s="300">
        <f t="shared" ref="N237:N300" si="39">VLOOKUP(M237,Kengetal,3,FALSE)</f>
        <v>200</v>
      </c>
      <c r="O237" s="484">
        <v>1</v>
      </c>
      <c r="P237" s="484">
        <v>1</v>
      </c>
      <c r="Q237" s="292">
        <f t="shared" ref="Q237:Q300" si="40">S237*K237*O237</f>
        <v>0</v>
      </c>
      <c r="R237" s="292">
        <f t="shared" ref="R237:R300" si="41">T237*K237*P237</f>
        <v>0</v>
      </c>
      <c r="S237" s="301">
        <f t="shared" si="36"/>
        <v>0</v>
      </c>
      <c r="T237" s="301">
        <f t="shared" si="37"/>
        <v>0</v>
      </c>
      <c r="U237" s="771" t="str">
        <f t="shared" si="38"/>
        <v>V</v>
      </c>
      <c r="V237" s="303"/>
      <c r="W237" s="304">
        <f>(Q237+R237)*'1.0-Contractblad'!$L$37</f>
        <v>0</v>
      </c>
      <c r="X237" s="304">
        <f ca="1">VLOOKUP(E237,'1.1a-Jaarprijzen'!$B$35:$Q$57,16,FALSE)*K237</f>
        <v>0</v>
      </c>
      <c r="Z237" s="773">
        <f t="shared" ref="Z237:Z300" si="42">K237*N237</f>
        <v>2300</v>
      </c>
      <c r="AA237" s="492" t="str">
        <f t="shared" ref="AA237:AA300" si="43">CONCATENATE(M237,"-",N237)</f>
        <v>3200-200</v>
      </c>
    </row>
    <row r="238" spans="2:27" s="490" customFormat="1" ht="15">
      <c r="B238" s="330"/>
      <c r="C238" s="331"/>
      <c r="D238" s="295">
        <f>VLOOKUP(E238,'1.1a-Jaarprijzen'!$B$13:$G$32,6,FALSE)</f>
        <v>2</v>
      </c>
      <c r="E238" s="294" t="s">
        <v>808</v>
      </c>
      <c r="F238" s="295" t="s">
        <v>605</v>
      </c>
      <c r="G238" s="296" t="s">
        <v>758</v>
      </c>
      <c r="H238" s="294" t="s">
        <v>1017</v>
      </c>
      <c r="I238" s="297" t="str">
        <f t="shared" si="29"/>
        <v>sanitaire ruimte (toilet-/doucheruimte)</v>
      </c>
      <c r="J238" s="295" t="s">
        <v>460</v>
      </c>
      <c r="K238" s="298">
        <v>10.5</v>
      </c>
      <c r="L238" s="298"/>
      <c r="M238" s="299">
        <v>4200</v>
      </c>
      <c r="N238" s="300">
        <f t="shared" si="39"/>
        <v>200</v>
      </c>
      <c r="O238" s="484">
        <v>1</v>
      </c>
      <c r="P238" s="484">
        <v>1</v>
      </c>
      <c r="Q238" s="292">
        <f t="shared" si="40"/>
        <v>0</v>
      </c>
      <c r="R238" s="292">
        <f t="shared" si="41"/>
        <v>0</v>
      </c>
      <c r="S238" s="301">
        <f t="shared" si="36"/>
        <v>0</v>
      </c>
      <c r="T238" s="301">
        <f t="shared" si="37"/>
        <v>0</v>
      </c>
      <c r="U238" s="771" t="str">
        <f t="shared" si="38"/>
        <v>S</v>
      </c>
      <c r="V238" s="303"/>
      <c r="W238" s="304">
        <f>(Q238+R238)*'1.0-Contractblad'!$L$37</f>
        <v>0</v>
      </c>
      <c r="X238" s="304">
        <f ca="1">VLOOKUP(E238,'1.1a-Jaarprijzen'!$B$35:$Q$57,16,FALSE)*K238</f>
        <v>0</v>
      </c>
      <c r="Z238" s="773">
        <f t="shared" si="42"/>
        <v>2100</v>
      </c>
      <c r="AA238" s="492" t="str">
        <f t="shared" si="43"/>
        <v>4200-200</v>
      </c>
    </row>
    <row r="239" spans="2:27" s="490" customFormat="1" ht="15">
      <c r="B239" s="330"/>
      <c r="C239" s="331"/>
      <c r="D239" s="295">
        <f>VLOOKUP(E239,'1.1a-Jaarprijzen'!$B$13:$G$32,6,FALSE)</f>
        <v>2</v>
      </c>
      <c r="E239" s="294" t="s">
        <v>808</v>
      </c>
      <c r="F239" s="295" t="s">
        <v>605</v>
      </c>
      <c r="G239" s="296" t="s">
        <v>759</v>
      </c>
      <c r="H239" s="294" t="s">
        <v>1043</v>
      </c>
      <c r="I239" s="297" t="str">
        <f t="shared" si="29"/>
        <v>speellokaal</v>
      </c>
      <c r="J239" s="295" t="s">
        <v>465</v>
      </c>
      <c r="K239" s="298">
        <v>64</v>
      </c>
      <c r="L239" s="298"/>
      <c r="M239" s="299">
        <v>8200</v>
      </c>
      <c r="N239" s="300">
        <f t="shared" si="39"/>
        <v>200</v>
      </c>
      <c r="O239" s="484">
        <v>1</v>
      </c>
      <c r="P239" s="484">
        <v>1</v>
      </c>
      <c r="Q239" s="292">
        <f t="shared" si="40"/>
        <v>0</v>
      </c>
      <c r="R239" s="292">
        <f t="shared" si="41"/>
        <v>0</v>
      </c>
      <c r="S239" s="301">
        <f t="shared" si="36"/>
        <v>0</v>
      </c>
      <c r="T239" s="301">
        <f t="shared" si="37"/>
        <v>0</v>
      </c>
      <c r="U239" s="771" t="str">
        <f t="shared" si="38"/>
        <v>L</v>
      </c>
      <c r="V239" s="303"/>
      <c r="W239" s="304">
        <f>(Q239+R239)*'1.0-Contractblad'!$L$37</f>
        <v>0</v>
      </c>
      <c r="X239" s="304">
        <f ca="1">VLOOKUP(E239,'1.1a-Jaarprijzen'!$B$35:$Q$57,16,FALSE)*K239</f>
        <v>0</v>
      </c>
      <c r="Z239" s="773">
        <f t="shared" si="42"/>
        <v>12800</v>
      </c>
      <c r="AA239" s="492" t="str">
        <f t="shared" si="43"/>
        <v>8200-200</v>
      </c>
    </row>
    <row r="240" spans="2:27" s="490" customFormat="1" ht="15">
      <c r="B240" s="330"/>
      <c r="C240" s="331"/>
      <c r="D240" s="295">
        <f>VLOOKUP(E240,'1.1a-Jaarprijzen'!$B$13:$G$32,6,FALSE)</f>
        <v>2</v>
      </c>
      <c r="E240" s="294" t="s">
        <v>808</v>
      </c>
      <c r="F240" s="295" t="s">
        <v>605</v>
      </c>
      <c r="G240" s="296" t="s">
        <v>812</v>
      </c>
      <c r="H240" s="294" t="s">
        <v>387</v>
      </c>
      <c r="I240" s="297" t="str">
        <f t="shared" si="29"/>
        <v>niet van toepassing</v>
      </c>
      <c r="J240" s="295" t="s">
        <v>465</v>
      </c>
      <c r="K240" s="298"/>
      <c r="L240" s="298">
        <v>25.5</v>
      </c>
      <c r="M240" s="299" t="s">
        <v>17</v>
      </c>
      <c r="N240" s="300">
        <f t="shared" si="39"/>
        <v>0</v>
      </c>
      <c r="O240" s="484">
        <v>1</v>
      </c>
      <c r="P240" s="484">
        <v>1</v>
      </c>
      <c r="Q240" s="292">
        <f t="shared" si="40"/>
        <v>0</v>
      </c>
      <c r="R240" s="292">
        <f t="shared" si="41"/>
        <v>0</v>
      </c>
      <c r="S240" s="301">
        <f t="shared" si="36"/>
        <v>0</v>
      </c>
      <c r="T240" s="301">
        <f t="shared" si="37"/>
        <v>0</v>
      </c>
      <c r="U240" s="771">
        <f t="shared" si="38"/>
        <v>0</v>
      </c>
      <c r="V240" s="303" t="s">
        <v>1068</v>
      </c>
      <c r="W240" s="304">
        <f>(Q240+R240)*'1.0-Contractblad'!$L$37</f>
        <v>0</v>
      </c>
      <c r="X240" s="304">
        <f ca="1">VLOOKUP(E240,'1.1a-Jaarprijzen'!$B$35:$Q$57,16,FALSE)*K240</f>
        <v>0</v>
      </c>
      <c r="Z240" s="773">
        <f t="shared" si="42"/>
        <v>0</v>
      </c>
      <c r="AA240" s="492" t="str">
        <f t="shared" si="43"/>
        <v>nvt-0</v>
      </c>
    </row>
    <row r="241" spans="2:27" s="490" customFormat="1" ht="15">
      <c r="B241" s="330"/>
      <c r="C241" s="331"/>
      <c r="D241" s="295">
        <f>VLOOKUP(E241,'1.1a-Jaarprijzen'!$B$13:$G$32,6,FALSE)</f>
        <v>2</v>
      </c>
      <c r="E241" s="294" t="s">
        <v>808</v>
      </c>
      <c r="F241" s="295" t="s">
        <v>605</v>
      </c>
      <c r="G241" s="296" t="s">
        <v>819</v>
      </c>
      <c r="H241" s="294" t="s">
        <v>387</v>
      </c>
      <c r="I241" s="297" t="str">
        <f t="shared" si="29"/>
        <v>niet van toepassing</v>
      </c>
      <c r="J241" s="295" t="s">
        <v>465</v>
      </c>
      <c r="K241" s="298"/>
      <c r="L241" s="298">
        <v>35.5</v>
      </c>
      <c r="M241" s="299" t="s">
        <v>17</v>
      </c>
      <c r="N241" s="300">
        <f t="shared" si="39"/>
        <v>0</v>
      </c>
      <c r="O241" s="484">
        <v>1</v>
      </c>
      <c r="P241" s="484">
        <v>1</v>
      </c>
      <c r="Q241" s="292">
        <f t="shared" si="40"/>
        <v>0</v>
      </c>
      <c r="R241" s="292">
        <f t="shared" si="41"/>
        <v>0</v>
      </c>
      <c r="S241" s="301">
        <f t="shared" si="36"/>
        <v>0</v>
      </c>
      <c r="T241" s="301">
        <f t="shared" si="37"/>
        <v>0</v>
      </c>
      <c r="U241" s="771">
        <f t="shared" si="38"/>
        <v>0</v>
      </c>
      <c r="V241" s="303" t="s">
        <v>1068</v>
      </c>
      <c r="W241" s="304">
        <f>(Q241+R241)*'1.0-Contractblad'!$L$37</f>
        <v>0</v>
      </c>
      <c r="X241" s="304">
        <f ca="1">VLOOKUP(E241,'1.1a-Jaarprijzen'!$B$35:$Q$57,16,FALSE)*K241</f>
        <v>0</v>
      </c>
      <c r="Z241" s="773">
        <f t="shared" si="42"/>
        <v>0</v>
      </c>
      <c r="AA241" s="492" t="str">
        <f t="shared" si="43"/>
        <v>nvt-0</v>
      </c>
    </row>
    <row r="242" spans="2:27" s="490" customFormat="1" ht="15">
      <c r="B242" s="330"/>
      <c r="C242" s="331"/>
      <c r="D242" s="295">
        <f>VLOOKUP(E242,'1.1a-Jaarprijzen'!$B$13:$G$32,6,FALSE)</f>
        <v>2</v>
      </c>
      <c r="E242" s="294" t="s">
        <v>808</v>
      </c>
      <c r="F242" s="295" t="s">
        <v>605</v>
      </c>
      <c r="G242" s="296" t="s">
        <v>761</v>
      </c>
      <c r="H242" s="294" t="s">
        <v>1044</v>
      </c>
      <c r="I242" s="297" t="str">
        <f t="shared" si="29"/>
        <v>niet van toepassing</v>
      </c>
      <c r="J242" s="295" t="s">
        <v>465</v>
      </c>
      <c r="K242" s="298"/>
      <c r="L242" s="298">
        <v>57.5</v>
      </c>
      <c r="M242" s="299" t="s">
        <v>17</v>
      </c>
      <c r="N242" s="300">
        <f t="shared" si="39"/>
        <v>0</v>
      </c>
      <c r="O242" s="484">
        <v>1</v>
      </c>
      <c r="P242" s="484">
        <v>1</v>
      </c>
      <c r="Q242" s="292">
        <f t="shared" si="40"/>
        <v>0</v>
      </c>
      <c r="R242" s="292">
        <f t="shared" si="41"/>
        <v>0</v>
      </c>
      <c r="S242" s="301">
        <f t="shared" si="36"/>
        <v>0</v>
      </c>
      <c r="T242" s="301">
        <f t="shared" si="37"/>
        <v>0</v>
      </c>
      <c r="U242" s="771">
        <f t="shared" si="38"/>
        <v>0</v>
      </c>
      <c r="V242" s="303" t="s">
        <v>1068</v>
      </c>
      <c r="W242" s="304">
        <f>(Q242+R242)*'1.0-Contractblad'!$L$37</f>
        <v>0</v>
      </c>
      <c r="X242" s="304">
        <f ca="1">VLOOKUP(E242,'1.1a-Jaarprijzen'!$B$35:$Q$57,16,FALSE)*K242</f>
        <v>0</v>
      </c>
      <c r="Z242" s="773">
        <f t="shared" si="42"/>
        <v>0</v>
      </c>
      <c r="AA242" s="492" t="str">
        <f t="shared" si="43"/>
        <v>nvt-0</v>
      </c>
    </row>
    <row r="243" spans="2:27" s="490" customFormat="1" ht="15">
      <c r="B243" s="330"/>
      <c r="C243" s="331"/>
      <c r="D243" s="295">
        <f>VLOOKUP(E243,'1.1a-Jaarprijzen'!$B$13:$G$32,6,FALSE)</f>
        <v>2</v>
      </c>
      <c r="E243" s="294" t="s">
        <v>808</v>
      </c>
      <c r="F243" s="295" t="s">
        <v>605</v>
      </c>
      <c r="G243" s="296" t="s">
        <v>762</v>
      </c>
      <c r="H243" s="294" t="s">
        <v>1045</v>
      </c>
      <c r="I243" s="297" t="str">
        <f t="shared" si="29"/>
        <v>niet van toepassing</v>
      </c>
      <c r="J243" s="295" t="s">
        <v>465</v>
      </c>
      <c r="K243" s="298"/>
      <c r="L243" s="298">
        <v>65</v>
      </c>
      <c r="M243" s="299" t="s">
        <v>17</v>
      </c>
      <c r="N243" s="300">
        <f t="shared" si="39"/>
        <v>0</v>
      </c>
      <c r="O243" s="484">
        <v>1</v>
      </c>
      <c r="P243" s="484">
        <v>1</v>
      </c>
      <c r="Q243" s="292">
        <f t="shared" si="40"/>
        <v>0</v>
      </c>
      <c r="R243" s="292">
        <f t="shared" si="41"/>
        <v>0</v>
      </c>
      <c r="S243" s="301">
        <f t="shared" si="36"/>
        <v>0</v>
      </c>
      <c r="T243" s="301">
        <f t="shared" si="37"/>
        <v>0</v>
      </c>
      <c r="U243" s="771">
        <f t="shared" si="38"/>
        <v>0</v>
      </c>
      <c r="V243" s="303" t="s">
        <v>1068</v>
      </c>
      <c r="W243" s="304">
        <f>(Q243+R243)*'1.0-Contractblad'!$L$37</f>
        <v>0</v>
      </c>
      <c r="X243" s="304">
        <f ca="1">VLOOKUP(E243,'1.1a-Jaarprijzen'!$B$35:$Q$57,16,FALSE)*K243</f>
        <v>0</v>
      </c>
      <c r="Z243" s="773">
        <f t="shared" si="42"/>
        <v>0</v>
      </c>
      <c r="AA243" s="492" t="str">
        <f t="shared" si="43"/>
        <v>nvt-0</v>
      </c>
    </row>
    <row r="244" spans="2:27" s="490" customFormat="1" ht="15">
      <c r="B244" s="330"/>
      <c r="C244" s="331"/>
      <c r="D244" s="295">
        <f>VLOOKUP(E244,'1.1a-Jaarprijzen'!$B$13:$G$32,6,FALSE)</f>
        <v>2</v>
      </c>
      <c r="E244" s="294" t="s">
        <v>808</v>
      </c>
      <c r="F244" s="295" t="s">
        <v>605</v>
      </c>
      <c r="G244" s="296" t="s">
        <v>763</v>
      </c>
      <c r="H244" s="294" t="s">
        <v>391</v>
      </c>
      <c r="I244" s="297" t="str">
        <f t="shared" si="29"/>
        <v>niet van toepassing</v>
      </c>
      <c r="J244" s="295" t="s">
        <v>465</v>
      </c>
      <c r="K244" s="298"/>
      <c r="L244" s="298">
        <v>7.5</v>
      </c>
      <c r="M244" s="299" t="s">
        <v>17</v>
      </c>
      <c r="N244" s="300">
        <f t="shared" si="39"/>
        <v>0</v>
      </c>
      <c r="O244" s="484">
        <v>1</v>
      </c>
      <c r="P244" s="484">
        <v>1</v>
      </c>
      <c r="Q244" s="292">
        <f t="shared" si="40"/>
        <v>0</v>
      </c>
      <c r="R244" s="292">
        <f t="shared" si="41"/>
        <v>0</v>
      </c>
      <c r="S244" s="301">
        <f t="shared" si="36"/>
        <v>0</v>
      </c>
      <c r="T244" s="301">
        <f t="shared" si="37"/>
        <v>0</v>
      </c>
      <c r="U244" s="771">
        <f t="shared" si="38"/>
        <v>0</v>
      </c>
      <c r="V244" s="303" t="s">
        <v>1068</v>
      </c>
      <c r="W244" s="304">
        <f>(Q244+R244)*'1.0-Contractblad'!$L$37</f>
        <v>0</v>
      </c>
      <c r="X244" s="304">
        <f ca="1">VLOOKUP(E244,'1.1a-Jaarprijzen'!$B$35:$Q$57,16,FALSE)*K244</f>
        <v>0</v>
      </c>
      <c r="Z244" s="773">
        <f t="shared" si="42"/>
        <v>0</v>
      </c>
      <c r="AA244" s="492" t="str">
        <f t="shared" si="43"/>
        <v>nvt-0</v>
      </c>
    </row>
    <row r="245" spans="2:27" s="490" customFormat="1" ht="15">
      <c r="B245" s="330"/>
      <c r="C245" s="331"/>
      <c r="D245" s="295">
        <f>VLOOKUP(E245,'1.1a-Jaarprijzen'!$B$13:$G$32,6,FALSE)</f>
        <v>2</v>
      </c>
      <c r="E245" s="294" t="s">
        <v>808</v>
      </c>
      <c r="F245" s="295" t="s">
        <v>605</v>
      </c>
      <c r="G245" s="296" t="s">
        <v>764</v>
      </c>
      <c r="H245" s="294" t="s">
        <v>477</v>
      </c>
      <c r="I245" s="297" t="str">
        <f t="shared" si="29"/>
        <v>niet van toepassing</v>
      </c>
      <c r="J245" s="295" t="s">
        <v>460</v>
      </c>
      <c r="K245" s="298"/>
      <c r="L245" s="298">
        <v>3</v>
      </c>
      <c r="M245" s="299" t="s">
        <v>17</v>
      </c>
      <c r="N245" s="300">
        <f t="shared" si="39"/>
        <v>0</v>
      </c>
      <c r="O245" s="484">
        <v>1</v>
      </c>
      <c r="P245" s="484">
        <v>1</v>
      </c>
      <c r="Q245" s="292">
        <f t="shared" si="40"/>
        <v>0</v>
      </c>
      <c r="R245" s="292">
        <f t="shared" si="41"/>
        <v>0</v>
      </c>
      <c r="S245" s="301">
        <f t="shared" si="36"/>
        <v>0</v>
      </c>
      <c r="T245" s="301">
        <f t="shared" si="37"/>
        <v>0</v>
      </c>
      <c r="U245" s="771">
        <f t="shared" si="38"/>
        <v>0</v>
      </c>
      <c r="V245" s="303" t="s">
        <v>1068</v>
      </c>
      <c r="W245" s="304">
        <f>(Q245+R245)*'1.0-Contractblad'!$L$37</f>
        <v>0</v>
      </c>
      <c r="X245" s="304">
        <f ca="1">VLOOKUP(E245,'1.1a-Jaarprijzen'!$B$35:$Q$57,16,FALSE)*K245</f>
        <v>0</v>
      </c>
      <c r="Z245" s="773">
        <f t="shared" si="42"/>
        <v>0</v>
      </c>
      <c r="AA245" s="492" t="str">
        <f t="shared" si="43"/>
        <v>nvt-0</v>
      </c>
    </row>
    <row r="246" spans="2:27" s="490" customFormat="1" ht="15">
      <c r="B246" s="330"/>
      <c r="C246" s="331"/>
      <c r="D246" s="295">
        <f>VLOOKUP(E246,'1.1a-Jaarprijzen'!$B$13:$G$32,6,FALSE)</f>
        <v>2</v>
      </c>
      <c r="E246" s="294" t="s">
        <v>808</v>
      </c>
      <c r="F246" s="295" t="s">
        <v>605</v>
      </c>
      <c r="G246" s="296" t="s">
        <v>820</v>
      </c>
      <c r="H246" s="294" t="s">
        <v>1017</v>
      </c>
      <c r="I246" s="297" t="str">
        <f t="shared" si="29"/>
        <v>niet van toepassing</v>
      </c>
      <c r="J246" s="295" t="s">
        <v>460</v>
      </c>
      <c r="K246" s="298"/>
      <c r="L246" s="298">
        <v>9.5</v>
      </c>
      <c r="M246" s="299" t="s">
        <v>17</v>
      </c>
      <c r="N246" s="300">
        <f t="shared" si="39"/>
        <v>0</v>
      </c>
      <c r="O246" s="484">
        <v>1</v>
      </c>
      <c r="P246" s="484">
        <v>1</v>
      </c>
      <c r="Q246" s="292">
        <f t="shared" si="40"/>
        <v>0</v>
      </c>
      <c r="R246" s="292">
        <f t="shared" si="41"/>
        <v>0</v>
      </c>
      <c r="S246" s="301">
        <f t="shared" si="36"/>
        <v>0</v>
      </c>
      <c r="T246" s="301">
        <f t="shared" si="37"/>
        <v>0</v>
      </c>
      <c r="U246" s="771">
        <f t="shared" si="38"/>
        <v>0</v>
      </c>
      <c r="V246" s="303" t="s">
        <v>1068</v>
      </c>
      <c r="W246" s="304">
        <f>(Q246+R246)*'1.0-Contractblad'!$L$37</f>
        <v>0</v>
      </c>
      <c r="X246" s="304">
        <f ca="1">VLOOKUP(E246,'1.1a-Jaarprijzen'!$B$35:$Q$57,16,FALSE)*K246</f>
        <v>0</v>
      </c>
      <c r="Z246" s="773">
        <f t="shared" si="42"/>
        <v>0</v>
      </c>
      <c r="AA246" s="492" t="str">
        <f t="shared" si="43"/>
        <v>nvt-0</v>
      </c>
    </row>
    <row r="247" spans="2:27" s="490" customFormat="1" ht="15">
      <c r="B247" s="330"/>
      <c r="C247" s="331"/>
      <c r="D247" s="295">
        <f>VLOOKUP(E247,'1.1a-Jaarprijzen'!$B$13:$G$32,6,FALSE)</f>
        <v>2</v>
      </c>
      <c r="E247" s="294" t="s">
        <v>808</v>
      </c>
      <c r="F247" s="295" t="s">
        <v>605</v>
      </c>
      <c r="G247" s="296" t="s">
        <v>766</v>
      </c>
      <c r="H247" s="294" t="s">
        <v>393</v>
      </c>
      <c r="I247" s="297" t="str">
        <f t="shared" si="29"/>
        <v>niet van toepassing</v>
      </c>
      <c r="J247" s="295" t="s">
        <v>465</v>
      </c>
      <c r="K247" s="298"/>
      <c r="L247" s="298">
        <v>6</v>
      </c>
      <c r="M247" s="299" t="s">
        <v>17</v>
      </c>
      <c r="N247" s="300">
        <f t="shared" si="39"/>
        <v>0</v>
      </c>
      <c r="O247" s="484">
        <v>1</v>
      </c>
      <c r="P247" s="484">
        <v>1</v>
      </c>
      <c r="Q247" s="292">
        <f t="shared" si="40"/>
        <v>0</v>
      </c>
      <c r="R247" s="292">
        <f t="shared" si="41"/>
        <v>0</v>
      </c>
      <c r="S247" s="301">
        <f t="shared" si="36"/>
        <v>0</v>
      </c>
      <c r="T247" s="301">
        <f t="shared" si="37"/>
        <v>0</v>
      </c>
      <c r="U247" s="771">
        <f t="shared" si="38"/>
        <v>0</v>
      </c>
      <c r="V247" s="303" t="s">
        <v>1068</v>
      </c>
      <c r="W247" s="304">
        <f>(Q247+R247)*'1.0-Contractblad'!$L$37</f>
        <v>0</v>
      </c>
      <c r="X247" s="304">
        <f ca="1">VLOOKUP(E247,'1.1a-Jaarprijzen'!$B$35:$Q$57,16,FALSE)*K247</f>
        <v>0</v>
      </c>
      <c r="Z247" s="773">
        <f t="shared" si="42"/>
        <v>0</v>
      </c>
      <c r="AA247" s="492" t="str">
        <f t="shared" si="43"/>
        <v>nvt-0</v>
      </c>
    </row>
    <row r="248" spans="2:27" s="490" customFormat="1" ht="15">
      <c r="B248" s="330"/>
      <c r="C248" s="331"/>
      <c r="D248" s="295">
        <f>VLOOKUP(E248,'1.1a-Jaarprijzen'!$B$13:$G$32,6,FALSE)</f>
        <v>2</v>
      </c>
      <c r="E248" s="686" t="s">
        <v>808</v>
      </c>
      <c r="F248" s="295" t="s">
        <v>605</v>
      </c>
      <c r="G248" s="296" t="s">
        <v>767</v>
      </c>
      <c r="H248" s="294" t="s">
        <v>1046</v>
      </c>
      <c r="I248" s="297" t="str">
        <f t="shared" si="29"/>
        <v>leslokaal groep 1 t/m 3</v>
      </c>
      <c r="J248" s="295" t="s">
        <v>465</v>
      </c>
      <c r="K248" s="298">
        <v>68</v>
      </c>
      <c r="L248" s="298"/>
      <c r="M248" s="299">
        <v>7200</v>
      </c>
      <c r="N248" s="300">
        <f t="shared" si="39"/>
        <v>200</v>
      </c>
      <c r="O248" s="484">
        <v>1</v>
      </c>
      <c r="P248" s="484">
        <v>1</v>
      </c>
      <c r="Q248" s="292">
        <f t="shared" si="40"/>
        <v>0</v>
      </c>
      <c r="R248" s="292">
        <f t="shared" si="41"/>
        <v>0</v>
      </c>
      <c r="S248" s="301">
        <f t="shared" si="36"/>
        <v>0</v>
      </c>
      <c r="T248" s="301">
        <f t="shared" si="37"/>
        <v>0</v>
      </c>
      <c r="U248" s="771" t="str">
        <f t="shared" si="38"/>
        <v>L</v>
      </c>
      <c r="V248" s="303" t="s">
        <v>1068</v>
      </c>
      <c r="W248" s="304">
        <f>(Q248+R248)*'1.0-Contractblad'!$L$37</f>
        <v>0</v>
      </c>
      <c r="X248" s="304">
        <f ca="1">VLOOKUP(E248,'1.1a-Jaarprijzen'!$B$35:$Q$57,16,FALSE)*K248</f>
        <v>0</v>
      </c>
      <c r="Z248" s="773">
        <f t="shared" si="42"/>
        <v>13600</v>
      </c>
      <c r="AA248" s="492" t="str">
        <f t="shared" si="43"/>
        <v>7200-200</v>
      </c>
    </row>
    <row r="249" spans="2:27" s="490" customFormat="1" ht="15">
      <c r="B249" s="330"/>
      <c r="C249" s="331"/>
      <c r="D249" s="295">
        <f>VLOOKUP(E249,'1.1a-Jaarprijzen'!$B$13:$G$32,6,FALSE)</f>
        <v>2</v>
      </c>
      <c r="E249" s="294" t="s">
        <v>808</v>
      </c>
      <c r="F249" s="295" t="s">
        <v>605</v>
      </c>
      <c r="G249" s="296" t="s">
        <v>768</v>
      </c>
      <c r="H249" s="294" t="s">
        <v>387</v>
      </c>
      <c r="I249" s="297" t="str">
        <f t="shared" si="29"/>
        <v>entree, gang, hal, repro</v>
      </c>
      <c r="J249" s="295" t="s">
        <v>465</v>
      </c>
      <c r="K249" s="298">
        <v>4.5</v>
      </c>
      <c r="L249" s="298"/>
      <c r="M249" s="299">
        <v>3200</v>
      </c>
      <c r="N249" s="300">
        <f t="shared" si="39"/>
        <v>200</v>
      </c>
      <c r="O249" s="484">
        <v>1</v>
      </c>
      <c r="P249" s="484">
        <v>1</v>
      </c>
      <c r="Q249" s="292">
        <f t="shared" si="40"/>
        <v>0</v>
      </c>
      <c r="R249" s="292">
        <f t="shared" si="41"/>
        <v>0</v>
      </c>
      <c r="S249" s="301">
        <f t="shared" si="36"/>
        <v>0</v>
      </c>
      <c r="T249" s="301">
        <f t="shared" si="37"/>
        <v>0</v>
      </c>
      <c r="U249" s="771" t="str">
        <f t="shared" si="38"/>
        <v>V</v>
      </c>
      <c r="V249" s="303"/>
      <c r="W249" s="304">
        <f>(Q249+R249)*'1.0-Contractblad'!$L$37</f>
        <v>0</v>
      </c>
      <c r="X249" s="304">
        <f ca="1">VLOOKUP(E249,'1.1a-Jaarprijzen'!$B$35:$Q$57,16,FALSE)*K249</f>
        <v>0</v>
      </c>
      <c r="Z249" s="773">
        <f t="shared" si="42"/>
        <v>900</v>
      </c>
      <c r="AA249" s="492" t="str">
        <f t="shared" si="43"/>
        <v>3200-200</v>
      </c>
    </row>
    <row r="250" spans="2:27" s="490" customFormat="1" ht="15">
      <c r="B250" s="330"/>
      <c r="C250" s="331"/>
      <c r="D250" s="295">
        <f>VLOOKUP(E250,'1.1a-Jaarprijzen'!$B$13:$G$32,6,FALSE)</f>
        <v>2</v>
      </c>
      <c r="E250" s="294" t="s">
        <v>808</v>
      </c>
      <c r="F250" s="295" t="s">
        <v>261</v>
      </c>
      <c r="G250" s="296" t="s">
        <v>821</v>
      </c>
      <c r="H250" s="294" t="s">
        <v>387</v>
      </c>
      <c r="I250" s="297" t="str">
        <f t="shared" si="29"/>
        <v>entree, gang, hal, repro</v>
      </c>
      <c r="J250" s="295" t="s">
        <v>465</v>
      </c>
      <c r="K250" s="298">
        <v>3</v>
      </c>
      <c r="L250" s="298"/>
      <c r="M250" s="299">
        <v>3200</v>
      </c>
      <c r="N250" s="300">
        <f t="shared" si="39"/>
        <v>200</v>
      </c>
      <c r="O250" s="484">
        <v>1</v>
      </c>
      <c r="P250" s="484">
        <v>1</v>
      </c>
      <c r="Q250" s="292">
        <f t="shared" si="40"/>
        <v>0</v>
      </c>
      <c r="R250" s="292">
        <f t="shared" si="41"/>
        <v>0</v>
      </c>
      <c r="S250" s="301">
        <f t="shared" si="36"/>
        <v>0</v>
      </c>
      <c r="T250" s="301">
        <f t="shared" si="37"/>
        <v>0</v>
      </c>
      <c r="U250" s="771" t="str">
        <f t="shared" si="38"/>
        <v>V</v>
      </c>
      <c r="V250" s="303"/>
      <c r="W250" s="304">
        <f>(Q250+R250)*'1.0-Contractblad'!$L$37</f>
        <v>0</v>
      </c>
      <c r="X250" s="304">
        <f ca="1">VLOOKUP(E250,'1.1a-Jaarprijzen'!$B$35:$Q$57,16,FALSE)*K250</f>
        <v>0</v>
      </c>
      <c r="Z250" s="773">
        <f t="shared" si="42"/>
        <v>600</v>
      </c>
      <c r="AA250" s="492" t="str">
        <f t="shared" si="43"/>
        <v>3200-200</v>
      </c>
    </row>
    <row r="251" spans="2:27" s="490" customFormat="1" ht="15">
      <c r="B251" s="330"/>
      <c r="C251" s="331"/>
      <c r="D251" s="295">
        <f>VLOOKUP(E251,'1.1a-Jaarprijzen'!$B$13:$G$32,6,FALSE)</f>
        <v>2</v>
      </c>
      <c r="E251" s="294" t="s">
        <v>808</v>
      </c>
      <c r="F251" s="295" t="s">
        <v>261</v>
      </c>
      <c r="G251" s="296" t="s">
        <v>822</v>
      </c>
      <c r="H251" s="294" t="s">
        <v>688</v>
      </c>
      <c r="I251" s="297" t="str">
        <f t="shared" si="29"/>
        <v>leslokaal groep 1 t/m 3</v>
      </c>
      <c r="J251" s="295" t="s">
        <v>465</v>
      </c>
      <c r="K251" s="298">
        <v>47.5</v>
      </c>
      <c r="L251" s="298"/>
      <c r="M251" s="299">
        <v>7200</v>
      </c>
      <c r="N251" s="300">
        <f t="shared" si="39"/>
        <v>200</v>
      </c>
      <c r="O251" s="484">
        <v>1</v>
      </c>
      <c r="P251" s="484">
        <v>1</v>
      </c>
      <c r="Q251" s="292">
        <f t="shared" si="40"/>
        <v>0</v>
      </c>
      <c r="R251" s="292">
        <f t="shared" si="41"/>
        <v>0</v>
      </c>
      <c r="S251" s="301">
        <f t="shared" si="36"/>
        <v>0</v>
      </c>
      <c r="T251" s="301">
        <f t="shared" si="37"/>
        <v>0</v>
      </c>
      <c r="U251" s="771" t="str">
        <f t="shared" si="38"/>
        <v>L</v>
      </c>
      <c r="V251" s="303"/>
      <c r="W251" s="304">
        <f>(Q251+R251)*'1.0-Contractblad'!$L$37</f>
        <v>0</v>
      </c>
      <c r="X251" s="304">
        <f ca="1">VLOOKUP(E251,'1.1a-Jaarprijzen'!$B$35:$Q$57,16,FALSE)*K251</f>
        <v>0</v>
      </c>
      <c r="Z251" s="773">
        <f t="shared" si="42"/>
        <v>9500</v>
      </c>
      <c r="AA251" s="492" t="str">
        <f t="shared" si="43"/>
        <v>7200-200</v>
      </c>
    </row>
    <row r="252" spans="2:27" s="490" customFormat="1" ht="15">
      <c r="B252" s="330"/>
      <c r="C252" s="331"/>
      <c r="D252" s="295">
        <f>VLOOKUP(E252,'1.1a-Jaarprijzen'!$B$13:$G$32,6,FALSE)</f>
        <v>2</v>
      </c>
      <c r="E252" s="294" t="s">
        <v>808</v>
      </c>
      <c r="F252" s="295" t="s">
        <v>261</v>
      </c>
      <c r="G252" s="296" t="s">
        <v>823</v>
      </c>
      <c r="H252" s="294" t="s">
        <v>1047</v>
      </c>
      <c r="I252" s="297" t="str">
        <f t="shared" si="29"/>
        <v>leslokaal/leerplein groep 4 t/m 8</v>
      </c>
      <c r="J252" s="298" t="s">
        <v>465</v>
      </c>
      <c r="K252" s="298">
        <v>65</v>
      </c>
      <c r="L252" s="298"/>
      <c r="M252" s="299">
        <v>18200</v>
      </c>
      <c r="N252" s="300">
        <f t="shared" si="39"/>
        <v>200</v>
      </c>
      <c r="O252" s="484">
        <v>1</v>
      </c>
      <c r="P252" s="484">
        <v>1</v>
      </c>
      <c r="Q252" s="292">
        <f t="shared" si="40"/>
        <v>0</v>
      </c>
      <c r="R252" s="292">
        <f t="shared" si="41"/>
        <v>0</v>
      </c>
      <c r="S252" s="301">
        <f t="shared" si="36"/>
        <v>0</v>
      </c>
      <c r="T252" s="301">
        <f t="shared" si="37"/>
        <v>0</v>
      </c>
      <c r="U252" s="771" t="str">
        <f t="shared" si="38"/>
        <v>L</v>
      </c>
      <c r="V252" s="303"/>
      <c r="W252" s="304">
        <f>(Q252+R252)*'1.0-Contractblad'!$L$37</f>
        <v>0</v>
      </c>
      <c r="X252" s="304">
        <f ca="1">VLOOKUP(E252,'1.1a-Jaarprijzen'!$B$35:$Q$57,16,FALSE)*K252</f>
        <v>0</v>
      </c>
      <c r="Z252" s="773">
        <f t="shared" si="42"/>
        <v>13000</v>
      </c>
      <c r="AA252" s="492" t="str">
        <f t="shared" si="43"/>
        <v>18200-200</v>
      </c>
    </row>
    <row r="253" spans="2:27" s="490" customFormat="1" ht="15">
      <c r="B253" s="330"/>
      <c r="C253" s="331"/>
      <c r="D253" s="295">
        <f>VLOOKUP(E253,'1.1a-Jaarprijzen'!$B$13:$G$32,6,FALSE)</f>
        <v>2</v>
      </c>
      <c r="E253" s="294" t="s">
        <v>808</v>
      </c>
      <c r="F253" s="295" t="s">
        <v>261</v>
      </c>
      <c r="G253" s="296" t="s">
        <v>824</v>
      </c>
      <c r="H253" s="294" t="s">
        <v>1048</v>
      </c>
      <c r="I253" s="297" t="str">
        <f t="shared" si="29"/>
        <v>leslokaal/leerplein groep 4 t/m 8</v>
      </c>
      <c r="J253" s="298" t="s">
        <v>465</v>
      </c>
      <c r="K253" s="298">
        <v>68.5</v>
      </c>
      <c r="L253" s="298"/>
      <c r="M253" s="299">
        <v>18200</v>
      </c>
      <c r="N253" s="300">
        <f t="shared" si="39"/>
        <v>200</v>
      </c>
      <c r="O253" s="484">
        <v>1</v>
      </c>
      <c r="P253" s="484">
        <v>1</v>
      </c>
      <c r="Q253" s="292">
        <f t="shared" si="40"/>
        <v>0</v>
      </c>
      <c r="R253" s="292">
        <f t="shared" si="41"/>
        <v>0</v>
      </c>
      <c r="S253" s="301">
        <f t="shared" si="36"/>
        <v>0</v>
      </c>
      <c r="T253" s="301">
        <f t="shared" si="37"/>
        <v>0</v>
      </c>
      <c r="U253" s="771" t="str">
        <f t="shared" si="38"/>
        <v>L</v>
      </c>
      <c r="V253" s="303"/>
      <c r="W253" s="304">
        <f>(Q253+R253)*'1.0-Contractblad'!$L$37</f>
        <v>0</v>
      </c>
      <c r="X253" s="304">
        <f ca="1">VLOOKUP(E253,'1.1a-Jaarprijzen'!$B$35:$Q$57,16,FALSE)*K253</f>
        <v>0</v>
      </c>
      <c r="Z253" s="773">
        <f t="shared" si="42"/>
        <v>13700</v>
      </c>
      <c r="AA253" s="492" t="str">
        <f t="shared" si="43"/>
        <v>18200-200</v>
      </c>
    </row>
    <row r="254" spans="2:27" s="490" customFormat="1" ht="15">
      <c r="B254" s="330"/>
      <c r="C254" s="331"/>
      <c r="D254" s="295">
        <f>VLOOKUP(E254,'1.1a-Jaarprijzen'!$B$13:$G$32,6,FALSE)</f>
        <v>2</v>
      </c>
      <c r="E254" s="294" t="s">
        <v>808</v>
      </c>
      <c r="F254" s="295" t="s">
        <v>261</v>
      </c>
      <c r="G254" s="296" t="s">
        <v>825</v>
      </c>
      <c r="H254" s="294" t="s">
        <v>391</v>
      </c>
      <c r="I254" s="297" t="str">
        <f t="shared" si="29"/>
        <v>niet van toepassing</v>
      </c>
      <c r="J254" s="295" t="s">
        <v>465</v>
      </c>
      <c r="K254" s="298"/>
      <c r="L254" s="298">
        <v>8.5</v>
      </c>
      <c r="M254" s="299" t="s">
        <v>17</v>
      </c>
      <c r="N254" s="300">
        <f t="shared" si="39"/>
        <v>0</v>
      </c>
      <c r="O254" s="484">
        <v>1</v>
      </c>
      <c r="P254" s="484">
        <v>1</v>
      </c>
      <c r="Q254" s="292">
        <f t="shared" si="40"/>
        <v>0</v>
      </c>
      <c r="R254" s="292">
        <f t="shared" si="41"/>
        <v>0</v>
      </c>
      <c r="S254" s="301">
        <f t="shared" si="36"/>
        <v>0</v>
      </c>
      <c r="T254" s="301">
        <f t="shared" si="37"/>
        <v>0</v>
      </c>
      <c r="U254" s="771">
        <f t="shared" si="38"/>
        <v>0</v>
      </c>
      <c r="V254" s="303"/>
      <c r="W254" s="304">
        <f>(Q254+R254)*'1.0-Contractblad'!$L$37</f>
        <v>0</v>
      </c>
      <c r="X254" s="304">
        <f ca="1">VLOOKUP(E254,'1.1a-Jaarprijzen'!$B$35:$Q$57,16,FALSE)*K254</f>
        <v>0</v>
      </c>
      <c r="Z254" s="773">
        <f t="shared" si="42"/>
        <v>0</v>
      </c>
      <c r="AA254" s="492" t="str">
        <f t="shared" si="43"/>
        <v>nvt-0</v>
      </c>
    </row>
    <row r="255" spans="2:27" s="490" customFormat="1" ht="15">
      <c r="B255" s="330"/>
      <c r="C255" s="331"/>
      <c r="D255" s="295">
        <f>VLOOKUP(E255,'1.1a-Jaarprijzen'!$B$13:$G$32,6,FALSE)</f>
        <v>2</v>
      </c>
      <c r="E255" s="294" t="s">
        <v>808</v>
      </c>
      <c r="F255" s="295" t="s">
        <v>261</v>
      </c>
      <c r="G255" s="296" t="s">
        <v>826</v>
      </c>
      <c r="H255" s="294" t="s">
        <v>477</v>
      </c>
      <c r="I255" s="297" t="str">
        <f t="shared" si="29"/>
        <v>sanitaire ruimte (toilet-/doucheruimte)</v>
      </c>
      <c r="J255" s="295" t="s">
        <v>460</v>
      </c>
      <c r="K255" s="298">
        <v>3</v>
      </c>
      <c r="L255" s="298"/>
      <c r="M255" s="299">
        <v>4200</v>
      </c>
      <c r="N255" s="300">
        <f t="shared" si="39"/>
        <v>200</v>
      </c>
      <c r="O255" s="484">
        <v>1</v>
      </c>
      <c r="P255" s="484">
        <v>1</v>
      </c>
      <c r="Q255" s="292">
        <f t="shared" si="40"/>
        <v>0</v>
      </c>
      <c r="R255" s="292">
        <f t="shared" si="41"/>
        <v>0</v>
      </c>
      <c r="S255" s="301">
        <f t="shared" si="36"/>
        <v>0</v>
      </c>
      <c r="T255" s="301">
        <f t="shared" si="37"/>
        <v>0</v>
      </c>
      <c r="U255" s="771" t="str">
        <f t="shared" si="38"/>
        <v>S</v>
      </c>
      <c r="V255" s="303"/>
      <c r="W255" s="304">
        <f>(Q255+R255)*'1.0-Contractblad'!$L$37</f>
        <v>0</v>
      </c>
      <c r="X255" s="304">
        <f ca="1">VLOOKUP(E255,'1.1a-Jaarprijzen'!$B$35:$Q$57,16,FALSE)*K255</f>
        <v>0</v>
      </c>
      <c r="Z255" s="773">
        <f t="shared" si="42"/>
        <v>600</v>
      </c>
      <c r="AA255" s="492" t="str">
        <f t="shared" si="43"/>
        <v>4200-200</v>
      </c>
    </row>
    <row r="256" spans="2:27" s="490" customFormat="1" ht="15">
      <c r="B256" s="330"/>
      <c r="C256" s="331"/>
      <c r="D256" s="295">
        <f>VLOOKUP(E256,'1.1a-Jaarprijzen'!$B$13:$G$32,6,FALSE)</f>
        <v>2</v>
      </c>
      <c r="E256" s="294" t="s">
        <v>808</v>
      </c>
      <c r="F256" s="295" t="s">
        <v>261</v>
      </c>
      <c r="G256" s="296" t="s">
        <v>827</v>
      </c>
      <c r="H256" s="294" t="s">
        <v>1017</v>
      </c>
      <c r="I256" s="297" t="str">
        <f t="shared" si="29"/>
        <v>sanitaire ruimte (toilet-/doucheruimte)</v>
      </c>
      <c r="J256" s="295" t="s">
        <v>460</v>
      </c>
      <c r="K256" s="298">
        <v>8</v>
      </c>
      <c r="L256" s="298"/>
      <c r="M256" s="299">
        <v>4200</v>
      </c>
      <c r="N256" s="300">
        <f t="shared" si="39"/>
        <v>200</v>
      </c>
      <c r="O256" s="484">
        <v>1</v>
      </c>
      <c r="P256" s="484">
        <v>1</v>
      </c>
      <c r="Q256" s="292">
        <f t="shared" si="40"/>
        <v>0</v>
      </c>
      <c r="R256" s="292">
        <f t="shared" si="41"/>
        <v>0</v>
      </c>
      <c r="S256" s="301">
        <f t="shared" si="36"/>
        <v>0</v>
      </c>
      <c r="T256" s="301">
        <f t="shared" si="37"/>
        <v>0</v>
      </c>
      <c r="U256" s="771" t="str">
        <f t="shared" si="38"/>
        <v>S</v>
      </c>
      <c r="V256" s="303"/>
      <c r="W256" s="304">
        <f>(Q256+R256)*'1.0-Contractblad'!$L$37</f>
        <v>0</v>
      </c>
      <c r="X256" s="304">
        <f ca="1">VLOOKUP(E256,'1.1a-Jaarprijzen'!$B$35:$Q$57,16,FALSE)*K256</f>
        <v>0</v>
      </c>
      <c r="Z256" s="773">
        <f t="shared" si="42"/>
        <v>1600</v>
      </c>
      <c r="AA256" s="492" t="str">
        <f t="shared" si="43"/>
        <v>4200-200</v>
      </c>
    </row>
    <row r="257" spans="2:27" s="490" customFormat="1" ht="15">
      <c r="B257" s="330"/>
      <c r="C257" s="331"/>
      <c r="D257" s="295">
        <f>VLOOKUP(E257,'1.1a-Jaarprijzen'!$B$13:$G$32,6,FALSE)</f>
        <v>2</v>
      </c>
      <c r="E257" s="294" t="s">
        <v>808</v>
      </c>
      <c r="F257" s="295" t="s">
        <v>261</v>
      </c>
      <c r="G257" s="296" t="s">
        <v>828</v>
      </c>
      <c r="H257" s="294" t="s">
        <v>657</v>
      </c>
      <c r="I257" s="297" t="str">
        <f t="shared" si="29"/>
        <v>niet van toepassing</v>
      </c>
      <c r="J257" s="295" t="s">
        <v>465</v>
      </c>
      <c r="K257" s="298"/>
      <c r="L257" s="298">
        <v>16</v>
      </c>
      <c r="M257" s="299" t="s">
        <v>17</v>
      </c>
      <c r="N257" s="300">
        <f t="shared" si="39"/>
        <v>0</v>
      </c>
      <c r="O257" s="484">
        <v>1</v>
      </c>
      <c r="P257" s="484">
        <v>1</v>
      </c>
      <c r="Q257" s="292">
        <f t="shared" si="40"/>
        <v>0</v>
      </c>
      <c r="R257" s="292">
        <f t="shared" si="41"/>
        <v>0</v>
      </c>
      <c r="S257" s="301">
        <f t="shared" si="36"/>
        <v>0</v>
      </c>
      <c r="T257" s="301">
        <f t="shared" si="37"/>
        <v>0</v>
      </c>
      <c r="U257" s="771">
        <f t="shared" si="38"/>
        <v>0</v>
      </c>
      <c r="V257" s="303"/>
      <c r="W257" s="304">
        <f>(Q257+R257)*'1.0-Contractblad'!$L$37</f>
        <v>0</v>
      </c>
      <c r="X257" s="304">
        <f ca="1">VLOOKUP(E257,'1.1a-Jaarprijzen'!$B$35:$Q$57,16,FALSE)*K257</f>
        <v>0</v>
      </c>
      <c r="Z257" s="773">
        <f t="shared" si="42"/>
        <v>0</v>
      </c>
      <c r="AA257" s="492" t="str">
        <f t="shared" si="43"/>
        <v>nvt-0</v>
      </c>
    </row>
    <row r="258" spans="2:27" s="490" customFormat="1" ht="15">
      <c r="B258" s="330"/>
      <c r="C258" s="331"/>
      <c r="D258" s="295">
        <f>VLOOKUP(E258,'1.1a-Jaarprijzen'!$B$13:$G$32,6,FALSE)</f>
        <v>2</v>
      </c>
      <c r="E258" s="294" t="s">
        <v>808</v>
      </c>
      <c r="F258" s="295" t="s">
        <v>261</v>
      </c>
      <c r="G258" s="296" t="s">
        <v>829</v>
      </c>
      <c r="H258" s="294" t="s">
        <v>391</v>
      </c>
      <c r="I258" s="297" t="str">
        <f t="shared" si="29"/>
        <v>niet van toepassing</v>
      </c>
      <c r="J258" s="295" t="s">
        <v>465</v>
      </c>
      <c r="K258" s="298"/>
      <c r="L258" s="298">
        <v>45</v>
      </c>
      <c r="M258" s="299" t="s">
        <v>17</v>
      </c>
      <c r="N258" s="300">
        <f t="shared" si="39"/>
        <v>0</v>
      </c>
      <c r="O258" s="484">
        <v>1</v>
      </c>
      <c r="P258" s="484">
        <v>1</v>
      </c>
      <c r="Q258" s="292">
        <f t="shared" si="40"/>
        <v>0</v>
      </c>
      <c r="R258" s="292">
        <f t="shared" si="41"/>
        <v>0</v>
      </c>
      <c r="S258" s="301">
        <f t="shared" si="36"/>
        <v>0</v>
      </c>
      <c r="T258" s="301">
        <f t="shared" si="37"/>
        <v>0</v>
      </c>
      <c r="U258" s="771">
        <f t="shared" si="38"/>
        <v>0</v>
      </c>
      <c r="V258" s="303"/>
      <c r="W258" s="304">
        <f>(Q258+R258)*'1.0-Contractblad'!$L$37</f>
        <v>0</v>
      </c>
      <c r="X258" s="304">
        <f ca="1">VLOOKUP(E258,'1.1a-Jaarprijzen'!$B$35:$Q$57,16,FALSE)*K258</f>
        <v>0</v>
      </c>
      <c r="Z258" s="773">
        <f t="shared" si="42"/>
        <v>0</v>
      </c>
      <c r="AA258" s="492" t="str">
        <f t="shared" si="43"/>
        <v>nvt-0</v>
      </c>
    </row>
    <row r="259" spans="2:27" s="490" customFormat="1" ht="15">
      <c r="B259" s="330"/>
      <c r="C259" s="331"/>
      <c r="D259" s="295">
        <f>VLOOKUP(E259,'1.1a-Jaarprijzen'!$B$13:$G$32,6,FALSE)</f>
        <v>2</v>
      </c>
      <c r="E259" s="294" t="s">
        <v>808</v>
      </c>
      <c r="F259" s="295" t="s">
        <v>261</v>
      </c>
      <c r="G259" s="296" t="s">
        <v>821</v>
      </c>
      <c r="H259" s="294" t="s">
        <v>703</v>
      </c>
      <c r="I259" s="297" t="str">
        <f t="shared" si="29"/>
        <v>leslokaal groep 1 t/m 3</v>
      </c>
      <c r="J259" s="295" t="s">
        <v>465</v>
      </c>
      <c r="K259" s="298">
        <v>48.5</v>
      </c>
      <c r="L259" s="298"/>
      <c r="M259" s="299">
        <v>7200</v>
      </c>
      <c r="N259" s="300">
        <f t="shared" si="39"/>
        <v>200</v>
      </c>
      <c r="O259" s="484">
        <v>1</v>
      </c>
      <c r="P259" s="484">
        <v>1</v>
      </c>
      <c r="Q259" s="292">
        <f t="shared" si="40"/>
        <v>0</v>
      </c>
      <c r="R259" s="292">
        <f t="shared" si="41"/>
        <v>0</v>
      </c>
      <c r="S259" s="301">
        <f t="shared" si="36"/>
        <v>0</v>
      </c>
      <c r="T259" s="301">
        <f t="shared" si="37"/>
        <v>0</v>
      </c>
      <c r="U259" s="771" t="str">
        <f t="shared" si="38"/>
        <v>L</v>
      </c>
      <c r="V259" s="303"/>
      <c r="W259" s="304">
        <f>(Q259+R259)*'1.0-Contractblad'!$L$37</f>
        <v>0</v>
      </c>
      <c r="X259" s="304">
        <f ca="1">VLOOKUP(E259,'1.1a-Jaarprijzen'!$B$35:$Q$57,16,FALSE)*K259</f>
        <v>0</v>
      </c>
      <c r="Z259" s="773">
        <f t="shared" si="42"/>
        <v>9700</v>
      </c>
      <c r="AA259" s="492" t="str">
        <f t="shared" si="43"/>
        <v>7200-200</v>
      </c>
    </row>
    <row r="260" spans="2:27" s="490" customFormat="1" ht="15">
      <c r="B260" s="330"/>
      <c r="C260" s="331"/>
      <c r="D260" s="295">
        <f>VLOOKUP(E260,'1.1a-Jaarprijzen'!$B$13:$G$32,6,FALSE)</f>
        <v>2</v>
      </c>
      <c r="E260" s="294" t="s">
        <v>808</v>
      </c>
      <c r="F260" s="295" t="s">
        <v>261</v>
      </c>
      <c r="G260" s="296" t="s">
        <v>681</v>
      </c>
      <c r="H260" s="294" t="s">
        <v>657</v>
      </c>
      <c r="I260" s="297" t="str">
        <f t="shared" si="29"/>
        <v>niet van toepassing</v>
      </c>
      <c r="J260" s="295" t="s">
        <v>465</v>
      </c>
      <c r="K260" s="298"/>
      <c r="L260" s="298">
        <v>12</v>
      </c>
      <c r="M260" s="299" t="s">
        <v>17</v>
      </c>
      <c r="N260" s="300">
        <f t="shared" si="39"/>
        <v>0</v>
      </c>
      <c r="O260" s="484">
        <v>1</v>
      </c>
      <c r="P260" s="484">
        <v>1</v>
      </c>
      <c r="Q260" s="292">
        <f t="shared" si="40"/>
        <v>0</v>
      </c>
      <c r="R260" s="292">
        <f t="shared" si="41"/>
        <v>0</v>
      </c>
      <c r="S260" s="301">
        <f t="shared" si="36"/>
        <v>0</v>
      </c>
      <c r="T260" s="301">
        <f t="shared" si="37"/>
        <v>0</v>
      </c>
      <c r="U260" s="771">
        <f t="shared" si="38"/>
        <v>0</v>
      </c>
      <c r="V260" s="303"/>
      <c r="W260" s="304">
        <f>(Q260+R260)*'1.0-Contractblad'!$L$37</f>
        <v>0</v>
      </c>
      <c r="X260" s="304">
        <f ca="1">VLOOKUP(E260,'1.1a-Jaarprijzen'!$B$35:$Q$57,16,FALSE)*K260</f>
        <v>0</v>
      </c>
      <c r="Z260" s="773">
        <f t="shared" si="42"/>
        <v>0</v>
      </c>
      <c r="AA260" s="492" t="str">
        <f t="shared" si="43"/>
        <v>nvt-0</v>
      </c>
    </row>
    <row r="261" spans="2:27" s="490" customFormat="1" ht="15">
      <c r="B261" s="330"/>
      <c r="C261" s="331"/>
      <c r="D261" s="295">
        <f>VLOOKUP(E261,'1.1a-Jaarprijzen'!$B$13:$G$32,6,FALSE)</f>
        <v>2</v>
      </c>
      <c r="E261" s="294" t="s">
        <v>808</v>
      </c>
      <c r="F261" s="295" t="s">
        <v>261</v>
      </c>
      <c r="G261" s="296" t="s">
        <v>682</v>
      </c>
      <c r="H261" s="294" t="s">
        <v>658</v>
      </c>
      <c r="I261" s="297" t="str">
        <f t="shared" si="29"/>
        <v>niet van toepassing</v>
      </c>
      <c r="J261" s="295" t="s">
        <v>465</v>
      </c>
      <c r="K261" s="298"/>
      <c r="L261" s="298">
        <v>12</v>
      </c>
      <c r="M261" s="299" t="s">
        <v>17</v>
      </c>
      <c r="N261" s="300">
        <f t="shared" si="39"/>
        <v>0</v>
      </c>
      <c r="O261" s="484">
        <v>1</v>
      </c>
      <c r="P261" s="484">
        <v>1</v>
      </c>
      <c r="Q261" s="292">
        <f t="shared" si="40"/>
        <v>0</v>
      </c>
      <c r="R261" s="292">
        <f t="shared" si="41"/>
        <v>0</v>
      </c>
      <c r="S261" s="301">
        <f t="shared" si="36"/>
        <v>0</v>
      </c>
      <c r="T261" s="301">
        <f t="shared" si="37"/>
        <v>0</v>
      </c>
      <c r="U261" s="771">
        <f t="shared" si="38"/>
        <v>0</v>
      </c>
      <c r="V261" s="303"/>
      <c r="W261" s="304">
        <f>(Q261+R261)*'1.0-Contractblad'!$L$37</f>
        <v>0</v>
      </c>
      <c r="X261" s="304">
        <f ca="1">VLOOKUP(E261,'1.1a-Jaarprijzen'!$B$35:$Q$57,16,FALSE)*K261</f>
        <v>0</v>
      </c>
      <c r="Z261" s="773">
        <f t="shared" si="42"/>
        <v>0</v>
      </c>
      <c r="AA261" s="492" t="str">
        <f t="shared" si="43"/>
        <v>nvt-0</v>
      </c>
    </row>
    <row r="262" spans="2:27" s="490" customFormat="1" ht="15">
      <c r="B262" s="330"/>
      <c r="C262" s="331"/>
      <c r="D262" s="295">
        <f>VLOOKUP(E262,'1.1a-Jaarprijzen'!$B$13:$G$32,6,FALSE)</f>
        <v>2</v>
      </c>
      <c r="E262" s="294" t="s">
        <v>808</v>
      </c>
      <c r="F262" s="295" t="s">
        <v>261</v>
      </c>
      <c r="G262" s="296" t="s">
        <v>683</v>
      </c>
      <c r="H262" s="294" t="s">
        <v>1018</v>
      </c>
      <c r="I262" s="297" t="str">
        <f t="shared" si="29"/>
        <v>administratieve -,  vergaderruimte</v>
      </c>
      <c r="J262" s="295" t="s">
        <v>465</v>
      </c>
      <c r="K262" s="298">
        <v>48.5</v>
      </c>
      <c r="L262" s="298"/>
      <c r="M262" s="299">
        <v>1200</v>
      </c>
      <c r="N262" s="300">
        <f t="shared" si="39"/>
        <v>200</v>
      </c>
      <c r="O262" s="484">
        <v>1</v>
      </c>
      <c r="P262" s="484">
        <v>1</v>
      </c>
      <c r="Q262" s="292">
        <f t="shared" si="40"/>
        <v>0</v>
      </c>
      <c r="R262" s="292">
        <f t="shared" si="41"/>
        <v>0</v>
      </c>
      <c r="S262" s="301">
        <f t="shared" si="36"/>
        <v>0</v>
      </c>
      <c r="T262" s="301">
        <f t="shared" si="37"/>
        <v>0</v>
      </c>
      <c r="U262" s="771" t="str">
        <f t="shared" si="38"/>
        <v>V</v>
      </c>
      <c r="V262" s="303"/>
      <c r="W262" s="304">
        <f>(Q262+R262)*'1.0-Contractblad'!$L$37</f>
        <v>0</v>
      </c>
      <c r="X262" s="304">
        <f ca="1">VLOOKUP(E262,'1.1a-Jaarprijzen'!$B$35:$Q$57,16,FALSE)*K262</f>
        <v>0</v>
      </c>
      <c r="Z262" s="773">
        <f t="shared" si="42"/>
        <v>9700</v>
      </c>
      <c r="AA262" s="492" t="str">
        <f t="shared" si="43"/>
        <v>1200-200</v>
      </c>
    </row>
    <row r="263" spans="2:27" s="490" customFormat="1" ht="15">
      <c r="B263" s="330"/>
      <c r="C263" s="331"/>
      <c r="D263" s="295">
        <f>VLOOKUP(E263,'1.1a-Jaarprijzen'!$B$13:$G$32,6,FALSE)</f>
        <v>2</v>
      </c>
      <c r="E263" s="294" t="s">
        <v>830</v>
      </c>
      <c r="F263" s="295" t="s">
        <v>605</v>
      </c>
      <c r="G263" s="296" t="s">
        <v>831</v>
      </c>
      <c r="H263" s="294" t="s">
        <v>685</v>
      </c>
      <c r="I263" s="297" t="str">
        <f t="shared" si="29"/>
        <v>leslokaal groep 1 t/m 3</v>
      </c>
      <c r="J263" s="295" t="s">
        <v>465</v>
      </c>
      <c r="K263" s="298">
        <v>61.7</v>
      </c>
      <c r="L263" s="298"/>
      <c r="M263" s="299">
        <v>7200</v>
      </c>
      <c r="N263" s="300">
        <f t="shared" si="39"/>
        <v>200</v>
      </c>
      <c r="O263" s="484">
        <v>1</v>
      </c>
      <c r="P263" s="484">
        <v>1</v>
      </c>
      <c r="Q263" s="292">
        <f t="shared" si="40"/>
        <v>0</v>
      </c>
      <c r="R263" s="292">
        <f t="shared" si="41"/>
        <v>0</v>
      </c>
      <c r="S263" s="301">
        <f t="shared" si="36"/>
        <v>0</v>
      </c>
      <c r="T263" s="301">
        <f t="shared" si="37"/>
        <v>0</v>
      </c>
      <c r="U263" s="771" t="str">
        <f t="shared" si="38"/>
        <v>L</v>
      </c>
      <c r="V263" s="303"/>
      <c r="W263" s="304">
        <f>(Q263+R263)*'1.0-Contractblad'!$L$37</f>
        <v>0</v>
      </c>
      <c r="X263" s="304">
        <f ca="1">VLOOKUP(E263,'1.1a-Jaarprijzen'!$B$35:$Q$57,16,FALSE)*K263</f>
        <v>0</v>
      </c>
      <c r="Z263" s="773">
        <f t="shared" si="42"/>
        <v>12340</v>
      </c>
      <c r="AA263" s="492" t="str">
        <f t="shared" si="43"/>
        <v>7200-200</v>
      </c>
    </row>
    <row r="264" spans="2:27" s="490" customFormat="1" ht="15">
      <c r="B264" s="330"/>
      <c r="C264" s="331"/>
      <c r="D264" s="295">
        <f>VLOOKUP(E264,'1.1a-Jaarprijzen'!$B$13:$G$32,6,FALSE)</f>
        <v>2</v>
      </c>
      <c r="E264" s="294" t="s">
        <v>830</v>
      </c>
      <c r="F264" s="295" t="s">
        <v>605</v>
      </c>
      <c r="G264" s="296" t="s">
        <v>832</v>
      </c>
      <c r="H264" s="294" t="s">
        <v>685</v>
      </c>
      <c r="I264" s="297" t="str">
        <f t="shared" si="29"/>
        <v>leslokaal/leerplein groep 4 t/m 8</v>
      </c>
      <c r="J264" s="295" t="s">
        <v>465</v>
      </c>
      <c r="K264" s="298">
        <v>61.7</v>
      </c>
      <c r="L264" s="298"/>
      <c r="M264" s="299">
        <v>18200</v>
      </c>
      <c r="N264" s="300">
        <f t="shared" si="39"/>
        <v>200</v>
      </c>
      <c r="O264" s="484">
        <v>1</v>
      </c>
      <c r="P264" s="484">
        <v>1</v>
      </c>
      <c r="Q264" s="292">
        <f t="shared" si="40"/>
        <v>0</v>
      </c>
      <c r="R264" s="292">
        <f t="shared" si="41"/>
        <v>0</v>
      </c>
      <c r="S264" s="301">
        <f t="shared" si="36"/>
        <v>0</v>
      </c>
      <c r="T264" s="301">
        <f t="shared" si="37"/>
        <v>0</v>
      </c>
      <c r="U264" s="771" t="str">
        <f t="shared" si="38"/>
        <v>L</v>
      </c>
      <c r="V264" s="303"/>
      <c r="W264" s="304">
        <f>(Q264+R264)*'1.0-Contractblad'!$L$37</f>
        <v>0</v>
      </c>
      <c r="X264" s="304">
        <f ca="1">VLOOKUP(E264,'1.1a-Jaarprijzen'!$B$35:$Q$57,16,FALSE)*K264</f>
        <v>0</v>
      </c>
      <c r="Z264" s="773">
        <f t="shared" si="42"/>
        <v>12340</v>
      </c>
      <c r="AA264" s="492" t="str">
        <f t="shared" si="43"/>
        <v>18200-200</v>
      </c>
    </row>
    <row r="265" spans="2:27" s="490" customFormat="1" ht="15">
      <c r="B265" s="330"/>
      <c r="C265" s="331"/>
      <c r="D265" s="295">
        <f>VLOOKUP(E265,'1.1a-Jaarprijzen'!$B$13:$G$32,6,FALSE)</f>
        <v>2</v>
      </c>
      <c r="E265" s="294" t="s">
        <v>830</v>
      </c>
      <c r="F265" s="295" t="s">
        <v>605</v>
      </c>
      <c r="G265" s="296" t="s">
        <v>833</v>
      </c>
      <c r="H265" s="294" t="s">
        <v>685</v>
      </c>
      <c r="I265" s="297" t="str">
        <f t="shared" si="29"/>
        <v>leslokaal/leerplein groep 4 t/m 8</v>
      </c>
      <c r="J265" s="295" t="s">
        <v>465</v>
      </c>
      <c r="K265" s="298">
        <v>73</v>
      </c>
      <c r="L265" s="298"/>
      <c r="M265" s="299">
        <v>18200</v>
      </c>
      <c r="N265" s="300">
        <f t="shared" si="39"/>
        <v>200</v>
      </c>
      <c r="O265" s="484">
        <v>1</v>
      </c>
      <c r="P265" s="484">
        <v>1</v>
      </c>
      <c r="Q265" s="292">
        <f t="shared" si="40"/>
        <v>0</v>
      </c>
      <c r="R265" s="292">
        <f t="shared" si="41"/>
        <v>0</v>
      </c>
      <c r="S265" s="301">
        <f t="shared" si="36"/>
        <v>0</v>
      </c>
      <c r="T265" s="301">
        <f t="shared" si="37"/>
        <v>0</v>
      </c>
      <c r="U265" s="771" t="str">
        <f t="shared" si="38"/>
        <v>L</v>
      </c>
      <c r="V265" s="303"/>
      <c r="W265" s="304">
        <f>(Q265+R265)*'1.0-Contractblad'!$L$37</f>
        <v>0</v>
      </c>
      <c r="X265" s="304">
        <f ca="1">VLOOKUP(E265,'1.1a-Jaarprijzen'!$B$35:$Q$57,16,FALSE)*K265</f>
        <v>0</v>
      </c>
      <c r="Z265" s="773">
        <f t="shared" si="42"/>
        <v>14600</v>
      </c>
      <c r="AA265" s="492" t="str">
        <f t="shared" si="43"/>
        <v>18200-200</v>
      </c>
    </row>
    <row r="266" spans="2:27" s="490" customFormat="1" ht="15">
      <c r="B266" s="330"/>
      <c r="C266" s="331"/>
      <c r="D266" s="295">
        <f>VLOOKUP(E266,'1.1a-Jaarprijzen'!$B$13:$G$32,6,FALSE)</f>
        <v>2</v>
      </c>
      <c r="E266" s="294" t="s">
        <v>830</v>
      </c>
      <c r="F266" s="295" t="s">
        <v>605</v>
      </c>
      <c r="G266" s="296" t="s">
        <v>834</v>
      </c>
      <c r="H266" s="294" t="s">
        <v>394</v>
      </c>
      <c r="I266" s="297" t="str">
        <f t="shared" si="29"/>
        <v>administratieve -,  vergaderruimte</v>
      </c>
      <c r="J266" s="295" t="s">
        <v>465</v>
      </c>
      <c r="K266" s="298">
        <v>24.8</v>
      </c>
      <c r="L266" s="298"/>
      <c r="M266" s="299">
        <v>1040</v>
      </c>
      <c r="N266" s="300">
        <f t="shared" si="39"/>
        <v>40</v>
      </c>
      <c r="O266" s="484">
        <v>1</v>
      </c>
      <c r="P266" s="484">
        <v>1</v>
      </c>
      <c r="Q266" s="292">
        <f t="shared" si="40"/>
        <v>0</v>
      </c>
      <c r="R266" s="292">
        <f t="shared" si="41"/>
        <v>0</v>
      </c>
      <c r="S266" s="301">
        <f t="shared" si="36"/>
        <v>0</v>
      </c>
      <c r="T266" s="301">
        <f t="shared" si="37"/>
        <v>0</v>
      </c>
      <c r="U266" s="771" t="str">
        <f t="shared" si="38"/>
        <v>V</v>
      </c>
      <c r="V266" s="303"/>
      <c r="W266" s="304">
        <f>(Q266+R266)*'1.0-Contractblad'!$L$37</f>
        <v>0</v>
      </c>
      <c r="X266" s="304">
        <f ca="1">VLOOKUP(E266,'1.1a-Jaarprijzen'!$B$35:$Q$57,16,FALSE)*K266</f>
        <v>0</v>
      </c>
      <c r="Z266" s="773">
        <f t="shared" si="42"/>
        <v>992</v>
      </c>
      <c r="AA266" s="492" t="str">
        <f t="shared" si="43"/>
        <v>1040-40</v>
      </c>
    </row>
    <row r="267" spans="2:27" s="490" customFormat="1" ht="15">
      <c r="B267" s="330"/>
      <c r="C267" s="331"/>
      <c r="D267" s="295">
        <f>VLOOKUP(E267,'1.1a-Jaarprijzen'!$B$13:$G$32,6,FALSE)</f>
        <v>2</v>
      </c>
      <c r="E267" s="294" t="s">
        <v>830</v>
      </c>
      <c r="F267" s="295" t="s">
        <v>605</v>
      </c>
      <c r="G267" s="296" t="s">
        <v>835</v>
      </c>
      <c r="H267" s="294" t="s">
        <v>564</v>
      </c>
      <c r="I267" s="297" t="str">
        <f t="shared" si="29"/>
        <v>pantry/keuken</v>
      </c>
      <c r="J267" s="295" t="s">
        <v>705</v>
      </c>
      <c r="K267" s="298">
        <v>5.5</v>
      </c>
      <c r="L267" s="298"/>
      <c r="M267" s="299">
        <v>5200</v>
      </c>
      <c r="N267" s="300">
        <f t="shared" si="39"/>
        <v>200</v>
      </c>
      <c r="O267" s="484">
        <v>1</v>
      </c>
      <c r="P267" s="484">
        <v>1</v>
      </c>
      <c r="Q267" s="292">
        <f t="shared" si="40"/>
        <v>0</v>
      </c>
      <c r="R267" s="292">
        <f t="shared" si="41"/>
        <v>0</v>
      </c>
      <c r="S267" s="301">
        <f t="shared" si="36"/>
        <v>0</v>
      </c>
      <c r="T267" s="301">
        <f t="shared" si="37"/>
        <v>0</v>
      </c>
      <c r="U267" s="771" t="str">
        <f t="shared" si="38"/>
        <v>V</v>
      </c>
      <c r="V267" s="303"/>
      <c r="W267" s="304">
        <f>(Q267+R267)*'1.0-Contractblad'!$L$37</f>
        <v>0</v>
      </c>
      <c r="X267" s="304">
        <f ca="1">VLOOKUP(E267,'1.1a-Jaarprijzen'!$B$35:$Q$57,16,FALSE)*K267</f>
        <v>0</v>
      </c>
      <c r="Z267" s="773">
        <f t="shared" si="42"/>
        <v>1100</v>
      </c>
      <c r="AA267" s="492" t="str">
        <f t="shared" si="43"/>
        <v>5200-200</v>
      </c>
    </row>
    <row r="268" spans="2:27" s="490" customFormat="1" ht="15">
      <c r="B268" s="330"/>
      <c r="C268" s="331"/>
      <c r="D268" s="295">
        <f>VLOOKUP(E268,'1.1a-Jaarprijzen'!$B$13:$G$32,6,FALSE)</f>
        <v>2</v>
      </c>
      <c r="E268" s="294" t="s">
        <v>830</v>
      </c>
      <c r="F268" s="295" t="s">
        <v>605</v>
      </c>
      <c r="G268" s="296" t="s">
        <v>836</v>
      </c>
      <c r="H268" s="294" t="s">
        <v>477</v>
      </c>
      <c r="I268" s="297" t="str">
        <f t="shared" si="29"/>
        <v>sanitaire ruimte (toilet-/doucheruimte)</v>
      </c>
      <c r="J268" s="295" t="s">
        <v>705</v>
      </c>
      <c r="K268" s="298">
        <v>5.5</v>
      </c>
      <c r="L268" s="298"/>
      <c r="M268" s="299">
        <v>4200</v>
      </c>
      <c r="N268" s="300">
        <f t="shared" si="39"/>
        <v>200</v>
      </c>
      <c r="O268" s="484">
        <v>1</v>
      </c>
      <c r="P268" s="484">
        <v>1</v>
      </c>
      <c r="Q268" s="292">
        <f t="shared" si="40"/>
        <v>0</v>
      </c>
      <c r="R268" s="292">
        <f t="shared" si="41"/>
        <v>0</v>
      </c>
      <c r="S268" s="301">
        <f t="shared" si="36"/>
        <v>0</v>
      </c>
      <c r="T268" s="301">
        <f t="shared" si="37"/>
        <v>0</v>
      </c>
      <c r="U268" s="771" t="str">
        <f t="shared" si="38"/>
        <v>S</v>
      </c>
      <c r="V268" s="303"/>
      <c r="W268" s="304">
        <f>(Q268+R268)*'1.0-Contractblad'!$L$37</f>
        <v>0</v>
      </c>
      <c r="X268" s="304">
        <f ca="1">VLOOKUP(E268,'1.1a-Jaarprijzen'!$B$35:$Q$57,16,FALSE)*K268</f>
        <v>0</v>
      </c>
      <c r="Z268" s="773">
        <f t="shared" si="42"/>
        <v>1100</v>
      </c>
      <c r="AA268" s="492" t="str">
        <f t="shared" si="43"/>
        <v>4200-200</v>
      </c>
    </row>
    <row r="269" spans="2:27" s="490" customFormat="1" ht="15">
      <c r="B269" s="330"/>
      <c r="C269" s="331"/>
      <c r="D269" s="295">
        <f>VLOOKUP(E269,'1.1a-Jaarprijzen'!$B$13:$G$32,6,FALSE)</f>
        <v>2</v>
      </c>
      <c r="E269" s="294" t="s">
        <v>830</v>
      </c>
      <c r="F269" s="295" t="s">
        <v>605</v>
      </c>
      <c r="G269" s="296" t="s">
        <v>634</v>
      </c>
      <c r="H269" s="294" t="s">
        <v>393</v>
      </c>
      <c r="I269" s="297" t="str">
        <f t="shared" si="29"/>
        <v>entree, gang, hal, repro</v>
      </c>
      <c r="J269" s="295" t="s">
        <v>698</v>
      </c>
      <c r="K269" s="298">
        <v>8</v>
      </c>
      <c r="L269" s="298"/>
      <c r="M269" s="299">
        <v>3200</v>
      </c>
      <c r="N269" s="300">
        <f t="shared" si="39"/>
        <v>200</v>
      </c>
      <c r="O269" s="484">
        <v>1</v>
      </c>
      <c r="P269" s="484">
        <v>1</v>
      </c>
      <c r="Q269" s="292">
        <f t="shared" si="40"/>
        <v>0</v>
      </c>
      <c r="R269" s="292">
        <f t="shared" si="41"/>
        <v>0</v>
      </c>
      <c r="S269" s="301">
        <f t="shared" si="36"/>
        <v>0</v>
      </c>
      <c r="T269" s="301">
        <f t="shared" si="37"/>
        <v>0</v>
      </c>
      <c r="U269" s="771" t="str">
        <f t="shared" si="38"/>
        <v>V</v>
      </c>
      <c r="V269" s="303"/>
      <c r="W269" s="304">
        <f>(Q269+R269)*'1.0-Contractblad'!$L$37</f>
        <v>0</v>
      </c>
      <c r="X269" s="304">
        <f ca="1">VLOOKUP(E269,'1.1a-Jaarprijzen'!$B$35:$Q$57,16,FALSE)*K269</f>
        <v>0</v>
      </c>
      <c r="Z269" s="773">
        <f t="shared" si="42"/>
        <v>1600</v>
      </c>
      <c r="AA269" s="492" t="str">
        <f t="shared" si="43"/>
        <v>3200-200</v>
      </c>
    </row>
    <row r="270" spans="2:27" s="490" customFormat="1" ht="15">
      <c r="B270" s="330"/>
      <c r="C270" s="331"/>
      <c r="D270" s="295">
        <f>VLOOKUP(E270,'1.1a-Jaarprijzen'!$B$13:$G$32,6,FALSE)</f>
        <v>2</v>
      </c>
      <c r="E270" s="294" t="s">
        <v>830</v>
      </c>
      <c r="F270" s="295" t="s">
        <v>605</v>
      </c>
      <c r="G270" s="296" t="s">
        <v>837</v>
      </c>
      <c r="H270" s="294" t="s">
        <v>477</v>
      </c>
      <c r="I270" s="297" t="str">
        <f t="shared" si="29"/>
        <v>sanitaire ruimte (toilet-/doucheruimte)</v>
      </c>
      <c r="J270" s="295" t="s">
        <v>705</v>
      </c>
      <c r="K270" s="298">
        <v>4.0999999999999996</v>
      </c>
      <c r="L270" s="298"/>
      <c r="M270" s="299">
        <v>4200</v>
      </c>
      <c r="N270" s="300">
        <f t="shared" si="39"/>
        <v>200</v>
      </c>
      <c r="O270" s="484">
        <v>1</v>
      </c>
      <c r="P270" s="484">
        <v>1</v>
      </c>
      <c r="Q270" s="292">
        <f t="shared" si="40"/>
        <v>0</v>
      </c>
      <c r="R270" s="292">
        <f t="shared" si="41"/>
        <v>0</v>
      </c>
      <c r="S270" s="301">
        <f t="shared" si="36"/>
        <v>0</v>
      </c>
      <c r="T270" s="301">
        <f t="shared" si="37"/>
        <v>0</v>
      </c>
      <c r="U270" s="771" t="str">
        <f t="shared" si="38"/>
        <v>S</v>
      </c>
      <c r="V270" s="303"/>
      <c r="W270" s="304">
        <f>(Q270+R270)*'1.0-Contractblad'!$L$37</f>
        <v>0</v>
      </c>
      <c r="X270" s="304">
        <f ca="1">VLOOKUP(E270,'1.1a-Jaarprijzen'!$B$35:$Q$57,16,FALSE)*K270</f>
        <v>0</v>
      </c>
      <c r="Z270" s="773">
        <f t="shared" si="42"/>
        <v>819.99999999999989</v>
      </c>
      <c r="AA270" s="492" t="str">
        <f t="shared" si="43"/>
        <v>4200-200</v>
      </c>
    </row>
    <row r="271" spans="2:27" s="490" customFormat="1" ht="15">
      <c r="B271" s="330"/>
      <c r="C271" s="331"/>
      <c r="D271" s="295">
        <f>VLOOKUP(E271,'1.1a-Jaarprijzen'!$B$13:$G$32,6,FALSE)</f>
        <v>2</v>
      </c>
      <c r="E271" s="294" t="s">
        <v>830</v>
      </c>
      <c r="F271" s="295" t="s">
        <v>605</v>
      </c>
      <c r="G271" s="296" t="s">
        <v>838</v>
      </c>
      <c r="H271" s="294" t="s">
        <v>477</v>
      </c>
      <c r="I271" s="297" t="str">
        <f t="shared" si="29"/>
        <v>sanitaire ruimte (toilet-/doucheruimte)</v>
      </c>
      <c r="J271" s="295" t="s">
        <v>705</v>
      </c>
      <c r="K271" s="298">
        <v>5.5</v>
      </c>
      <c r="L271" s="298"/>
      <c r="M271" s="299">
        <v>4200</v>
      </c>
      <c r="N271" s="300">
        <f t="shared" si="39"/>
        <v>200</v>
      </c>
      <c r="O271" s="484">
        <v>1</v>
      </c>
      <c r="P271" s="484">
        <v>1</v>
      </c>
      <c r="Q271" s="292">
        <f t="shared" si="40"/>
        <v>0</v>
      </c>
      <c r="R271" s="292">
        <f t="shared" si="41"/>
        <v>0</v>
      </c>
      <c r="S271" s="301">
        <f t="shared" si="36"/>
        <v>0</v>
      </c>
      <c r="T271" s="301">
        <f t="shared" si="37"/>
        <v>0</v>
      </c>
      <c r="U271" s="771" t="str">
        <f t="shared" si="38"/>
        <v>S</v>
      </c>
      <c r="V271" s="303"/>
      <c r="W271" s="304">
        <f>(Q271+R271)*'1.0-Contractblad'!$L$37</f>
        <v>0</v>
      </c>
      <c r="X271" s="304">
        <f ca="1">VLOOKUP(E271,'1.1a-Jaarprijzen'!$B$35:$Q$57,16,FALSE)*K271</f>
        <v>0</v>
      </c>
      <c r="Z271" s="773">
        <f t="shared" si="42"/>
        <v>1100</v>
      </c>
      <c r="AA271" s="492" t="str">
        <f t="shared" si="43"/>
        <v>4200-200</v>
      </c>
    </row>
    <row r="272" spans="2:27" s="490" customFormat="1" ht="15">
      <c r="B272" s="330"/>
      <c r="C272" s="331"/>
      <c r="D272" s="295">
        <f>VLOOKUP(E272,'1.1a-Jaarprijzen'!$B$13:$G$32,6,FALSE)</f>
        <v>2</v>
      </c>
      <c r="E272" s="294" t="s">
        <v>830</v>
      </c>
      <c r="F272" s="295" t="s">
        <v>605</v>
      </c>
      <c r="G272" s="296" t="s">
        <v>839</v>
      </c>
      <c r="H272" s="294" t="s">
        <v>393</v>
      </c>
      <c r="I272" s="297" t="str">
        <f t="shared" si="29"/>
        <v>entree, gang, hal, repro</v>
      </c>
      <c r="J272" s="295" t="s">
        <v>698</v>
      </c>
      <c r="K272" s="298">
        <v>4.7</v>
      </c>
      <c r="L272" s="298"/>
      <c r="M272" s="299">
        <v>3200</v>
      </c>
      <c r="N272" s="300">
        <f t="shared" si="39"/>
        <v>200</v>
      </c>
      <c r="O272" s="484">
        <v>1</v>
      </c>
      <c r="P272" s="484">
        <v>1</v>
      </c>
      <c r="Q272" s="292">
        <f t="shared" si="40"/>
        <v>0</v>
      </c>
      <c r="R272" s="292">
        <f t="shared" si="41"/>
        <v>0</v>
      </c>
      <c r="S272" s="301">
        <f t="shared" si="36"/>
        <v>0</v>
      </c>
      <c r="T272" s="301">
        <f t="shared" si="37"/>
        <v>0</v>
      </c>
      <c r="U272" s="771" t="str">
        <f t="shared" si="38"/>
        <v>V</v>
      </c>
      <c r="V272" s="303"/>
      <c r="W272" s="304">
        <f>(Q272+R272)*'1.0-Contractblad'!$L$37</f>
        <v>0</v>
      </c>
      <c r="X272" s="304">
        <f ca="1">VLOOKUP(E272,'1.1a-Jaarprijzen'!$B$35:$Q$57,16,FALSE)*K272</f>
        <v>0</v>
      </c>
      <c r="Z272" s="773">
        <f t="shared" si="42"/>
        <v>940</v>
      </c>
      <c r="AA272" s="492" t="str">
        <f t="shared" si="43"/>
        <v>3200-200</v>
      </c>
    </row>
    <row r="273" spans="2:27" s="490" customFormat="1" ht="15">
      <c r="B273" s="330"/>
      <c r="C273" s="331"/>
      <c r="D273" s="295">
        <f>VLOOKUP(E273,'1.1a-Jaarprijzen'!$B$13:$G$32,6,FALSE)</f>
        <v>2</v>
      </c>
      <c r="E273" s="294" t="s">
        <v>830</v>
      </c>
      <c r="F273" s="295" t="s">
        <v>605</v>
      </c>
      <c r="G273" s="296" t="s">
        <v>840</v>
      </c>
      <c r="H273" s="294" t="s">
        <v>477</v>
      </c>
      <c r="I273" s="297" t="str">
        <f t="shared" si="29"/>
        <v>sanitaire ruimte (toilet-/doucheruimte)</v>
      </c>
      <c r="J273" s="295" t="s">
        <v>705</v>
      </c>
      <c r="K273" s="298">
        <v>5.8</v>
      </c>
      <c r="L273" s="298"/>
      <c r="M273" s="299">
        <v>4200</v>
      </c>
      <c r="N273" s="300">
        <f t="shared" si="39"/>
        <v>200</v>
      </c>
      <c r="O273" s="484">
        <v>1</v>
      </c>
      <c r="P273" s="484">
        <v>1</v>
      </c>
      <c r="Q273" s="292">
        <f t="shared" si="40"/>
        <v>0</v>
      </c>
      <c r="R273" s="292">
        <f t="shared" si="41"/>
        <v>0</v>
      </c>
      <c r="S273" s="301">
        <f t="shared" si="36"/>
        <v>0</v>
      </c>
      <c r="T273" s="301">
        <f t="shared" si="37"/>
        <v>0</v>
      </c>
      <c r="U273" s="771" t="str">
        <f t="shared" si="38"/>
        <v>S</v>
      </c>
      <c r="V273" s="303"/>
      <c r="W273" s="304">
        <f>(Q273+R273)*'1.0-Contractblad'!$L$37</f>
        <v>0</v>
      </c>
      <c r="X273" s="304">
        <f ca="1">VLOOKUP(E273,'1.1a-Jaarprijzen'!$B$35:$Q$57,16,FALSE)*K273</f>
        <v>0</v>
      </c>
      <c r="Z273" s="773">
        <f t="shared" si="42"/>
        <v>1160</v>
      </c>
      <c r="AA273" s="492" t="str">
        <f t="shared" si="43"/>
        <v>4200-200</v>
      </c>
    </row>
    <row r="274" spans="2:27" s="490" customFormat="1" ht="15">
      <c r="B274" s="330"/>
      <c r="C274" s="331"/>
      <c r="D274" s="295">
        <f>VLOOKUP(E274,'1.1a-Jaarprijzen'!$B$13:$G$32,6,FALSE)</f>
        <v>2</v>
      </c>
      <c r="E274" s="294" t="s">
        <v>830</v>
      </c>
      <c r="F274" s="295" t="s">
        <v>605</v>
      </c>
      <c r="G274" s="296" t="s">
        <v>841</v>
      </c>
      <c r="H274" s="294" t="s">
        <v>685</v>
      </c>
      <c r="I274" s="297" t="str">
        <f t="shared" si="29"/>
        <v>leslokaal/leerplein groep 4 t/m 8</v>
      </c>
      <c r="J274" s="295" t="s">
        <v>465</v>
      </c>
      <c r="K274" s="298">
        <v>34.6</v>
      </c>
      <c r="L274" s="298"/>
      <c r="M274" s="299">
        <v>18200</v>
      </c>
      <c r="N274" s="300">
        <f t="shared" si="39"/>
        <v>200</v>
      </c>
      <c r="O274" s="484">
        <v>1</v>
      </c>
      <c r="P274" s="484">
        <v>1</v>
      </c>
      <c r="Q274" s="292">
        <f t="shared" si="40"/>
        <v>0</v>
      </c>
      <c r="R274" s="292">
        <f t="shared" si="41"/>
        <v>0</v>
      </c>
      <c r="S274" s="301">
        <f t="shared" si="36"/>
        <v>0</v>
      </c>
      <c r="T274" s="301">
        <f t="shared" si="37"/>
        <v>0</v>
      </c>
      <c r="U274" s="771" t="str">
        <f t="shared" si="38"/>
        <v>L</v>
      </c>
      <c r="V274" s="303"/>
      <c r="W274" s="304">
        <f>(Q274+R274)*'1.0-Contractblad'!$L$37</f>
        <v>0</v>
      </c>
      <c r="X274" s="304">
        <f ca="1">VLOOKUP(E274,'1.1a-Jaarprijzen'!$B$35:$Q$57,16,FALSE)*K274</f>
        <v>0</v>
      </c>
      <c r="Z274" s="773">
        <f t="shared" si="42"/>
        <v>6920</v>
      </c>
      <c r="AA274" s="492" t="str">
        <f t="shared" si="43"/>
        <v>18200-200</v>
      </c>
    </row>
    <row r="275" spans="2:27" s="490" customFormat="1" ht="15">
      <c r="B275" s="330"/>
      <c r="C275" s="331"/>
      <c r="D275" s="295">
        <f>VLOOKUP(E275,'1.1a-Jaarprijzen'!$B$13:$G$32,6,FALSE)</f>
        <v>2</v>
      </c>
      <c r="E275" s="294" t="s">
        <v>830</v>
      </c>
      <c r="F275" s="295" t="s">
        <v>605</v>
      </c>
      <c r="G275" s="296" t="s">
        <v>842</v>
      </c>
      <c r="H275" s="294" t="s">
        <v>396</v>
      </c>
      <c r="I275" s="297" t="str">
        <f t="shared" si="29"/>
        <v>aula, gemeenschappelijke ruimte, bibliotheek</v>
      </c>
      <c r="J275" s="295" t="s">
        <v>465</v>
      </c>
      <c r="K275" s="298">
        <v>95.2</v>
      </c>
      <c r="L275" s="298"/>
      <c r="M275" s="299">
        <v>2200</v>
      </c>
      <c r="N275" s="300">
        <f t="shared" si="39"/>
        <v>200</v>
      </c>
      <c r="O275" s="484">
        <v>1</v>
      </c>
      <c r="P275" s="484">
        <v>1</v>
      </c>
      <c r="Q275" s="292">
        <f t="shared" si="40"/>
        <v>0</v>
      </c>
      <c r="R275" s="292">
        <f t="shared" si="41"/>
        <v>0</v>
      </c>
      <c r="S275" s="301">
        <f t="shared" si="36"/>
        <v>0</v>
      </c>
      <c r="T275" s="301">
        <f t="shared" si="37"/>
        <v>0</v>
      </c>
      <c r="U275" s="771" t="str">
        <f t="shared" si="38"/>
        <v>V</v>
      </c>
      <c r="V275" s="303"/>
      <c r="W275" s="304">
        <f>(Q275+R275)*'1.0-Contractblad'!$L$37</f>
        <v>0</v>
      </c>
      <c r="X275" s="304">
        <f ca="1">VLOOKUP(E275,'1.1a-Jaarprijzen'!$B$35:$Q$57,16,FALSE)*K275</f>
        <v>0</v>
      </c>
      <c r="Z275" s="773">
        <f t="shared" si="42"/>
        <v>19040</v>
      </c>
      <c r="AA275" s="492" t="str">
        <f t="shared" si="43"/>
        <v>2200-200</v>
      </c>
    </row>
    <row r="276" spans="2:27" s="490" customFormat="1" ht="15">
      <c r="B276" s="330"/>
      <c r="C276" s="331"/>
      <c r="D276" s="295">
        <f>VLOOKUP(E276,'1.1a-Jaarprijzen'!$B$13:$G$32,6,FALSE)</f>
        <v>2</v>
      </c>
      <c r="E276" s="294" t="s">
        <v>859</v>
      </c>
      <c r="F276" s="295" t="s">
        <v>605</v>
      </c>
      <c r="G276" s="296" t="s">
        <v>632</v>
      </c>
      <c r="H276" s="294" t="s">
        <v>685</v>
      </c>
      <c r="I276" s="297" t="str">
        <f t="shared" si="29"/>
        <v>leslokaal/leerplein groep 4 t/m 8</v>
      </c>
      <c r="J276" s="295" t="s">
        <v>696</v>
      </c>
      <c r="K276" s="298">
        <v>56</v>
      </c>
      <c r="L276" s="298"/>
      <c r="M276" s="299">
        <v>18200</v>
      </c>
      <c r="N276" s="300">
        <f t="shared" si="39"/>
        <v>200</v>
      </c>
      <c r="O276" s="484">
        <v>1</v>
      </c>
      <c r="P276" s="484">
        <v>1</v>
      </c>
      <c r="Q276" s="292">
        <f t="shared" si="40"/>
        <v>0</v>
      </c>
      <c r="R276" s="292">
        <f t="shared" si="41"/>
        <v>0</v>
      </c>
      <c r="S276" s="301">
        <f t="shared" si="36"/>
        <v>0</v>
      </c>
      <c r="T276" s="301">
        <f t="shared" si="37"/>
        <v>0</v>
      </c>
      <c r="U276" s="771" t="str">
        <f t="shared" si="38"/>
        <v>L</v>
      </c>
      <c r="V276" s="303"/>
      <c r="W276" s="304">
        <f>(Q276+R276)*'1.0-Contractblad'!$L$37</f>
        <v>0</v>
      </c>
      <c r="X276" s="304">
        <f ca="1">VLOOKUP(E276,'1.1a-Jaarprijzen'!$B$35:$Q$57,16,FALSE)*K276</f>
        <v>0</v>
      </c>
      <c r="Z276" s="773">
        <f t="shared" si="42"/>
        <v>11200</v>
      </c>
      <c r="AA276" s="492" t="str">
        <f t="shared" si="43"/>
        <v>18200-200</v>
      </c>
    </row>
    <row r="277" spans="2:27" s="490" customFormat="1" ht="15">
      <c r="B277" s="330"/>
      <c r="C277" s="331"/>
      <c r="D277" s="295">
        <f>VLOOKUP(E277,'1.1a-Jaarprijzen'!$B$13:$G$32,6,FALSE)</f>
        <v>2</v>
      </c>
      <c r="E277" s="294" t="s">
        <v>859</v>
      </c>
      <c r="F277" s="295" t="s">
        <v>605</v>
      </c>
      <c r="G277" s="296" t="s">
        <v>633</v>
      </c>
      <c r="H277" s="294" t="s">
        <v>685</v>
      </c>
      <c r="I277" s="297" t="str">
        <f t="shared" si="29"/>
        <v>leslokaal/leerplein groep 4 t/m 8</v>
      </c>
      <c r="J277" s="295" t="s">
        <v>696</v>
      </c>
      <c r="K277" s="298">
        <v>56</v>
      </c>
      <c r="L277" s="298"/>
      <c r="M277" s="299">
        <v>18200</v>
      </c>
      <c r="N277" s="300">
        <f t="shared" si="39"/>
        <v>200</v>
      </c>
      <c r="O277" s="484">
        <v>1</v>
      </c>
      <c r="P277" s="484">
        <v>1</v>
      </c>
      <c r="Q277" s="292">
        <f t="shared" si="40"/>
        <v>0</v>
      </c>
      <c r="R277" s="292">
        <f t="shared" si="41"/>
        <v>0</v>
      </c>
      <c r="S277" s="301">
        <f t="shared" si="36"/>
        <v>0</v>
      </c>
      <c r="T277" s="301">
        <f t="shared" si="37"/>
        <v>0</v>
      </c>
      <c r="U277" s="771" t="str">
        <f t="shared" si="38"/>
        <v>L</v>
      </c>
      <c r="V277" s="303"/>
      <c r="W277" s="304">
        <f>(Q277+R277)*'1.0-Contractblad'!$L$37</f>
        <v>0</v>
      </c>
      <c r="X277" s="304">
        <f ca="1">VLOOKUP(E277,'1.1a-Jaarprijzen'!$B$35:$Q$57,16,FALSE)*K277</f>
        <v>0</v>
      </c>
      <c r="Z277" s="773">
        <f t="shared" si="42"/>
        <v>11200</v>
      </c>
      <c r="AA277" s="492" t="str">
        <f t="shared" si="43"/>
        <v>18200-200</v>
      </c>
    </row>
    <row r="278" spans="2:27" s="490" customFormat="1" ht="15">
      <c r="B278" s="330"/>
      <c r="C278" s="331"/>
      <c r="D278" s="295">
        <f>VLOOKUP(E278,'1.1a-Jaarprijzen'!$B$13:$G$32,6,FALSE)</f>
        <v>2</v>
      </c>
      <c r="E278" s="294" t="s">
        <v>859</v>
      </c>
      <c r="F278" s="295" t="s">
        <v>605</v>
      </c>
      <c r="G278" s="296" t="s">
        <v>626</v>
      </c>
      <c r="H278" s="294" t="s">
        <v>685</v>
      </c>
      <c r="I278" s="297" t="str">
        <f t="shared" si="29"/>
        <v>leslokaal groep 1 t/m 3</v>
      </c>
      <c r="J278" s="295" t="s">
        <v>696</v>
      </c>
      <c r="K278" s="298">
        <v>56</v>
      </c>
      <c r="L278" s="298"/>
      <c r="M278" s="299">
        <v>7200</v>
      </c>
      <c r="N278" s="300">
        <f t="shared" si="39"/>
        <v>200</v>
      </c>
      <c r="O278" s="484">
        <v>1</v>
      </c>
      <c r="P278" s="484">
        <v>1</v>
      </c>
      <c r="Q278" s="292">
        <f t="shared" si="40"/>
        <v>0</v>
      </c>
      <c r="R278" s="292">
        <f t="shared" si="41"/>
        <v>0</v>
      </c>
      <c r="S278" s="301">
        <f t="shared" si="36"/>
        <v>0</v>
      </c>
      <c r="T278" s="301">
        <f t="shared" si="37"/>
        <v>0</v>
      </c>
      <c r="U278" s="771" t="str">
        <f t="shared" si="38"/>
        <v>L</v>
      </c>
      <c r="V278" s="303"/>
      <c r="W278" s="304">
        <f>(Q278+R278)*'1.0-Contractblad'!$L$37</f>
        <v>0</v>
      </c>
      <c r="X278" s="304">
        <f ca="1">VLOOKUP(E278,'1.1a-Jaarprijzen'!$B$35:$Q$57,16,FALSE)*K278</f>
        <v>0</v>
      </c>
      <c r="Z278" s="773">
        <f t="shared" si="42"/>
        <v>11200</v>
      </c>
      <c r="AA278" s="492" t="str">
        <f t="shared" si="43"/>
        <v>7200-200</v>
      </c>
    </row>
    <row r="279" spans="2:27" s="490" customFormat="1" ht="15">
      <c r="B279" s="330"/>
      <c r="C279" s="331"/>
      <c r="D279" s="295">
        <f>VLOOKUP(E279,'1.1a-Jaarprijzen'!$B$13:$G$32,6,FALSE)</f>
        <v>2</v>
      </c>
      <c r="E279" s="294" t="s">
        <v>859</v>
      </c>
      <c r="F279" s="295" t="s">
        <v>605</v>
      </c>
      <c r="G279" s="296" t="s">
        <v>627</v>
      </c>
      <c r="H279" s="294" t="s">
        <v>685</v>
      </c>
      <c r="I279" s="297" t="str">
        <f t="shared" si="29"/>
        <v>leslokaal groep 1 t/m 3</v>
      </c>
      <c r="J279" s="295" t="s">
        <v>696</v>
      </c>
      <c r="K279" s="298">
        <v>58</v>
      </c>
      <c r="L279" s="298"/>
      <c r="M279" s="299">
        <v>7200</v>
      </c>
      <c r="N279" s="300">
        <f t="shared" si="39"/>
        <v>200</v>
      </c>
      <c r="O279" s="484">
        <v>1</v>
      </c>
      <c r="P279" s="484">
        <v>1</v>
      </c>
      <c r="Q279" s="292">
        <f t="shared" si="40"/>
        <v>0</v>
      </c>
      <c r="R279" s="292">
        <f t="shared" si="41"/>
        <v>0</v>
      </c>
      <c r="S279" s="301">
        <f t="shared" si="36"/>
        <v>0</v>
      </c>
      <c r="T279" s="301">
        <f t="shared" si="37"/>
        <v>0</v>
      </c>
      <c r="U279" s="771" t="str">
        <f t="shared" si="38"/>
        <v>L</v>
      </c>
      <c r="V279" s="303"/>
      <c r="W279" s="304">
        <f>(Q279+R279)*'1.0-Contractblad'!$L$37</f>
        <v>0</v>
      </c>
      <c r="X279" s="304">
        <f ca="1">VLOOKUP(E279,'1.1a-Jaarprijzen'!$B$35:$Q$57,16,FALSE)*K279</f>
        <v>0</v>
      </c>
      <c r="Z279" s="773">
        <f t="shared" si="42"/>
        <v>11600</v>
      </c>
      <c r="AA279" s="492" t="str">
        <f t="shared" si="43"/>
        <v>7200-200</v>
      </c>
    </row>
    <row r="280" spans="2:27" s="490" customFormat="1" ht="15">
      <c r="B280" s="330"/>
      <c r="C280" s="331"/>
      <c r="D280" s="295">
        <f>VLOOKUP(E280,'1.1a-Jaarprijzen'!$B$13:$G$32,6,FALSE)</f>
        <v>2</v>
      </c>
      <c r="E280" s="294" t="s">
        <v>859</v>
      </c>
      <c r="F280" s="295" t="s">
        <v>605</v>
      </c>
      <c r="G280" s="296" t="s">
        <v>628</v>
      </c>
      <c r="H280" s="294" t="s">
        <v>685</v>
      </c>
      <c r="I280" s="297" t="str">
        <f t="shared" si="29"/>
        <v>leslokaal groep 1 t/m 3</v>
      </c>
      <c r="J280" s="295" t="s">
        <v>696</v>
      </c>
      <c r="K280" s="298">
        <v>55</v>
      </c>
      <c r="L280" s="298"/>
      <c r="M280" s="299">
        <v>7200</v>
      </c>
      <c r="N280" s="300">
        <f t="shared" si="39"/>
        <v>200</v>
      </c>
      <c r="O280" s="484">
        <v>1</v>
      </c>
      <c r="P280" s="484">
        <v>1</v>
      </c>
      <c r="Q280" s="292">
        <f t="shared" si="40"/>
        <v>0</v>
      </c>
      <c r="R280" s="292">
        <f t="shared" si="41"/>
        <v>0</v>
      </c>
      <c r="S280" s="301">
        <f t="shared" si="36"/>
        <v>0</v>
      </c>
      <c r="T280" s="301">
        <f t="shared" si="37"/>
        <v>0</v>
      </c>
      <c r="U280" s="771" t="str">
        <f t="shared" si="38"/>
        <v>L</v>
      </c>
      <c r="V280" s="303"/>
      <c r="W280" s="304">
        <f>(Q280+R280)*'1.0-Contractblad'!$L$37</f>
        <v>0</v>
      </c>
      <c r="X280" s="304">
        <f ca="1">VLOOKUP(E280,'1.1a-Jaarprijzen'!$B$35:$Q$57,16,FALSE)*K280</f>
        <v>0</v>
      </c>
      <c r="Z280" s="773">
        <f t="shared" si="42"/>
        <v>11000</v>
      </c>
      <c r="AA280" s="492" t="str">
        <f t="shared" si="43"/>
        <v>7200-200</v>
      </c>
    </row>
    <row r="281" spans="2:27" s="490" customFormat="1" ht="15">
      <c r="B281" s="330"/>
      <c r="C281" s="331"/>
      <c r="D281" s="295">
        <f>VLOOKUP(E281,'1.1a-Jaarprijzen'!$B$13:$G$32,6,FALSE)</f>
        <v>2</v>
      </c>
      <c r="E281" s="294" t="s">
        <v>859</v>
      </c>
      <c r="F281" s="295" t="s">
        <v>605</v>
      </c>
      <c r="G281" s="296" t="s">
        <v>857</v>
      </c>
      <c r="H281" s="294" t="s">
        <v>685</v>
      </c>
      <c r="I281" s="297" t="str">
        <f t="shared" si="29"/>
        <v>leslokaal/leerplein groep 4 t/m 8</v>
      </c>
      <c r="J281" s="295" t="s">
        <v>696</v>
      </c>
      <c r="K281" s="298">
        <v>55</v>
      </c>
      <c r="L281" s="298"/>
      <c r="M281" s="299">
        <v>18200</v>
      </c>
      <c r="N281" s="300">
        <f t="shared" si="39"/>
        <v>200</v>
      </c>
      <c r="O281" s="484">
        <v>1</v>
      </c>
      <c r="P281" s="484">
        <v>1</v>
      </c>
      <c r="Q281" s="292">
        <f t="shared" si="40"/>
        <v>0</v>
      </c>
      <c r="R281" s="292">
        <f t="shared" si="41"/>
        <v>0</v>
      </c>
      <c r="S281" s="301">
        <f t="shared" si="36"/>
        <v>0</v>
      </c>
      <c r="T281" s="301">
        <f t="shared" si="37"/>
        <v>0</v>
      </c>
      <c r="U281" s="771" t="str">
        <f t="shared" si="38"/>
        <v>L</v>
      </c>
      <c r="V281" s="303"/>
      <c r="W281" s="304">
        <f>(Q281+R281)*'1.0-Contractblad'!$L$37</f>
        <v>0</v>
      </c>
      <c r="X281" s="304">
        <f ca="1">VLOOKUP(E281,'1.1a-Jaarprijzen'!$B$35:$Q$57,16,FALSE)*K281</f>
        <v>0</v>
      </c>
      <c r="Z281" s="773">
        <f t="shared" si="42"/>
        <v>11000</v>
      </c>
      <c r="AA281" s="492" t="str">
        <f t="shared" si="43"/>
        <v>18200-200</v>
      </c>
    </row>
    <row r="282" spans="2:27" s="490" customFormat="1" ht="15">
      <c r="B282" s="330"/>
      <c r="C282" s="331"/>
      <c r="D282" s="295">
        <f>VLOOKUP(E282,'1.1a-Jaarprijzen'!$B$13:$G$32,6,FALSE)</f>
        <v>2</v>
      </c>
      <c r="E282" s="294" t="s">
        <v>859</v>
      </c>
      <c r="F282" s="295" t="s">
        <v>605</v>
      </c>
      <c r="G282" s="296" t="s">
        <v>858</v>
      </c>
      <c r="H282" s="294" t="s">
        <v>685</v>
      </c>
      <c r="I282" s="297" t="str">
        <f t="shared" si="29"/>
        <v>leslokaal/leerplein groep 4 t/m 8</v>
      </c>
      <c r="J282" s="295" t="s">
        <v>696</v>
      </c>
      <c r="K282" s="298">
        <v>55</v>
      </c>
      <c r="L282" s="298"/>
      <c r="M282" s="299">
        <v>18200</v>
      </c>
      <c r="N282" s="300">
        <f t="shared" si="39"/>
        <v>200</v>
      </c>
      <c r="O282" s="484">
        <v>1</v>
      </c>
      <c r="P282" s="484">
        <v>1</v>
      </c>
      <c r="Q282" s="292">
        <f t="shared" si="40"/>
        <v>0</v>
      </c>
      <c r="R282" s="292">
        <f t="shared" si="41"/>
        <v>0</v>
      </c>
      <c r="S282" s="301">
        <f t="shared" si="36"/>
        <v>0</v>
      </c>
      <c r="T282" s="301">
        <f t="shared" si="37"/>
        <v>0</v>
      </c>
      <c r="U282" s="771" t="str">
        <f t="shared" si="38"/>
        <v>L</v>
      </c>
      <c r="V282" s="303"/>
      <c r="W282" s="304">
        <f>(Q282+R282)*'1.0-Contractblad'!$L$37</f>
        <v>0</v>
      </c>
      <c r="X282" s="304">
        <f ca="1">VLOOKUP(E282,'1.1a-Jaarprijzen'!$B$35:$Q$57,16,FALSE)*K282</f>
        <v>0</v>
      </c>
      <c r="Z282" s="773">
        <f t="shared" si="42"/>
        <v>11000</v>
      </c>
      <c r="AA282" s="492" t="str">
        <f t="shared" si="43"/>
        <v>18200-200</v>
      </c>
    </row>
    <row r="283" spans="2:27" s="490" customFormat="1" ht="15">
      <c r="B283" s="330"/>
      <c r="C283" s="331"/>
      <c r="D283" s="295">
        <f>VLOOKUP(E283,'1.1a-Jaarprijzen'!$B$13:$G$32,6,FALSE)</f>
        <v>2</v>
      </c>
      <c r="E283" s="294" t="s">
        <v>859</v>
      </c>
      <c r="F283" s="295" t="s">
        <v>605</v>
      </c>
      <c r="G283" s="296" t="s">
        <v>630</v>
      </c>
      <c r="H283" s="294" t="s">
        <v>685</v>
      </c>
      <c r="I283" s="297" t="str">
        <f t="shared" si="29"/>
        <v>leslokaal/bevo/handvaardigheid</v>
      </c>
      <c r="J283" s="295" t="s">
        <v>696</v>
      </c>
      <c r="K283" s="298">
        <v>55</v>
      </c>
      <c r="L283" s="298"/>
      <c r="M283" s="299">
        <v>7040</v>
      </c>
      <c r="N283" s="300">
        <f t="shared" si="39"/>
        <v>40</v>
      </c>
      <c r="O283" s="484">
        <v>1</v>
      </c>
      <c r="P283" s="484">
        <v>1</v>
      </c>
      <c r="Q283" s="292">
        <f t="shared" si="40"/>
        <v>0</v>
      </c>
      <c r="R283" s="292">
        <f t="shared" si="41"/>
        <v>0</v>
      </c>
      <c r="S283" s="301">
        <f t="shared" si="36"/>
        <v>0</v>
      </c>
      <c r="T283" s="301">
        <f t="shared" si="37"/>
        <v>0</v>
      </c>
      <c r="U283" s="771" t="str">
        <f t="shared" si="38"/>
        <v>L</v>
      </c>
      <c r="V283" s="303"/>
      <c r="W283" s="304">
        <f>(Q283+R283)*'1.0-Contractblad'!$L$37</f>
        <v>0</v>
      </c>
      <c r="X283" s="304">
        <f ca="1">VLOOKUP(E283,'1.1a-Jaarprijzen'!$B$35:$Q$57,16,FALSE)*K283</f>
        <v>0</v>
      </c>
      <c r="Z283" s="773">
        <f t="shared" si="42"/>
        <v>2200</v>
      </c>
      <c r="AA283" s="492" t="str">
        <f t="shared" si="43"/>
        <v>7040-40</v>
      </c>
    </row>
    <row r="284" spans="2:27" s="490" customFormat="1" ht="15">
      <c r="B284" s="330"/>
      <c r="C284" s="331"/>
      <c r="D284" s="295">
        <f>VLOOKUP(E284,'1.1a-Jaarprijzen'!$B$13:$G$32,6,FALSE)</f>
        <v>2</v>
      </c>
      <c r="E284" s="686" t="s">
        <v>859</v>
      </c>
      <c r="F284" s="295" t="s">
        <v>605</v>
      </c>
      <c r="G284" s="296" t="s">
        <v>687</v>
      </c>
      <c r="H284" s="294" t="s">
        <v>685</v>
      </c>
      <c r="I284" s="297" t="str">
        <f t="shared" si="29"/>
        <v>speellokaal</v>
      </c>
      <c r="J284" s="295" t="s">
        <v>696</v>
      </c>
      <c r="K284" s="298">
        <v>58</v>
      </c>
      <c r="L284" s="298"/>
      <c r="M284" s="299">
        <v>8200</v>
      </c>
      <c r="N284" s="300">
        <f t="shared" si="39"/>
        <v>200</v>
      </c>
      <c r="O284" s="484">
        <v>1</v>
      </c>
      <c r="P284" s="484">
        <v>1</v>
      </c>
      <c r="Q284" s="292">
        <f t="shared" si="40"/>
        <v>0</v>
      </c>
      <c r="R284" s="292">
        <f t="shared" si="41"/>
        <v>0</v>
      </c>
      <c r="S284" s="301">
        <f t="shared" si="36"/>
        <v>0</v>
      </c>
      <c r="T284" s="301">
        <f t="shared" si="37"/>
        <v>0</v>
      </c>
      <c r="U284" s="771" t="str">
        <f t="shared" si="38"/>
        <v>L</v>
      </c>
      <c r="V284" s="303" t="s">
        <v>1069</v>
      </c>
      <c r="W284" s="304">
        <f>(Q284+R284)*'1.0-Contractblad'!$L$37</f>
        <v>0</v>
      </c>
      <c r="X284" s="304">
        <f ca="1">VLOOKUP(E284,'1.1a-Jaarprijzen'!$B$35:$Q$57,16,FALSE)*K284</f>
        <v>0</v>
      </c>
      <c r="Z284" s="773">
        <f t="shared" si="42"/>
        <v>11600</v>
      </c>
      <c r="AA284" s="492" t="str">
        <f t="shared" si="43"/>
        <v>8200-200</v>
      </c>
    </row>
    <row r="285" spans="2:27" s="490" customFormat="1" ht="15">
      <c r="B285" s="330"/>
      <c r="C285" s="331"/>
      <c r="D285" s="295">
        <f>VLOOKUP(E285,'1.1a-Jaarprijzen'!$B$13:$G$32,6,FALSE)</f>
        <v>2</v>
      </c>
      <c r="E285" s="686" t="s">
        <v>859</v>
      </c>
      <c r="F285" s="295" t="s">
        <v>605</v>
      </c>
      <c r="G285" s="296" t="s">
        <v>769</v>
      </c>
      <c r="H285" s="294" t="s">
        <v>685</v>
      </c>
      <c r="I285" s="297" t="str">
        <f>IF($M285="",0,VLOOKUP($M285,Kengetal,4,FALSE))</f>
        <v>speellokaal</v>
      </c>
      <c r="J285" s="295" t="s">
        <v>696</v>
      </c>
      <c r="K285" s="298">
        <v>55</v>
      </c>
      <c r="L285" s="298"/>
      <c r="M285" s="299">
        <v>8200</v>
      </c>
      <c r="N285" s="300">
        <f t="shared" si="39"/>
        <v>200</v>
      </c>
      <c r="O285" s="484">
        <v>1</v>
      </c>
      <c r="P285" s="484">
        <v>1</v>
      </c>
      <c r="Q285" s="292">
        <f t="shared" si="40"/>
        <v>0</v>
      </c>
      <c r="R285" s="292">
        <f t="shared" si="41"/>
        <v>0</v>
      </c>
      <c r="S285" s="301">
        <f t="shared" si="36"/>
        <v>0</v>
      </c>
      <c r="T285" s="301">
        <f t="shared" si="37"/>
        <v>0</v>
      </c>
      <c r="U285" s="771" t="str">
        <f t="shared" si="38"/>
        <v>L</v>
      </c>
      <c r="V285" s="303" t="s">
        <v>1069</v>
      </c>
      <c r="W285" s="304">
        <f>(Q285+R285)*'1.0-Contractblad'!$L$37</f>
        <v>0</v>
      </c>
      <c r="X285" s="304">
        <f ca="1">VLOOKUP(E285,'1.1a-Jaarprijzen'!$B$35:$Q$57,16,FALSE)*K285</f>
        <v>0</v>
      </c>
      <c r="Z285" s="773">
        <f t="shared" si="42"/>
        <v>11000</v>
      </c>
      <c r="AA285" s="492" t="str">
        <f t="shared" si="43"/>
        <v>8200-200</v>
      </c>
    </row>
    <row r="286" spans="2:27" s="490" customFormat="1" ht="15">
      <c r="B286" s="330"/>
      <c r="C286" s="331"/>
      <c r="D286" s="295">
        <f>VLOOKUP(E286,'1.1a-Jaarprijzen'!$B$13:$G$32,6,FALSE)</f>
        <v>2</v>
      </c>
      <c r="E286" s="294" t="s">
        <v>859</v>
      </c>
      <c r="F286" s="295" t="s">
        <v>605</v>
      </c>
      <c r="G286" s="296" t="s">
        <v>846</v>
      </c>
      <c r="H286" s="294" t="s">
        <v>860</v>
      </c>
      <c r="I286" s="297" t="str">
        <f>IF($M286="",0,VLOOKUP($M286,Kengetal,4,FALSE))</f>
        <v>aula, gemeenschappelijke ruimte, bibliotheek</v>
      </c>
      <c r="J286" s="295" t="s">
        <v>696</v>
      </c>
      <c r="K286" s="298">
        <v>27</v>
      </c>
      <c r="L286" s="298"/>
      <c r="M286" s="299">
        <v>2200</v>
      </c>
      <c r="N286" s="300">
        <f t="shared" si="39"/>
        <v>200</v>
      </c>
      <c r="O286" s="484">
        <v>1</v>
      </c>
      <c r="P286" s="484">
        <v>1</v>
      </c>
      <c r="Q286" s="292">
        <f t="shared" si="40"/>
        <v>0</v>
      </c>
      <c r="R286" s="292">
        <f t="shared" si="41"/>
        <v>0</v>
      </c>
      <c r="S286" s="301">
        <f t="shared" si="36"/>
        <v>0</v>
      </c>
      <c r="T286" s="301">
        <f t="shared" si="37"/>
        <v>0</v>
      </c>
      <c r="U286" s="771" t="str">
        <f t="shared" si="38"/>
        <v>V</v>
      </c>
      <c r="V286" s="303"/>
      <c r="W286" s="304">
        <f>(Q286+R286)*'1.0-Contractblad'!$L$37</f>
        <v>0</v>
      </c>
      <c r="X286" s="304">
        <f ca="1">VLOOKUP(E286,'1.1a-Jaarprijzen'!$B$35:$Q$57,16,FALSE)*K286</f>
        <v>0</v>
      </c>
      <c r="Z286" s="773">
        <f t="shared" si="42"/>
        <v>5400</v>
      </c>
      <c r="AA286" s="492" t="str">
        <f t="shared" si="43"/>
        <v>2200-200</v>
      </c>
    </row>
    <row r="287" spans="2:27" s="490" customFormat="1" ht="15">
      <c r="B287" s="330"/>
      <c r="C287" s="331"/>
      <c r="D287" s="295">
        <f>VLOOKUP(E287,'1.1a-Jaarprijzen'!$B$13:$G$32,6,FALSE)</f>
        <v>2</v>
      </c>
      <c r="E287" s="294" t="s">
        <v>859</v>
      </c>
      <c r="F287" s="295" t="s">
        <v>605</v>
      </c>
      <c r="G287" s="296" t="s">
        <v>847</v>
      </c>
      <c r="H287" s="294" t="s">
        <v>765</v>
      </c>
      <c r="I287" s="297" t="str">
        <f>IF($M287="",0,VLOOKUP($M287,Kengetal,4,FALSE))</f>
        <v>speellokaal</v>
      </c>
      <c r="J287" s="295" t="s">
        <v>462</v>
      </c>
      <c r="K287" s="298">
        <v>88</v>
      </c>
      <c r="L287" s="298"/>
      <c r="M287" s="299">
        <v>8200</v>
      </c>
      <c r="N287" s="300">
        <f t="shared" si="39"/>
        <v>200</v>
      </c>
      <c r="O287" s="484">
        <v>1</v>
      </c>
      <c r="P287" s="484">
        <v>1</v>
      </c>
      <c r="Q287" s="292">
        <f t="shared" si="40"/>
        <v>0</v>
      </c>
      <c r="R287" s="292">
        <f t="shared" si="41"/>
        <v>0</v>
      </c>
      <c r="S287" s="301">
        <f t="shared" si="36"/>
        <v>0</v>
      </c>
      <c r="T287" s="301">
        <f t="shared" si="37"/>
        <v>0</v>
      </c>
      <c r="U287" s="771" t="str">
        <f t="shared" si="38"/>
        <v>L</v>
      </c>
      <c r="V287" s="303"/>
      <c r="W287" s="304">
        <f>(Q287+R287)*'1.0-Contractblad'!$L$37</f>
        <v>0</v>
      </c>
      <c r="X287" s="304">
        <f ca="1">VLOOKUP(E287,'1.1a-Jaarprijzen'!$B$35:$Q$57,16,FALSE)*K287</f>
        <v>0</v>
      </c>
      <c r="Z287" s="773">
        <f t="shared" si="42"/>
        <v>17600</v>
      </c>
      <c r="AA287" s="492" t="str">
        <f t="shared" si="43"/>
        <v>8200-200</v>
      </c>
    </row>
    <row r="288" spans="2:27" s="490" customFormat="1" ht="15">
      <c r="B288" s="330"/>
      <c r="C288" s="331"/>
      <c r="D288" s="295">
        <f>VLOOKUP(E288,'1.1a-Jaarprijzen'!$B$13:$G$32,6,FALSE)</f>
        <v>2</v>
      </c>
      <c r="E288" s="294" t="s">
        <v>859</v>
      </c>
      <c r="F288" s="295" t="s">
        <v>605</v>
      </c>
      <c r="G288" s="296" t="s">
        <v>861</v>
      </c>
      <c r="H288" s="294" t="s">
        <v>1049</v>
      </c>
      <c r="I288" s="297" t="str">
        <f>IF($M288="",0,VLOOKUP($M288,Kengetal,4,FALSE))</f>
        <v>aula, gemeenschappelijke ruimte, bibliotheek</v>
      </c>
      <c r="J288" s="295" t="s">
        <v>696</v>
      </c>
      <c r="K288" s="298">
        <v>144</v>
      </c>
      <c r="L288" s="298"/>
      <c r="M288" s="299">
        <v>2200</v>
      </c>
      <c r="N288" s="300">
        <f t="shared" si="39"/>
        <v>200</v>
      </c>
      <c r="O288" s="484">
        <v>1</v>
      </c>
      <c r="P288" s="484">
        <v>1</v>
      </c>
      <c r="Q288" s="292">
        <f t="shared" si="40"/>
        <v>0</v>
      </c>
      <c r="R288" s="292">
        <f t="shared" si="41"/>
        <v>0</v>
      </c>
      <c r="S288" s="301">
        <f t="shared" si="36"/>
        <v>0</v>
      </c>
      <c r="T288" s="301">
        <f t="shared" si="37"/>
        <v>0</v>
      </c>
      <c r="U288" s="771" t="str">
        <f t="shared" si="38"/>
        <v>V</v>
      </c>
      <c r="V288" s="303"/>
      <c r="W288" s="304">
        <f>(Q288+R288)*'1.0-Contractblad'!$L$37</f>
        <v>0</v>
      </c>
      <c r="X288" s="304">
        <f ca="1">VLOOKUP(E288,'1.1a-Jaarprijzen'!$B$35:$Q$57,16,FALSE)*K288</f>
        <v>0</v>
      </c>
      <c r="Z288" s="773">
        <f t="shared" si="42"/>
        <v>28800</v>
      </c>
      <c r="AA288" s="492" t="str">
        <f t="shared" si="43"/>
        <v>2200-200</v>
      </c>
    </row>
    <row r="289" spans="2:27" s="490" customFormat="1" ht="15">
      <c r="B289" s="330"/>
      <c r="C289" s="331"/>
      <c r="D289" s="295">
        <f>VLOOKUP(E289,'1.1a-Jaarprijzen'!$B$13:$G$32,6,FALSE)</f>
        <v>2</v>
      </c>
      <c r="E289" s="294" t="s">
        <v>859</v>
      </c>
      <c r="F289" s="295" t="s">
        <v>605</v>
      </c>
      <c r="G289" s="296" t="s">
        <v>862</v>
      </c>
      <c r="H289" s="294" t="s">
        <v>1018</v>
      </c>
      <c r="I289" s="297" t="str">
        <f t="shared" ref="I289:I328" si="44">IF($M289="",0,VLOOKUP($M289,Kengetal,4,FALSE))</f>
        <v>administratieve -,  vergaderruimte</v>
      </c>
      <c r="J289" s="295" t="s">
        <v>696</v>
      </c>
      <c r="K289" s="298">
        <v>42</v>
      </c>
      <c r="L289" s="298"/>
      <c r="M289" s="299">
        <v>1040</v>
      </c>
      <c r="N289" s="300">
        <f t="shared" si="39"/>
        <v>40</v>
      </c>
      <c r="O289" s="484">
        <v>1</v>
      </c>
      <c r="P289" s="484">
        <v>1</v>
      </c>
      <c r="Q289" s="292">
        <f t="shared" si="40"/>
        <v>0</v>
      </c>
      <c r="R289" s="292">
        <f t="shared" si="41"/>
        <v>0</v>
      </c>
      <c r="S289" s="301">
        <f t="shared" si="36"/>
        <v>0</v>
      </c>
      <c r="T289" s="301">
        <f t="shared" si="37"/>
        <v>0</v>
      </c>
      <c r="U289" s="771" t="str">
        <f t="shared" si="38"/>
        <v>V</v>
      </c>
      <c r="V289" s="303"/>
      <c r="W289" s="304">
        <f>(Q289+R289)*'1.0-Contractblad'!$L$37</f>
        <v>0</v>
      </c>
      <c r="X289" s="304">
        <f ca="1">VLOOKUP(E289,'1.1a-Jaarprijzen'!$B$35:$Q$57,16,FALSE)*K289</f>
        <v>0</v>
      </c>
      <c r="Z289" s="773">
        <f t="shared" si="42"/>
        <v>1680</v>
      </c>
      <c r="AA289" s="492" t="str">
        <f t="shared" si="43"/>
        <v>1040-40</v>
      </c>
    </row>
    <row r="290" spans="2:27" s="490" customFormat="1" ht="15">
      <c r="B290" s="330"/>
      <c r="C290" s="331"/>
      <c r="D290" s="295">
        <f>VLOOKUP(E290,'1.1a-Jaarprijzen'!$B$13:$G$32,6,FALSE)</f>
        <v>2</v>
      </c>
      <c r="E290" s="294" t="s">
        <v>859</v>
      </c>
      <c r="F290" s="295" t="s">
        <v>605</v>
      </c>
      <c r="G290" s="296" t="s">
        <v>848</v>
      </c>
      <c r="H290" s="294" t="s">
        <v>395</v>
      </c>
      <c r="I290" s="297" t="str">
        <f t="shared" si="44"/>
        <v>pantry/keuken</v>
      </c>
      <c r="J290" s="295" t="s">
        <v>696</v>
      </c>
      <c r="K290" s="298">
        <v>30</v>
      </c>
      <c r="L290" s="298"/>
      <c r="M290" s="299">
        <v>5040</v>
      </c>
      <c r="N290" s="300">
        <f t="shared" si="39"/>
        <v>40</v>
      </c>
      <c r="O290" s="484">
        <v>1</v>
      </c>
      <c r="P290" s="484">
        <v>1</v>
      </c>
      <c r="Q290" s="292">
        <f t="shared" si="40"/>
        <v>0</v>
      </c>
      <c r="R290" s="292">
        <f t="shared" si="41"/>
        <v>0</v>
      </c>
      <c r="S290" s="301">
        <f t="shared" si="36"/>
        <v>0</v>
      </c>
      <c r="T290" s="301">
        <f t="shared" si="37"/>
        <v>0</v>
      </c>
      <c r="U290" s="771" t="str">
        <f t="shared" si="38"/>
        <v>V</v>
      </c>
      <c r="V290" s="303" t="s">
        <v>1065</v>
      </c>
      <c r="W290" s="304">
        <f>(Q290+R290)*'1.0-Contractblad'!$L$37</f>
        <v>0</v>
      </c>
      <c r="X290" s="304">
        <f ca="1">VLOOKUP(E290,'1.1a-Jaarprijzen'!$B$35:$Q$57,16,FALSE)*K290</f>
        <v>0</v>
      </c>
      <c r="Z290" s="773">
        <f t="shared" si="42"/>
        <v>1200</v>
      </c>
      <c r="AA290" s="492" t="str">
        <f t="shared" si="43"/>
        <v>5040-40</v>
      </c>
    </row>
    <row r="291" spans="2:27" s="490" customFormat="1" ht="15">
      <c r="B291" s="330"/>
      <c r="C291" s="331"/>
      <c r="D291" s="295">
        <f>VLOOKUP(E291,'1.1a-Jaarprijzen'!$B$13:$G$32,6,FALSE)</f>
        <v>2</v>
      </c>
      <c r="E291" s="294" t="s">
        <v>859</v>
      </c>
      <c r="F291" s="295" t="s">
        <v>605</v>
      </c>
      <c r="G291" s="296" t="s">
        <v>849</v>
      </c>
      <c r="H291" s="294" t="s">
        <v>393</v>
      </c>
      <c r="I291" s="297" t="str">
        <f t="shared" si="44"/>
        <v>entree, gang, hal, repro</v>
      </c>
      <c r="J291" s="295" t="s">
        <v>698</v>
      </c>
      <c r="K291" s="298">
        <v>15</v>
      </c>
      <c r="L291" s="298"/>
      <c r="M291" s="299">
        <v>3200</v>
      </c>
      <c r="N291" s="300">
        <f t="shared" si="39"/>
        <v>200</v>
      </c>
      <c r="O291" s="484">
        <v>1</v>
      </c>
      <c r="P291" s="484">
        <v>1</v>
      </c>
      <c r="Q291" s="292">
        <f t="shared" si="40"/>
        <v>0</v>
      </c>
      <c r="R291" s="292">
        <f t="shared" si="41"/>
        <v>0</v>
      </c>
      <c r="S291" s="301">
        <f t="shared" si="36"/>
        <v>0</v>
      </c>
      <c r="T291" s="301">
        <f t="shared" si="37"/>
        <v>0</v>
      </c>
      <c r="U291" s="771" t="str">
        <f t="shared" si="38"/>
        <v>V</v>
      </c>
      <c r="V291" s="303"/>
      <c r="W291" s="304">
        <f>(Q291+R291)*'1.0-Contractblad'!$L$37</f>
        <v>0</v>
      </c>
      <c r="X291" s="304">
        <f ca="1">VLOOKUP(E291,'1.1a-Jaarprijzen'!$B$35:$Q$57,16,FALSE)*K291</f>
        <v>0</v>
      </c>
      <c r="Z291" s="773">
        <f t="shared" si="42"/>
        <v>3000</v>
      </c>
      <c r="AA291" s="492" t="str">
        <f t="shared" si="43"/>
        <v>3200-200</v>
      </c>
    </row>
    <row r="292" spans="2:27" s="490" customFormat="1" ht="15">
      <c r="B292" s="330"/>
      <c r="C292" s="331"/>
      <c r="D292" s="295">
        <f>VLOOKUP(E292,'1.1a-Jaarprijzen'!$B$13:$G$32,6,FALSE)</f>
        <v>2</v>
      </c>
      <c r="E292" s="294" t="s">
        <v>859</v>
      </c>
      <c r="F292" s="295" t="s">
        <v>605</v>
      </c>
      <c r="G292" s="296" t="s">
        <v>850</v>
      </c>
      <c r="H292" s="294" t="s">
        <v>1050</v>
      </c>
      <c r="I292" s="297" t="str">
        <f t="shared" si="44"/>
        <v>entree, gang, hal, repro</v>
      </c>
      <c r="J292" s="295" t="s">
        <v>698</v>
      </c>
      <c r="K292" s="298">
        <v>15</v>
      </c>
      <c r="L292" s="298"/>
      <c r="M292" s="299">
        <v>3200</v>
      </c>
      <c r="N292" s="300">
        <f t="shared" si="39"/>
        <v>200</v>
      </c>
      <c r="O292" s="484">
        <v>1</v>
      </c>
      <c r="P292" s="484">
        <v>1</v>
      </c>
      <c r="Q292" s="292">
        <f t="shared" si="40"/>
        <v>0</v>
      </c>
      <c r="R292" s="292">
        <f t="shared" si="41"/>
        <v>0</v>
      </c>
      <c r="S292" s="301">
        <f t="shared" si="36"/>
        <v>0</v>
      </c>
      <c r="T292" s="301">
        <f t="shared" si="37"/>
        <v>0</v>
      </c>
      <c r="U292" s="771" t="str">
        <f t="shared" si="38"/>
        <v>V</v>
      </c>
      <c r="V292" s="303"/>
      <c r="W292" s="304">
        <f>(Q292+R292)*'1.0-Contractblad'!$L$37</f>
        <v>0</v>
      </c>
      <c r="X292" s="304">
        <f ca="1">VLOOKUP(E292,'1.1a-Jaarprijzen'!$B$35:$Q$57,16,FALSE)*K292</f>
        <v>0</v>
      </c>
      <c r="Z292" s="773">
        <f t="shared" si="42"/>
        <v>3000</v>
      </c>
      <c r="AA292" s="492" t="str">
        <f t="shared" si="43"/>
        <v>3200-200</v>
      </c>
    </row>
    <row r="293" spans="2:27" s="490" customFormat="1" ht="15">
      <c r="B293" s="330"/>
      <c r="C293" s="331"/>
      <c r="D293" s="295">
        <f>VLOOKUP(E293,'1.1a-Jaarprijzen'!$B$13:$G$32,6,FALSE)</f>
        <v>2</v>
      </c>
      <c r="E293" s="294" t="s">
        <v>859</v>
      </c>
      <c r="F293" s="295" t="s">
        <v>605</v>
      </c>
      <c r="G293" s="296" t="s">
        <v>851</v>
      </c>
      <c r="H293" s="294" t="s">
        <v>387</v>
      </c>
      <c r="I293" s="297" t="str">
        <f t="shared" si="44"/>
        <v>entree, gang, hal, repro</v>
      </c>
      <c r="J293" s="295" t="s">
        <v>696</v>
      </c>
      <c r="K293" s="298">
        <v>88</v>
      </c>
      <c r="L293" s="298"/>
      <c r="M293" s="299">
        <v>3200</v>
      </c>
      <c r="N293" s="300">
        <f t="shared" si="39"/>
        <v>200</v>
      </c>
      <c r="O293" s="484">
        <v>1</v>
      </c>
      <c r="P293" s="484">
        <v>1</v>
      </c>
      <c r="Q293" s="292">
        <f t="shared" si="40"/>
        <v>0</v>
      </c>
      <c r="R293" s="292">
        <f t="shared" si="41"/>
        <v>0</v>
      </c>
      <c r="S293" s="301">
        <f t="shared" ref="S293:S356" si="45">IF($M293=0,0,VLOOKUP($M293,Kengetal,6,FALSE))</f>
        <v>0</v>
      </c>
      <c r="T293" s="301">
        <f t="shared" ref="T293:T356" si="46">IF($M293=0,0,VLOOKUP($M293,Kengetal,7,FALSE))</f>
        <v>0</v>
      </c>
      <c r="U293" s="771" t="str">
        <f t="shared" si="38"/>
        <v>V</v>
      </c>
      <c r="V293" s="303"/>
      <c r="W293" s="304">
        <f>(Q293+R293)*'1.0-Contractblad'!$L$37</f>
        <v>0</v>
      </c>
      <c r="X293" s="304">
        <f ca="1">VLOOKUP(E293,'1.1a-Jaarprijzen'!$B$35:$Q$57,16,FALSE)*K293</f>
        <v>0</v>
      </c>
      <c r="Z293" s="773">
        <f t="shared" si="42"/>
        <v>17600</v>
      </c>
      <c r="AA293" s="492" t="str">
        <f t="shared" si="43"/>
        <v>3200-200</v>
      </c>
    </row>
    <row r="294" spans="2:27" s="490" customFormat="1" ht="15">
      <c r="B294" s="330"/>
      <c r="C294" s="331"/>
      <c r="D294" s="295">
        <f>VLOOKUP(E294,'1.1a-Jaarprijzen'!$B$13:$G$32,6,FALSE)</f>
        <v>2</v>
      </c>
      <c r="E294" s="294" t="s">
        <v>859</v>
      </c>
      <c r="F294" s="295" t="s">
        <v>605</v>
      </c>
      <c r="G294" s="296" t="s">
        <v>631</v>
      </c>
      <c r="H294" s="294" t="s">
        <v>387</v>
      </c>
      <c r="I294" s="297" t="str">
        <f t="shared" si="44"/>
        <v>entree, gang, hal, repro</v>
      </c>
      <c r="J294" s="295" t="s">
        <v>696</v>
      </c>
      <c r="K294" s="298">
        <v>13</v>
      </c>
      <c r="L294" s="298"/>
      <c r="M294" s="299">
        <v>3200</v>
      </c>
      <c r="N294" s="300">
        <f t="shared" si="39"/>
        <v>200</v>
      </c>
      <c r="O294" s="484">
        <v>1</v>
      </c>
      <c r="P294" s="484">
        <v>1</v>
      </c>
      <c r="Q294" s="292">
        <f t="shared" si="40"/>
        <v>0</v>
      </c>
      <c r="R294" s="292">
        <f t="shared" si="41"/>
        <v>0</v>
      </c>
      <c r="S294" s="301">
        <f t="shared" si="45"/>
        <v>0</v>
      </c>
      <c r="T294" s="301">
        <f t="shared" si="46"/>
        <v>0</v>
      </c>
      <c r="U294" s="771" t="str">
        <f t="shared" si="38"/>
        <v>V</v>
      </c>
      <c r="V294" s="303"/>
      <c r="W294" s="304">
        <f>(Q294+R294)*'1.0-Contractblad'!$L$37</f>
        <v>0</v>
      </c>
      <c r="X294" s="304">
        <f ca="1">VLOOKUP(E294,'1.1a-Jaarprijzen'!$B$35:$Q$57,16,FALSE)*K294</f>
        <v>0</v>
      </c>
      <c r="Z294" s="773">
        <f t="shared" si="42"/>
        <v>2600</v>
      </c>
      <c r="AA294" s="492" t="str">
        <f t="shared" si="43"/>
        <v>3200-200</v>
      </c>
    </row>
    <row r="295" spans="2:27" s="490" customFormat="1" ht="15">
      <c r="B295" s="330"/>
      <c r="C295" s="331"/>
      <c r="D295" s="295">
        <f>VLOOKUP(E295,'1.1a-Jaarprijzen'!$B$13:$G$32,6,FALSE)</f>
        <v>2</v>
      </c>
      <c r="E295" s="294" t="s">
        <v>859</v>
      </c>
      <c r="F295" s="295" t="s">
        <v>605</v>
      </c>
      <c r="G295" s="296" t="s">
        <v>852</v>
      </c>
      <c r="H295" s="294" t="s">
        <v>387</v>
      </c>
      <c r="I295" s="297" t="str">
        <f t="shared" si="44"/>
        <v>entree, gang, hal, repro</v>
      </c>
      <c r="J295" s="295" t="s">
        <v>696</v>
      </c>
      <c r="K295" s="298">
        <v>45</v>
      </c>
      <c r="L295" s="298"/>
      <c r="M295" s="299">
        <v>3200</v>
      </c>
      <c r="N295" s="300">
        <f t="shared" si="39"/>
        <v>200</v>
      </c>
      <c r="O295" s="484">
        <v>1</v>
      </c>
      <c r="P295" s="484">
        <v>1</v>
      </c>
      <c r="Q295" s="292">
        <f t="shared" si="40"/>
        <v>0</v>
      </c>
      <c r="R295" s="292">
        <f t="shared" si="41"/>
        <v>0</v>
      </c>
      <c r="S295" s="301">
        <f t="shared" si="45"/>
        <v>0</v>
      </c>
      <c r="T295" s="301">
        <f t="shared" si="46"/>
        <v>0</v>
      </c>
      <c r="U295" s="771" t="str">
        <f t="shared" si="38"/>
        <v>V</v>
      </c>
      <c r="V295" s="303"/>
      <c r="W295" s="304">
        <f>(Q295+R295)*'1.0-Contractblad'!$L$37</f>
        <v>0</v>
      </c>
      <c r="X295" s="304">
        <f ca="1">VLOOKUP(E295,'1.1a-Jaarprijzen'!$B$35:$Q$57,16,FALSE)*K295</f>
        <v>0</v>
      </c>
      <c r="Z295" s="773">
        <f t="shared" si="42"/>
        <v>9000</v>
      </c>
      <c r="AA295" s="492" t="str">
        <f t="shared" si="43"/>
        <v>3200-200</v>
      </c>
    </row>
    <row r="296" spans="2:27" s="490" customFormat="1" ht="15">
      <c r="B296" s="330"/>
      <c r="C296" s="331"/>
      <c r="D296" s="295">
        <f>VLOOKUP(E296,'1.1a-Jaarprijzen'!$B$13:$G$32,6,FALSE)</f>
        <v>2</v>
      </c>
      <c r="E296" s="294" t="s">
        <v>859</v>
      </c>
      <c r="F296" s="295" t="s">
        <v>605</v>
      </c>
      <c r="G296" s="296" t="s">
        <v>853</v>
      </c>
      <c r="H296" s="294" t="s">
        <v>387</v>
      </c>
      <c r="I296" s="297" t="str">
        <f t="shared" si="44"/>
        <v>entree, gang, hal, repro</v>
      </c>
      <c r="J296" s="295" t="s">
        <v>696</v>
      </c>
      <c r="K296" s="298">
        <v>27</v>
      </c>
      <c r="L296" s="298"/>
      <c r="M296" s="299">
        <v>3200</v>
      </c>
      <c r="N296" s="300">
        <f t="shared" si="39"/>
        <v>200</v>
      </c>
      <c r="O296" s="484">
        <v>1</v>
      </c>
      <c r="P296" s="484">
        <v>1</v>
      </c>
      <c r="Q296" s="292">
        <f t="shared" si="40"/>
        <v>0</v>
      </c>
      <c r="R296" s="292">
        <f t="shared" si="41"/>
        <v>0</v>
      </c>
      <c r="S296" s="301">
        <f t="shared" si="45"/>
        <v>0</v>
      </c>
      <c r="T296" s="301">
        <f t="shared" si="46"/>
        <v>0</v>
      </c>
      <c r="U296" s="771" t="str">
        <f t="shared" si="38"/>
        <v>V</v>
      </c>
      <c r="V296" s="303"/>
      <c r="W296" s="304">
        <f>(Q296+R296)*'1.0-Contractblad'!$L$37</f>
        <v>0</v>
      </c>
      <c r="X296" s="304">
        <f ca="1">VLOOKUP(E296,'1.1a-Jaarprijzen'!$B$35:$Q$57,16,FALSE)*K296</f>
        <v>0</v>
      </c>
      <c r="Z296" s="773">
        <f t="shared" si="42"/>
        <v>5400</v>
      </c>
      <c r="AA296" s="492" t="str">
        <f t="shared" si="43"/>
        <v>3200-200</v>
      </c>
    </row>
    <row r="297" spans="2:27" s="490" customFormat="1" ht="15">
      <c r="B297" s="330"/>
      <c r="C297" s="331"/>
      <c r="D297" s="295">
        <f>VLOOKUP(E297,'1.1a-Jaarprijzen'!$B$13:$G$32,6,FALSE)</f>
        <v>2</v>
      </c>
      <c r="E297" s="294" t="s">
        <v>859</v>
      </c>
      <c r="F297" s="295" t="s">
        <v>605</v>
      </c>
      <c r="G297" s="296" t="s">
        <v>843</v>
      </c>
      <c r="H297" s="294" t="s">
        <v>1051</v>
      </c>
      <c r="I297" s="297" t="str">
        <f t="shared" si="44"/>
        <v>administratieve -,  vergaderruimte</v>
      </c>
      <c r="J297" s="295" t="s">
        <v>461</v>
      </c>
      <c r="K297" s="298">
        <v>15</v>
      </c>
      <c r="L297" s="298"/>
      <c r="M297" s="299">
        <v>1040</v>
      </c>
      <c r="N297" s="300">
        <f t="shared" si="39"/>
        <v>40</v>
      </c>
      <c r="O297" s="484">
        <v>1</v>
      </c>
      <c r="P297" s="484">
        <v>1</v>
      </c>
      <c r="Q297" s="292">
        <f t="shared" si="40"/>
        <v>0</v>
      </c>
      <c r="R297" s="292">
        <f t="shared" si="41"/>
        <v>0</v>
      </c>
      <c r="S297" s="301">
        <f t="shared" si="45"/>
        <v>0</v>
      </c>
      <c r="T297" s="301">
        <f t="shared" si="46"/>
        <v>0</v>
      </c>
      <c r="U297" s="771" t="str">
        <f t="shared" si="38"/>
        <v>V</v>
      </c>
      <c r="V297" s="303"/>
      <c r="W297" s="304">
        <f>(Q297+R297)*'1.0-Contractblad'!$L$37</f>
        <v>0</v>
      </c>
      <c r="X297" s="304">
        <f ca="1">VLOOKUP(E297,'1.1a-Jaarprijzen'!$B$35:$Q$57,16,FALSE)*K297</f>
        <v>0</v>
      </c>
      <c r="Z297" s="773">
        <f t="shared" si="42"/>
        <v>600</v>
      </c>
      <c r="AA297" s="492" t="str">
        <f t="shared" si="43"/>
        <v>1040-40</v>
      </c>
    </row>
    <row r="298" spans="2:27" s="490" customFormat="1" ht="15">
      <c r="B298" s="330"/>
      <c r="C298" s="331"/>
      <c r="D298" s="295">
        <f>VLOOKUP(E298,'1.1a-Jaarprijzen'!$B$13:$G$32,6,FALSE)</f>
        <v>2</v>
      </c>
      <c r="E298" s="294" t="s">
        <v>859</v>
      </c>
      <c r="F298" s="295" t="s">
        <v>605</v>
      </c>
      <c r="G298" s="296" t="s">
        <v>844</v>
      </c>
      <c r="H298" s="294" t="s">
        <v>397</v>
      </c>
      <c r="I298" s="297" t="str">
        <f t="shared" si="44"/>
        <v>administratieve -,  vergaderruimte</v>
      </c>
      <c r="J298" s="295" t="s">
        <v>461</v>
      </c>
      <c r="K298" s="298">
        <v>18</v>
      </c>
      <c r="L298" s="298"/>
      <c r="M298" s="299">
        <v>1040</v>
      </c>
      <c r="N298" s="300">
        <f t="shared" si="39"/>
        <v>40</v>
      </c>
      <c r="O298" s="484">
        <v>1</v>
      </c>
      <c r="P298" s="484">
        <v>1</v>
      </c>
      <c r="Q298" s="292">
        <f t="shared" si="40"/>
        <v>0</v>
      </c>
      <c r="R298" s="292">
        <f t="shared" si="41"/>
        <v>0</v>
      </c>
      <c r="S298" s="301">
        <f t="shared" si="45"/>
        <v>0</v>
      </c>
      <c r="T298" s="301">
        <f t="shared" si="46"/>
        <v>0</v>
      </c>
      <c r="U298" s="771" t="str">
        <f t="shared" si="38"/>
        <v>V</v>
      </c>
      <c r="V298" s="303"/>
      <c r="W298" s="304">
        <f>(Q298+R298)*'1.0-Contractblad'!$L$37</f>
        <v>0</v>
      </c>
      <c r="X298" s="304">
        <f ca="1">VLOOKUP(E298,'1.1a-Jaarprijzen'!$B$35:$Q$57,16,FALSE)*K298</f>
        <v>0</v>
      </c>
      <c r="Z298" s="773">
        <f t="shared" si="42"/>
        <v>720</v>
      </c>
      <c r="AA298" s="492" t="str">
        <f t="shared" si="43"/>
        <v>1040-40</v>
      </c>
    </row>
    <row r="299" spans="2:27" s="490" customFormat="1" ht="15">
      <c r="B299" s="330"/>
      <c r="C299" s="331"/>
      <c r="D299" s="295">
        <f>VLOOKUP(E299,'1.1a-Jaarprijzen'!$B$13:$G$32,6,FALSE)</f>
        <v>2</v>
      </c>
      <c r="E299" s="294" t="s">
        <v>859</v>
      </c>
      <c r="F299" s="295" t="s">
        <v>605</v>
      </c>
      <c r="G299" s="296" t="s">
        <v>845</v>
      </c>
      <c r="H299" s="294" t="s">
        <v>397</v>
      </c>
      <c r="I299" s="297" t="str">
        <f t="shared" si="44"/>
        <v>administratieve -,  vergaderruimte</v>
      </c>
      <c r="J299" s="295" t="s">
        <v>461</v>
      </c>
      <c r="K299" s="298">
        <v>11</v>
      </c>
      <c r="L299" s="298"/>
      <c r="M299" s="299">
        <v>1040</v>
      </c>
      <c r="N299" s="300">
        <f t="shared" si="39"/>
        <v>40</v>
      </c>
      <c r="O299" s="484">
        <v>1</v>
      </c>
      <c r="P299" s="484">
        <v>1</v>
      </c>
      <c r="Q299" s="292">
        <f t="shared" si="40"/>
        <v>0</v>
      </c>
      <c r="R299" s="292">
        <f t="shared" si="41"/>
        <v>0</v>
      </c>
      <c r="S299" s="301">
        <f t="shared" si="45"/>
        <v>0</v>
      </c>
      <c r="T299" s="301">
        <f t="shared" si="46"/>
        <v>0</v>
      </c>
      <c r="U299" s="771" t="str">
        <f t="shared" si="38"/>
        <v>V</v>
      </c>
      <c r="V299" s="303"/>
      <c r="W299" s="304">
        <f>(Q299+R299)*'1.0-Contractblad'!$L$37</f>
        <v>0</v>
      </c>
      <c r="X299" s="304">
        <f ca="1">VLOOKUP(E299,'1.1a-Jaarprijzen'!$B$35:$Q$57,16,FALSE)*K299</f>
        <v>0</v>
      </c>
      <c r="Z299" s="773">
        <f t="shared" si="42"/>
        <v>440</v>
      </c>
      <c r="AA299" s="492" t="str">
        <f t="shared" si="43"/>
        <v>1040-40</v>
      </c>
    </row>
    <row r="300" spans="2:27" s="490" customFormat="1" ht="15">
      <c r="B300" s="330"/>
      <c r="C300" s="331"/>
      <c r="D300" s="295">
        <f>VLOOKUP(E300,'1.1a-Jaarprijzen'!$B$13:$G$32,6,FALSE)</f>
        <v>2</v>
      </c>
      <c r="E300" s="294" t="s">
        <v>859</v>
      </c>
      <c r="F300" s="295" t="s">
        <v>605</v>
      </c>
      <c r="G300" s="296" t="s">
        <v>624</v>
      </c>
      <c r="H300" s="294" t="s">
        <v>477</v>
      </c>
      <c r="I300" s="297" t="str">
        <f t="shared" si="44"/>
        <v>sanitaire ruimte (toilet-/doucheruimte)</v>
      </c>
      <c r="J300" s="295" t="s">
        <v>895</v>
      </c>
      <c r="K300" s="298">
        <v>3</v>
      </c>
      <c r="L300" s="298"/>
      <c r="M300" s="299">
        <v>4200</v>
      </c>
      <c r="N300" s="300">
        <f t="shared" si="39"/>
        <v>200</v>
      </c>
      <c r="O300" s="484">
        <v>1</v>
      </c>
      <c r="P300" s="484">
        <v>1</v>
      </c>
      <c r="Q300" s="292">
        <f t="shared" si="40"/>
        <v>0</v>
      </c>
      <c r="R300" s="292">
        <f t="shared" si="41"/>
        <v>0</v>
      </c>
      <c r="S300" s="301">
        <f t="shared" si="45"/>
        <v>0</v>
      </c>
      <c r="T300" s="301">
        <f t="shared" si="46"/>
        <v>0</v>
      </c>
      <c r="U300" s="771" t="str">
        <f t="shared" ref="U300:U363" si="47">IF(M300="","",VLOOKUP(M300,Kengetal,14,FALSE))</f>
        <v>S</v>
      </c>
      <c r="V300" s="303"/>
      <c r="W300" s="304">
        <f>(Q300+R300)*'1.0-Contractblad'!$L$37</f>
        <v>0</v>
      </c>
      <c r="X300" s="304">
        <f ca="1">VLOOKUP(E300,'1.1a-Jaarprijzen'!$B$35:$Q$57,16,FALSE)*K300</f>
        <v>0</v>
      </c>
      <c r="Z300" s="773">
        <f t="shared" si="42"/>
        <v>600</v>
      </c>
      <c r="AA300" s="492" t="str">
        <f t="shared" si="43"/>
        <v>4200-200</v>
      </c>
    </row>
    <row r="301" spans="2:27" s="490" customFormat="1" ht="15">
      <c r="B301" s="330"/>
      <c r="C301" s="331"/>
      <c r="D301" s="295">
        <f>VLOOKUP(E301,'1.1a-Jaarprijzen'!$B$13:$G$32,6,FALSE)</f>
        <v>2</v>
      </c>
      <c r="E301" s="294" t="s">
        <v>859</v>
      </c>
      <c r="F301" s="295" t="s">
        <v>605</v>
      </c>
      <c r="G301" s="296" t="s">
        <v>625</v>
      </c>
      <c r="H301" s="294" t="s">
        <v>477</v>
      </c>
      <c r="I301" s="297" t="str">
        <f t="shared" si="44"/>
        <v>sanitaire ruimte (toilet-/doucheruimte)</v>
      </c>
      <c r="J301" s="295" t="s">
        <v>895</v>
      </c>
      <c r="K301" s="298">
        <v>6</v>
      </c>
      <c r="L301" s="298"/>
      <c r="M301" s="299">
        <v>4200</v>
      </c>
      <c r="N301" s="300">
        <f t="shared" ref="N301:N364" si="48">VLOOKUP(M301,Kengetal,3,FALSE)</f>
        <v>200</v>
      </c>
      <c r="O301" s="484">
        <v>1</v>
      </c>
      <c r="P301" s="484">
        <v>1</v>
      </c>
      <c r="Q301" s="292">
        <f t="shared" ref="Q301:Q364" si="49">S301*K301*O301</f>
        <v>0</v>
      </c>
      <c r="R301" s="292">
        <f t="shared" ref="R301:R364" si="50">T301*K301*P301</f>
        <v>0</v>
      </c>
      <c r="S301" s="301">
        <f t="shared" si="45"/>
        <v>0</v>
      </c>
      <c r="T301" s="301">
        <f t="shared" si="46"/>
        <v>0</v>
      </c>
      <c r="U301" s="771" t="str">
        <f t="shared" si="47"/>
        <v>S</v>
      </c>
      <c r="V301" s="303"/>
      <c r="W301" s="304">
        <f>(Q301+R301)*'1.0-Contractblad'!$L$37</f>
        <v>0</v>
      </c>
      <c r="X301" s="304">
        <f ca="1">VLOOKUP(E301,'1.1a-Jaarprijzen'!$B$35:$Q$57,16,FALSE)*K301</f>
        <v>0</v>
      </c>
      <c r="Z301" s="773">
        <f t="shared" ref="Z301:Z364" si="51">K301*N301</f>
        <v>1200</v>
      </c>
      <c r="AA301" s="492" t="str">
        <f t="shared" ref="AA301:AA364" si="52">CONCATENATE(M301,"-",N301)</f>
        <v>4200-200</v>
      </c>
    </row>
    <row r="302" spans="2:27" s="490" customFormat="1" ht="15">
      <c r="B302" s="330"/>
      <c r="C302" s="331"/>
      <c r="D302" s="295">
        <f>VLOOKUP(E302,'1.1a-Jaarprijzen'!$B$13:$G$32,6,FALSE)</f>
        <v>2</v>
      </c>
      <c r="E302" s="294" t="s">
        <v>859</v>
      </c>
      <c r="F302" s="295" t="s">
        <v>605</v>
      </c>
      <c r="G302" s="296" t="s">
        <v>854</v>
      </c>
      <c r="H302" s="294" t="s">
        <v>477</v>
      </c>
      <c r="I302" s="297" t="str">
        <f t="shared" si="44"/>
        <v>sanitaire ruimte (toilet-/doucheruimte)</v>
      </c>
      <c r="J302" s="295" t="s">
        <v>895</v>
      </c>
      <c r="K302" s="298">
        <v>6</v>
      </c>
      <c r="L302" s="298"/>
      <c r="M302" s="299">
        <v>4200</v>
      </c>
      <c r="N302" s="300">
        <f t="shared" si="48"/>
        <v>200</v>
      </c>
      <c r="O302" s="484">
        <v>1</v>
      </c>
      <c r="P302" s="484">
        <v>1</v>
      </c>
      <c r="Q302" s="292">
        <f t="shared" si="49"/>
        <v>0</v>
      </c>
      <c r="R302" s="292">
        <f t="shared" si="50"/>
        <v>0</v>
      </c>
      <c r="S302" s="301">
        <f t="shared" si="45"/>
        <v>0</v>
      </c>
      <c r="T302" s="301">
        <f t="shared" si="46"/>
        <v>0</v>
      </c>
      <c r="U302" s="771" t="str">
        <f t="shared" si="47"/>
        <v>S</v>
      </c>
      <c r="V302" s="303"/>
      <c r="W302" s="304">
        <f>(Q302+R302)*'1.0-Contractblad'!$L$37</f>
        <v>0</v>
      </c>
      <c r="X302" s="304">
        <f ca="1">VLOOKUP(E302,'1.1a-Jaarprijzen'!$B$35:$Q$57,16,FALSE)*K302</f>
        <v>0</v>
      </c>
      <c r="Z302" s="773">
        <f t="shared" si="51"/>
        <v>1200</v>
      </c>
      <c r="AA302" s="492" t="str">
        <f t="shared" si="52"/>
        <v>4200-200</v>
      </c>
    </row>
    <row r="303" spans="2:27" s="490" customFormat="1" ht="15">
      <c r="B303" s="330"/>
      <c r="C303" s="331"/>
      <c r="D303" s="295">
        <f>VLOOKUP(E303,'1.1a-Jaarprijzen'!$B$13:$G$32,6,FALSE)</f>
        <v>2</v>
      </c>
      <c r="E303" s="294" t="s">
        <v>859</v>
      </c>
      <c r="F303" s="295" t="s">
        <v>605</v>
      </c>
      <c r="G303" s="296" t="s">
        <v>855</v>
      </c>
      <c r="H303" s="294" t="s">
        <v>477</v>
      </c>
      <c r="I303" s="297" t="str">
        <f t="shared" si="44"/>
        <v>sanitaire ruimte (toilet-/doucheruimte)</v>
      </c>
      <c r="J303" s="295" t="s">
        <v>895</v>
      </c>
      <c r="K303" s="298">
        <v>6</v>
      </c>
      <c r="L303" s="298"/>
      <c r="M303" s="299">
        <v>4200</v>
      </c>
      <c r="N303" s="300">
        <f t="shared" si="48"/>
        <v>200</v>
      </c>
      <c r="O303" s="484">
        <v>1</v>
      </c>
      <c r="P303" s="484">
        <v>1</v>
      </c>
      <c r="Q303" s="292">
        <f t="shared" si="49"/>
        <v>0</v>
      </c>
      <c r="R303" s="292">
        <f t="shared" si="50"/>
        <v>0</v>
      </c>
      <c r="S303" s="301">
        <f t="shared" si="45"/>
        <v>0</v>
      </c>
      <c r="T303" s="301">
        <f t="shared" si="46"/>
        <v>0</v>
      </c>
      <c r="U303" s="771" t="str">
        <f t="shared" si="47"/>
        <v>S</v>
      </c>
      <c r="V303" s="303"/>
      <c r="W303" s="304">
        <f>(Q303+R303)*'1.0-Contractblad'!$L$37</f>
        <v>0</v>
      </c>
      <c r="X303" s="304">
        <f ca="1">VLOOKUP(E303,'1.1a-Jaarprijzen'!$B$35:$Q$57,16,FALSE)*K303</f>
        <v>0</v>
      </c>
      <c r="Z303" s="773">
        <f t="shared" si="51"/>
        <v>1200</v>
      </c>
      <c r="AA303" s="492" t="str">
        <f t="shared" si="52"/>
        <v>4200-200</v>
      </c>
    </row>
    <row r="304" spans="2:27" s="490" customFormat="1" ht="15">
      <c r="B304" s="330"/>
      <c r="C304" s="331"/>
      <c r="D304" s="295">
        <f>VLOOKUP(E304,'1.1a-Jaarprijzen'!$B$13:$G$32,6,FALSE)</f>
        <v>2</v>
      </c>
      <c r="E304" s="294" t="s">
        <v>859</v>
      </c>
      <c r="F304" s="295" t="s">
        <v>605</v>
      </c>
      <c r="G304" s="296" t="s">
        <v>856</v>
      </c>
      <c r="H304" s="294" t="s">
        <v>477</v>
      </c>
      <c r="I304" s="297" t="str">
        <f t="shared" si="44"/>
        <v>sanitaire ruimte (toilet-/doucheruimte)</v>
      </c>
      <c r="J304" s="295" t="s">
        <v>895</v>
      </c>
      <c r="K304" s="298">
        <v>10</v>
      </c>
      <c r="L304" s="298"/>
      <c r="M304" s="299">
        <v>4200</v>
      </c>
      <c r="N304" s="300">
        <f t="shared" si="48"/>
        <v>200</v>
      </c>
      <c r="O304" s="484">
        <v>1</v>
      </c>
      <c r="P304" s="484">
        <v>1</v>
      </c>
      <c r="Q304" s="292">
        <f t="shared" si="49"/>
        <v>0</v>
      </c>
      <c r="R304" s="292">
        <f t="shared" si="50"/>
        <v>0</v>
      </c>
      <c r="S304" s="301">
        <f t="shared" si="45"/>
        <v>0</v>
      </c>
      <c r="T304" s="301">
        <f t="shared" si="46"/>
        <v>0</v>
      </c>
      <c r="U304" s="771" t="str">
        <f t="shared" si="47"/>
        <v>S</v>
      </c>
      <c r="V304" s="303"/>
      <c r="W304" s="304">
        <f>(Q304+R304)*'1.0-Contractblad'!$L$37</f>
        <v>0</v>
      </c>
      <c r="X304" s="304">
        <f ca="1">VLOOKUP(E304,'1.1a-Jaarprijzen'!$B$35:$Q$57,16,FALSE)*K304</f>
        <v>0</v>
      </c>
      <c r="Z304" s="773">
        <f t="shared" si="51"/>
        <v>2000</v>
      </c>
      <c r="AA304" s="492" t="str">
        <f t="shared" si="52"/>
        <v>4200-200</v>
      </c>
    </row>
    <row r="305" spans="2:27" s="490" customFormat="1" ht="15">
      <c r="B305" s="330"/>
      <c r="C305" s="331"/>
      <c r="D305" s="295">
        <f>VLOOKUP(E305,'1.1a-Jaarprijzen'!$B$13:$G$32,6,FALSE)</f>
        <v>2</v>
      </c>
      <c r="E305" s="294" t="s">
        <v>859</v>
      </c>
      <c r="F305" s="295" t="s">
        <v>605</v>
      </c>
      <c r="G305" s="296" t="s">
        <v>629</v>
      </c>
      <c r="H305" s="294" t="s">
        <v>477</v>
      </c>
      <c r="I305" s="297" t="str">
        <f t="shared" si="44"/>
        <v>sanitaire ruimte (toilet-/doucheruimte)</v>
      </c>
      <c r="J305" s="295" t="s">
        <v>895</v>
      </c>
      <c r="K305" s="298">
        <v>5</v>
      </c>
      <c r="L305" s="298"/>
      <c r="M305" s="299">
        <v>4200</v>
      </c>
      <c r="N305" s="300">
        <f t="shared" si="48"/>
        <v>200</v>
      </c>
      <c r="O305" s="484">
        <v>1</v>
      </c>
      <c r="P305" s="484">
        <v>1</v>
      </c>
      <c r="Q305" s="292">
        <f t="shared" si="49"/>
        <v>0</v>
      </c>
      <c r="R305" s="292">
        <f t="shared" si="50"/>
        <v>0</v>
      </c>
      <c r="S305" s="301">
        <f t="shared" si="45"/>
        <v>0</v>
      </c>
      <c r="T305" s="301">
        <f t="shared" si="46"/>
        <v>0</v>
      </c>
      <c r="U305" s="771" t="str">
        <f t="shared" si="47"/>
        <v>S</v>
      </c>
      <c r="V305" s="303"/>
      <c r="W305" s="304">
        <f>(Q305+R305)*'1.0-Contractblad'!$L$37</f>
        <v>0</v>
      </c>
      <c r="X305" s="304">
        <f ca="1">VLOOKUP(E305,'1.1a-Jaarprijzen'!$B$35:$Q$57,16,FALSE)*K305</f>
        <v>0</v>
      </c>
      <c r="Z305" s="773">
        <f t="shared" si="51"/>
        <v>1000</v>
      </c>
      <c r="AA305" s="492" t="str">
        <f t="shared" si="52"/>
        <v>4200-200</v>
      </c>
    </row>
    <row r="306" spans="2:27" s="490" customFormat="1" ht="15">
      <c r="B306" s="330"/>
      <c r="C306" s="331"/>
      <c r="D306" s="295">
        <f>VLOOKUP(E306,'1.1a-Jaarprijzen'!$B$13:$G$32,6,FALSE)</f>
        <v>2</v>
      </c>
      <c r="E306" s="294" t="s">
        <v>859</v>
      </c>
      <c r="F306" s="295" t="s">
        <v>605</v>
      </c>
      <c r="G306" s="296" t="s">
        <v>863</v>
      </c>
      <c r="H306" s="294" t="s">
        <v>477</v>
      </c>
      <c r="I306" s="297" t="str">
        <f t="shared" si="44"/>
        <v>sanitaire ruimte (toilet-/doucheruimte)</v>
      </c>
      <c r="J306" s="295" t="s">
        <v>895</v>
      </c>
      <c r="K306" s="298">
        <v>9</v>
      </c>
      <c r="L306" s="298"/>
      <c r="M306" s="299">
        <v>4200</v>
      </c>
      <c r="N306" s="300">
        <f t="shared" si="48"/>
        <v>200</v>
      </c>
      <c r="O306" s="484">
        <v>1</v>
      </c>
      <c r="P306" s="484">
        <v>1</v>
      </c>
      <c r="Q306" s="292">
        <f t="shared" si="49"/>
        <v>0</v>
      </c>
      <c r="R306" s="292">
        <f t="shared" si="50"/>
        <v>0</v>
      </c>
      <c r="S306" s="301">
        <f t="shared" si="45"/>
        <v>0</v>
      </c>
      <c r="T306" s="301">
        <f t="shared" si="46"/>
        <v>0</v>
      </c>
      <c r="U306" s="771" t="str">
        <f t="shared" si="47"/>
        <v>S</v>
      </c>
      <c r="V306" s="303"/>
      <c r="W306" s="304">
        <f>(Q306+R306)*'1.0-Contractblad'!$L$37</f>
        <v>0</v>
      </c>
      <c r="X306" s="304">
        <f ca="1">VLOOKUP(E306,'1.1a-Jaarprijzen'!$B$35:$Q$57,16,FALSE)*K306</f>
        <v>0</v>
      </c>
      <c r="Z306" s="773">
        <f t="shared" si="51"/>
        <v>1800</v>
      </c>
      <c r="AA306" s="492" t="str">
        <f t="shared" si="52"/>
        <v>4200-200</v>
      </c>
    </row>
    <row r="307" spans="2:27" s="490" customFormat="1" ht="15">
      <c r="B307" s="330"/>
      <c r="C307" s="331"/>
      <c r="D307" s="295">
        <f>VLOOKUP(E307,'1.1a-Jaarprijzen'!$B$13:$G$32,6,FALSE)</f>
        <v>2</v>
      </c>
      <c r="E307" s="294" t="s">
        <v>859</v>
      </c>
      <c r="F307" s="295" t="s">
        <v>605</v>
      </c>
      <c r="G307" s="296" t="s">
        <v>864</v>
      </c>
      <c r="H307" s="294" t="s">
        <v>477</v>
      </c>
      <c r="I307" s="297" t="str">
        <f t="shared" si="44"/>
        <v>sanitaire ruimte (toilet-/doucheruimte)</v>
      </c>
      <c r="J307" s="295" t="s">
        <v>895</v>
      </c>
      <c r="K307" s="298">
        <v>5</v>
      </c>
      <c r="L307" s="298"/>
      <c r="M307" s="299">
        <v>4200</v>
      </c>
      <c r="N307" s="300">
        <f t="shared" si="48"/>
        <v>200</v>
      </c>
      <c r="O307" s="484">
        <v>1</v>
      </c>
      <c r="P307" s="484">
        <v>1</v>
      </c>
      <c r="Q307" s="292">
        <f t="shared" si="49"/>
        <v>0</v>
      </c>
      <c r="R307" s="292">
        <f t="shared" si="50"/>
        <v>0</v>
      </c>
      <c r="S307" s="301">
        <f t="shared" si="45"/>
        <v>0</v>
      </c>
      <c r="T307" s="301">
        <f t="shared" si="46"/>
        <v>0</v>
      </c>
      <c r="U307" s="771" t="str">
        <f t="shared" si="47"/>
        <v>S</v>
      </c>
      <c r="V307" s="303"/>
      <c r="W307" s="304">
        <f>(Q307+R307)*'1.0-Contractblad'!$L$37</f>
        <v>0</v>
      </c>
      <c r="X307" s="304">
        <f ca="1">VLOOKUP(E307,'1.1a-Jaarprijzen'!$B$35:$Q$57,16,FALSE)*K307</f>
        <v>0</v>
      </c>
      <c r="Z307" s="773">
        <f t="shared" si="51"/>
        <v>1000</v>
      </c>
      <c r="AA307" s="492" t="str">
        <f t="shared" si="52"/>
        <v>4200-200</v>
      </c>
    </row>
    <row r="308" spans="2:27" s="490" customFormat="1" ht="15">
      <c r="B308" s="330"/>
      <c r="C308" s="331"/>
      <c r="D308" s="295">
        <f>VLOOKUP(E308,'1.1a-Jaarprijzen'!$B$13:$G$32,6,FALSE)</f>
        <v>2</v>
      </c>
      <c r="E308" s="294" t="s">
        <v>859</v>
      </c>
      <c r="F308" s="295" t="s">
        <v>605</v>
      </c>
      <c r="G308" s="296" t="s">
        <v>865</v>
      </c>
      <c r="H308" s="294" t="s">
        <v>477</v>
      </c>
      <c r="I308" s="297" t="str">
        <f t="shared" si="44"/>
        <v>sanitaire ruimte (toilet-/doucheruimte)</v>
      </c>
      <c r="J308" s="295" t="s">
        <v>895</v>
      </c>
      <c r="K308" s="298">
        <v>6</v>
      </c>
      <c r="L308" s="298"/>
      <c r="M308" s="299">
        <v>4200</v>
      </c>
      <c r="N308" s="300">
        <f t="shared" si="48"/>
        <v>200</v>
      </c>
      <c r="O308" s="484">
        <v>1</v>
      </c>
      <c r="P308" s="484">
        <v>1</v>
      </c>
      <c r="Q308" s="292">
        <f t="shared" si="49"/>
        <v>0</v>
      </c>
      <c r="R308" s="292">
        <f t="shared" si="50"/>
        <v>0</v>
      </c>
      <c r="S308" s="301">
        <f t="shared" si="45"/>
        <v>0</v>
      </c>
      <c r="T308" s="301">
        <f t="shared" si="46"/>
        <v>0</v>
      </c>
      <c r="U308" s="771" t="str">
        <f t="shared" si="47"/>
        <v>S</v>
      </c>
      <c r="V308" s="303"/>
      <c r="W308" s="304">
        <f>(Q308+R308)*'1.0-Contractblad'!$L$37</f>
        <v>0</v>
      </c>
      <c r="X308" s="304">
        <f ca="1">VLOOKUP(E308,'1.1a-Jaarprijzen'!$B$35:$Q$57,16,FALSE)*K308</f>
        <v>0</v>
      </c>
      <c r="Z308" s="773">
        <f t="shared" si="51"/>
        <v>1200</v>
      </c>
      <c r="AA308" s="492" t="str">
        <f t="shared" si="52"/>
        <v>4200-200</v>
      </c>
    </row>
    <row r="309" spans="2:27" s="490" customFormat="1" ht="15">
      <c r="B309" s="330"/>
      <c r="C309" s="331"/>
      <c r="D309" s="295">
        <f>VLOOKUP(E309,'1.1a-Jaarprijzen'!$B$13:$G$32,6,FALSE)</f>
        <v>2</v>
      </c>
      <c r="E309" s="294" t="s">
        <v>859</v>
      </c>
      <c r="F309" s="295" t="s">
        <v>605</v>
      </c>
      <c r="G309" s="296" t="s">
        <v>635</v>
      </c>
      <c r="H309" s="294" t="s">
        <v>477</v>
      </c>
      <c r="I309" s="297" t="str">
        <f t="shared" si="44"/>
        <v>sanitaire ruimte (toilet-/doucheruimte)</v>
      </c>
      <c r="J309" s="295" t="s">
        <v>895</v>
      </c>
      <c r="K309" s="298">
        <v>2</v>
      </c>
      <c r="L309" s="298"/>
      <c r="M309" s="299">
        <v>4200</v>
      </c>
      <c r="N309" s="300">
        <f t="shared" si="48"/>
        <v>200</v>
      </c>
      <c r="O309" s="484">
        <v>1</v>
      </c>
      <c r="P309" s="484">
        <v>1</v>
      </c>
      <c r="Q309" s="292">
        <f t="shared" si="49"/>
        <v>0</v>
      </c>
      <c r="R309" s="292">
        <f t="shared" si="50"/>
        <v>0</v>
      </c>
      <c r="S309" s="301">
        <f t="shared" si="45"/>
        <v>0</v>
      </c>
      <c r="T309" s="301">
        <f t="shared" si="46"/>
        <v>0</v>
      </c>
      <c r="U309" s="771" t="str">
        <f t="shared" si="47"/>
        <v>S</v>
      </c>
      <c r="V309" s="303"/>
      <c r="W309" s="304">
        <f>(Q309+R309)*'1.0-Contractblad'!$L$37</f>
        <v>0</v>
      </c>
      <c r="X309" s="304">
        <f ca="1">VLOOKUP(E309,'1.1a-Jaarprijzen'!$B$35:$Q$57,16,FALSE)*K309</f>
        <v>0</v>
      </c>
      <c r="Z309" s="773">
        <f t="shared" si="51"/>
        <v>400</v>
      </c>
      <c r="AA309" s="492" t="str">
        <f t="shared" si="52"/>
        <v>4200-200</v>
      </c>
    </row>
    <row r="310" spans="2:27" s="490" customFormat="1" ht="15">
      <c r="B310" s="330"/>
      <c r="C310" s="331"/>
      <c r="D310" s="295">
        <f>VLOOKUP(E310,'1.1a-Jaarprijzen'!$B$13:$G$32,6,FALSE)</f>
        <v>2</v>
      </c>
      <c r="E310" s="294" t="s">
        <v>866</v>
      </c>
      <c r="F310" s="295" t="s">
        <v>605</v>
      </c>
      <c r="G310" s="296" t="s">
        <v>867</v>
      </c>
      <c r="H310" s="294" t="s">
        <v>1052</v>
      </c>
      <c r="I310" s="297" t="str">
        <f t="shared" si="44"/>
        <v>entree, gang, hal, repro</v>
      </c>
      <c r="J310" s="295" t="s">
        <v>699</v>
      </c>
      <c r="K310" s="298">
        <v>70</v>
      </c>
      <c r="L310" s="298"/>
      <c r="M310" s="299">
        <v>3200</v>
      </c>
      <c r="N310" s="300">
        <f t="shared" si="48"/>
        <v>200</v>
      </c>
      <c r="O310" s="484">
        <v>1</v>
      </c>
      <c r="P310" s="484">
        <v>1</v>
      </c>
      <c r="Q310" s="292">
        <f t="shared" si="49"/>
        <v>0</v>
      </c>
      <c r="R310" s="292">
        <f t="shared" si="50"/>
        <v>0</v>
      </c>
      <c r="S310" s="301">
        <f t="shared" si="45"/>
        <v>0</v>
      </c>
      <c r="T310" s="301">
        <f t="shared" si="46"/>
        <v>0</v>
      </c>
      <c r="U310" s="771" t="str">
        <f t="shared" si="47"/>
        <v>V</v>
      </c>
      <c r="V310" s="303"/>
      <c r="W310" s="304">
        <f>(Q310+R310)*'1.0-Contractblad'!$L$37</f>
        <v>0</v>
      </c>
      <c r="X310" s="304">
        <f ca="1">VLOOKUP(E310,'1.1a-Jaarprijzen'!$B$35:$Q$57,16,FALSE)*K310</f>
        <v>0</v>
      </c>
      <c r="Z310" s="773">
        <f t="shared" si="51"/>
        <v>14000</v>
      </c>
      <c r="AA310" s="492" t="str">
        <f t="shared" si="52"/>
        <v>3200-200</v>
      </c>
    </row>
    <row r="311" spans="2:27" s="490" customFormat="1" ht="15">
      <c r="B311" s="330"/>
      <c r="C311" s="331"/>
      <c r="D311" s="295">
        <f>VLOOKUP(E311,'1.1a-Jaarprijzen'!$B$13:$G$32,6,FALSE)</f>
        <v>2</v>
      </c>
      <c r="E311" s="294" t="s">
        <v>866</v>
      </c>
      <c r="F311" s="295" t="s">
        <v>605</v>
      </c>
      <c r="G311" s="296" t="s">
        <v>691</v>
      </c>
      <c r="H311" s="294" t="s">
        <v>396</v>
      </c>
      <c r="I311" s="297" t="str">
        <f t="shared" si="44"/>
        <v>aula, gemeenschappelijke ruimte, bibliotheek</v>
      </c>
      <c r="J311" s="295" t="s">
        <v>699</v>
      </c>
      <c r="K311" s="298">
        <v>78</v>
      </c>
      <c r="L311" s="298"/>
      <c r="M311" s="299">
        <v>2200</v>
      </c>
      <c r="N311" s="300">
        <f t="shared" si="48"/>
        <v>200</v>
      </c>
      <c r="O311" s="484">
        <v>1</v>
      </c>
      <c r="P311" s="484">
        <v>1</v>
      </c>
      <c r="Q311" s="292">
        <f t="shared" si="49"/>
        <v>0</v>
      </c>
      <c r="R311" s="292">
        <f t="shared" si="50"/>
        <v>0</v>
      </c>
      <c r="S311" s="301">
        <f t="shared" si="45"/>
        <v>0</v>
      </c>
      <c r="T311" s="301">
        <f t="shared" si="46"/>
        <v>0</v>
      </c>
      <c r="U311" s="771" t="str">
        <f t="shared" si="47"/>
        <v>V</v>
      </c>
      <c r="V311" s="303"/>
      <c r="W311" s="304">
        <f>(Q311+R311)*'1.0-Contractblad'!$L$37</f>
        <v>0</v>
      </c>
      <c r="X311" s="304">
        <f ca="1">VLOOKUP(E311,'1.1a-Jaarprijzen'!$B$35:$Q$57,16,FALSE)*K311</f>
        <v>0</v>
      </c>
      <c r="Z311" s="773">
        <f t="shared" si="51"/>
        <v>15600</v>
      </c>
      <c r="AA311" s="492" t="str">
        <f t="shared" si="52"/>
        <v>2200-200</v>
      </c>
    </row>
    <row r="312" spans="2:27" s="490" customFormat="1" ht="15">
      <c r="B312" s="330"/>
      <c r="C312" s="331"/>
      <c r="D312" s="295">
        <f>VLOOKUP(E312,'1.1a-Jaarprijzen'!$B$13:$G$32,6,FALSE)</f>
        <v>2</v>
      </c>
      <c r="E312" s="294" t="s">
        <v>866</v>
      </c>
      <c r="F312" s="295" t="s">
        <v>605</v>
      </c>
      <c r="G312" s="296" t="s">
        <v>692</v>
      </c>
      <c r="H312" s="294" t="s">
        <v>396</v>
      </c>
      <c r="I312" s="297" t="str">
        <f t="shared" si="44"/>
        <v>aula, gemeenschappelijke ruimte, bibliotheek</v>
      </c>
      <c r="J312" s="295" t="s">
        <v>699</v>
      </c>
      <c r="K312" s="298">
        <v>78</v>
      </c>
      <c r="L312" s="298"/>
      <c r="M312" s="299">
        <v>2200</v>
      </c>
      <c r="N312" s="300">
        <f t="shared" si="48"/>
        <v>200</v>
      </c>
      <c r="O312" s="484">
        <v>1</v>
      </c>
      <c r="P312" s="484">
        <v>1</v>
      </c>
      <c r="Q312" s="292">
        <f t="shared" si="49"/>
        <v>0</v>
      </c>
      <c r="R312" s="292">
        <f t="shared" si="50"/>
        <v>0</v>
      </c>
      <c r="S312" s="301">
        <f t="shared" si="45"/>
        <v>0</v>
      </c>
      <c r="T312" s="301">
        <f t="shared" si="46"/>
        <v>0</v>
      </c>
      <c r="U312" s="771" t="str">
        <f t="shared" si="47"/>
        <v>V</v>
      </c>
      <c r="V312" s="303"/>
      <c r="W312" s="304">
        <f>(Q312+R312)*'1.0-Contractblad'!$L$37</f>
        <v>0</v>
      </c>
      <c r="X312" s="304">
        <f ca="1">VLOOKUP(E312,'1.1a-Jaarprijzen'!$B$35:$Q$57,16,FALSE)*K312</f>
        <v>0</v>
      </c>
      <c r="Z312" s="773">
        <f t="shared" si="51"/>
        <v>15600</v>
      </c>
      <c r="AA312" s="492" t="str">
        <f t="shared" si="52"/>
        <v>2200-200</v>
      </c>
    </row>
    <row r="313" spans="2:27" s="490" customFormat="1" ht="15">
      <c r="B313" s="330"/>
      <c r="C313" s="331"/>
      <c r="D313" s="295">
        <f>VLOOKUP(E313,'1.1a-Jaarprijzen'!$B$13:$G$32,6,FALSE)</f>
        <v>2</v>
      </c>
      <c r="E313" s="294" t="s">
        <v>866</v>
      </c>
      <c r="F313" s="295" t="s">
        <v>605</v>
      </c>
      <c r="G313" s="296" t="s">
        <v>868</v>
      </c>
      <c r="H313" s="294" t="s">
        <v>396</v>
      </c>
      <c r="I313" s="297" t="str">
        <f t="shared" si="44"/>
        <v>aula, gemeenschappelijke ruimte, bibliotheek</v>
      </c>
      <c r="J313" s="295" t="s">
        <v>699</v>
      </c>
      <c r="K313" s="298">
        <v>114</v>
      </c>
      <c r="L313" s="298"/>
      <c r="M313" s="299">
        <v>2200</v>
      </c>
      <c r="N313" s="300">
        <f t="shared" si="48"/>
        <v>200</v>
      </c>
      <c r="O313" s="484">
        <v>1</v>
      </c>
      <c r="P313" s="484">
        <v>1</v>
      </c>
      <c r="Q313" s="292">
        <f t="shared" si="49"/>
        <v>0</v>
      </c>
      <c r="R313" s="292">
        <f t="shared" si="50"/>
        <v>0</v>
      </c>
      <c r="S313" s="301">
        <f t="shared" si="45"/>
        <v>0</v>
      </c>
      <c r="T313" s="301">
        <f t="shared" si="46"/>
        <v>0</v>
      </c>
      <c r="U313" s="771" t="str">
        <f t="shared" si="47"/>
        <v>V</v>
      </c>
      <c r="V313" s="303"/>
      <c r="W313" s="304">
        <f>(Q313+R313)*'1.0-Contractblad'!$L$37</f>
        <v>0</v>
      </c>
      <c r="X313" s="304">
        <f ca="1">VLOOKUP(E313,'1.1a-Jaarprijzen'!$B$35:$Q$57,16,FALSE)*K313</f>
        <v>0</v>
      </c>
      <c r="Z313" s="773">
        <f t="shared" si="51"/>
        <v>22800</v>
      </c>
      <c r="AA313" s="492" t="str">
        <f t="shared" si="52"/>
        <v>2200-200</v>
      </c>
    </row>
    <row r="314" spans="2:27" s="490" customFormat="1" ht="15">
      <c r="B314" s="330"/>
      <c r="C314" s="331"/>
      <c r="D314" s="295">
        <f>VLOOKUP(E314,'1.1a-Jaarprijzen'!$B$13:$G$32,6,FALSE)</f>
        <v>2</v>
      </c>
      <c r="E314" s="294" t="s">
        <v>866</v>
      </c>
      <c r="F314" s="295" t="s">
        <v>605</v>
      </c>
      <c r="G314" s="296" t="s">
        <v>643</v>
      </c>
      <c r="H314" s="294" t="s">
        <v>393</v>
      </c>
      <c r="I314" s="297" t="str">
        <f t="shared" si="44"/>
        <v>entree, gang, hal, repro</v>
      </c>
      <c r="J314" s="295" t="s">
        <v>698</v>
      </c>
      <c r="K314" s="298">
        <v>5</v>
      </c>
      <c r="L314" s="298"/>
      <c r="M314" s="299">
        <v>3200</v>
      </c>
      <c r="N314" s="300">
        <f t="shared" si="48"/>
        <v>200</v>
      </c>
      <c r="O314" s="484">
        <v>1</v>
      </c>
      <c r="P314" s="484">
        <v>1</v>
      </c>
      <c r="Q314" s="292">
        <f t="shared" si="49"/>
        <v>0</v>
      </c>
      <c r="R314" s="292">
        <f t="shared" si="50"/>
        <v>0</v>
      </c>
      <c r="S314" s="301">
        <f t="shared" si="45"/>
        <v>0</v>
      </c>
      <c r="T314" s="301">
        <f t="shared" si="46"/>
        <v>0</v>
      </c>
      <c r="U314" s="771" t="str">
        <f t="shared" si="47"/>
        <v>V</v>
      </c>
      <c r="V314" s="303"/>
      <c r="W314" s="304">
        <f>(Q314+R314)*'1.0-Contractblad'!$L$37</f>
        <v>0</v>
      </c>
      <c r="X314" s="304">
        <f ca="1">VLOOKUP(E314,'1.1a-Jaarprijzen'!$B$35:$Q$57,16,FALSE)*K314</f>
        <v>0</v>
      </c>
      <c r="Z314" s="773">
        <f t="shared" si="51"/>
        <v>1000</v>
      </c>
      <c r="AA314" s="492" t="str">
        <f t="shared" si="52"/>
        <v>3200-200</v>
      </c>
    </row>
    <row r="315" spans="2:27" s="490" customFormat="1" ht="15">
      <c r="B315" s="330"/>
      <c r="C315" s="331"/>
      <c r="D315" s="295">
        <f>VLOOKUP(E315,'1.1a-Jaarprijzen'!$B$13:$G$32,6,FALSE)</f>
        <v>2</v>
      </c>
      <c r="E315" s="294" t="s">
        <v>866</v>
      </c>
      <c r="F315" s="295" t="s">
        <v>605</v>
      </c>
      <c r="G315" s="296" t="s">
        <v>644</v>
      </c>
      <c r="H315" s="294" t="s">
        <v>393</v>
      </c>
      <c r="I315" s="297" t="str">
        <f t="shared" si="44"/>
        <v>entree, gang, hal, repro</v>
      </c>
      <c r="J315" s="295" t="s">
        <v>698</v>
      </c>
      <c r="K315" s="298">
        <v>6</v>
      </c>
      <c r="L315" s="298"/>
      <c r="M315" s="299">
        <v>3200</v>
      </c>
      <c r="N315" s="300">
        <f t="shared" si="48"/>
        <v>200</v>
      </c>
      <c r="O315" s="484">
        <v>1</v>
      </c>
      <c r="P315" s="484">
        <v>1</v>
      </c>
      <c r="Q315" s="292">
        <f t="shared" si="49"/>
        <v>0</v>
      </c>
      <c r="R315" s="292">
        <f t="shared" si="50"/>
        <v>0</v>
      </c>
      <c r="S315" s="301">
        <f t="shared" si="45"/>
        <v>0</v>
      </c>
      <c r="T315" s="301">
        <f t="shared" si="46"/>
        <v>0</v>
      </c>
      <c r="U315" s="771" t="str">
        <f t="shared" si="47"/>
        <v>V</v>
      </c>
      <c r="V315" s="303"/>
      <c r="W315" s="304">
        <f>(Q315+R315)*'1.0-Contractblad'!$L$37</f>
        <v>0</v>
      </c>
      <c r="X315" s="304">
        <f ca="1">VLOOKUP(E315,'1.1a-Jaarprijzen'!$B$35:$Q$57,16,FALSE)*K315</f>
        <v>0</v>
      </c>
      <c r="Z315" s="773">
        <f t="shared" si="51"/>
        <v>1200</v>
      </c>
      <c r="AA315" s="492" t="str">
        <f t="shared" si="52"/>
        <v>3200-200</v>
      </c>
    </row>
    <row r="316" spans="2:27" s="490" customFormat="1" ht="15">
      <c r="B316" s="330"/>
      <c r="C316" s="331"/>
      <c r="D316" s="295">
        <f>VLOOKUP(E316,'1.1a-Jaarprijzen'!$B$13:$G$32,6,FALSE)</f>
        <v>2</v>
      </c>
      <c r="E316" s="294" t="s">
        <v>866</v>
      </c>
      <c r="F316" s="295" t="s">
        <v>605</v>
      </c>
      <c r="G316" s="296" t="s">
        <v>489</v>
      </c>
      <c r="H316" s="294" t="s">
        <v>685</v>
      </c>
      <c r="I316" s="297" t="str">
        <f t="shared" si="44"/>
        <v>leslokaal groep 1 t/m 3</v>
      </c>
      <c r="J316" s="295" t="s">
        <v>699</v>
      </c>
      <c r="K316" s="298">
        <v>57</v>
      </c>
      <c r="L316" s="298"/>
      <c r="M316" s="299">
        <v>7200</v>
      </c>
      <c r="N316" s="300">
        <f t="shared" si="48"/>
        <v>200</v>
      </c>
      <c r="O316" s="484">
        <v>1</v>
      </c>
      <c r="P316" s="484">
        <v>1</v>
      </c>
      <c r="Q316" s="292">
        <f t="shared" si="49"/>
        <v>0</v>
      </c>
      <c r="R316" s="292">
        <f t="shared" si="50"/>
        <v>0</v>
      </c>
      <c r="S316" s="301">
        <f t="shared" si="45"/>
        <v>0</v>
      </c>
      <c r="T316" s="301">
        <f t="shared" si="46"/>
        <v>0</v>
      </c>
      <c r="U316" s="771" t="str">
        <f t="shared" si="47"/>
        <v>L</v>
      </c>
      <c r="V316" s="303"/>
      <c r="W316" s="304">
        <f>(Q316+R316)*'1.0-Contractblad'!$L$37</f>
        <v>0</v>
      </c>
      <c r="X316" s="304">
        <f ca="1">VLOOKUP(E316,'1.1a-Jaarprijzen'!$B$35:$Q$57,16,FALSE)*K316</f>
        <v>0</v>
      </c>
      <c r="Z316" s="773">
        <f t="shared" si="51"/>
        <v>11400</v>
      </c>
      <c r="AA316" s="492" t="str">
        <f t="shared" si="52"/>
        <v>7200-200</v>
      </c>
    </row>
    <row r="317" spans="2:27" s="490" customFormat="1" ht="15">
      <c r="B317" s="330"/>
      <c r="C317" s="331"/>
      <c r="D317" s="295">
        <f>VLOOKUP(E317,'1.1a-Jaarprijzen'!$B$13:$G$32,6,FALSE)</f>
        <v>2</v>
      </c>
      <c r="E317" s="294" t="s">
        <v>866</v>
      </c>
      <c r="F317" s="295" t="s">
        <v>605</v>
      </c>
      <c r="G317" s="296" t="s">
        <v>490</v>
      </c>
      <c r="H317" s="294" t="s">
        <v>685</v>
      </c>
      <c r="I317" s="297" t="str">
        <f t="shared" si="44"/>
        <v>leslokaal groep 1 t/m 3</v>
      </c>
      <c r="J317" s="295" t="s">
        <v>699</v>
      </c>
      <c r="K317" s="298">
        <v>56</v>
      </c>
      <c r="L317" s="298"/>
      <c r="M317" s="299">
        <v>7200</v>
      </c>
      <c r="N317" s="300">
        <f t="shared" si="48"/>
        <v>200</v>
      </c>
      <c r="O317" s="484">
        <v>1</v>
      </c>
      <c r="P317" s="484">
        <v>1</v>
      </c>
      <c r="Q317" s="292">
        <f t="shared" si="49"/>
        <v>0</v>
      </c>
      <c r="R317" s="292">
        <f t="shared" si="50"/>
        <v>0</v>
      </c>
      <c r="S317" s="301">
        <f t="shared" si="45"/>
        <v>0</v>
      </c>
      <c r="T317" s="301">
        <f t="shared" si="46"/>
        <v>0</v>
      </c>
      <c r="U317" s="771" t="str">
        <f t="shared" si="47"/>
        <v>L</v>
      </c>
      <c r="V317" s="303"/>
      <c r="W317" s="304">
        <f>(Q317+R317)*'1.0-Contractblad'!$L$37</f>
        <v>0</v>
      </c>
      <c r="X317" s="304">
        <f ca="1">VLOOKUP(E317,'1.1a-Jaarprijzen'!$B$35:$Q$57,16,FALSE)*K317</f>
        <v>0</v>
      </c>
      <c r="Z317" s="773">
        <f t="shared" si="51"/>
        <v>11200</v>
      </c>
      <c r="AA317" s="492" t="str">
        <f t="shared" si="52"/>
        <v>7200-200</v>
      </c>
    </row>
    <row r="318" spans="2:27" s="490" customFormat="1" ht="15">
      <c r="B318" s="330"/>
      <c r="C318" s="331"/>
      <c r="D318" s="295">
        <f>VLOOKUP(E318,'1.1a-Jaarprijzen'!$B$13:$G$32,6,FALSE)</f>
        <v>2</v>
      </c>
      <c r="E318" s="294" t="s">
        <v>866</v>
      </c>
      <c r="F318" s="295" t="s">
        <v>605</v>
      </c>
      <c r="G318" s="296" t="s">
        <v>491</v>
      </c>
      <c r="H318" s="294" t="s">
        <v>685</v>
      </c>
      <c r="I318" s="297" t="str">
        <f t="shared" si="44"/>
        <v>leslokaal groep 1 t/m 3</v>
      </c>
      <c r="J318" s="295" t="s">
        <v>699</v>
      </c>
      <c r="K318" s="298">
        <v>56</v>
      </c>
      <c r="L318" s="298"/>
      <c r="M318" s="299">
        <v>7200</v>
      </c>
      <c r="N318" s="300">
        <f t="shared" si="48"/>
        <v>200</v>
      </c>
      <c r="O318" s="484">
        <v>1</v>
      </c>
      <c r="P318" s="484">
        <v>1</v>
      </c>
      <c r="Q318" s="292">
        <f t="shared" si="49"/>
        <v>0</v>
      </c>
      <c r="R318" s="292">
        <f t="shared" si="50"/>
        <v>0</v>
      </c>
      <c r="S318" s="301">
        <f t="shared" si="45"/>
        <v>0</v>
      </c>
      <c r="T318" s="301">
        <f t="shared" si="46"/>
        <v>0</v>
      </c>
      <c r="U318" s="771" t="str">
        <f t="shared" si="47"/>
        <v>L</v>
      </c>
      <c r="V318" s="303"/>
      <c r="W318" s="304">
        <f>(Q318+R318)*'1.0-Contractblad'!$L$37</f>
        <v>0</v>
      </c>
      <c r="X318" s="304">
        <f ca="1">VLOOKUP(E318,'1.1a-Jaarprijzen'!$B$35:$Q$57,16,FALSE)*K318</f>
        <v>0</v>
      </c>
      <c r="Z318" s="773">
        <f t="shared" si="51"/>
        <v>11200</v>
      </c>
      <c r="AA318" s="492" t="str">
        <f t="shared" si="52"/>
        <v>7200-200</v>
      </c>
    </row>
    <row r="319" spans="2:27" s="490" customFormat="1" ht="15">
      <c r="B319" s="330"/>
      <c r="C319" s="331"/>
      <c r="D319" s="295">
        <f>VLOOKUP(E319,'1.1a-Jaarprijzen'!$B$13:$G$32,6,FALSE)</f>
        <v>2</v>
      </c>
      <c r="E319" s="294" t="s">
        <v>866</v>
      </c>
      <c r="F319" s="295" t="s">
        <v>605</v>
      </c>
      <c r="G319" s="296" t="s">
        <v>492</v>
      </c>
      <c r="H319" s="294" t="s">
        <v>685</v>
      </c>
      <c r="I319" s="297" t="str">
        <f t="shared" si="44"/>
        <v>leslokaal groep 1 t/m 3</v>
      </c>
      <c r="J319" s="295" t="s">
        <v>699</v>
      </c>
      <c r="K319" s="298">
        <v>56</v>
      </c>
      <c r="L319" s="298"/>
      <c r="M319" s="299">
        <v>7200</v>
      </c>
      <c r="N319" s="300">
        <f t="shared" si="48"/>
        <v>200</v>
      </c>
      <c r="O319" s="484">
        <v>1</v>
      </c>
      <c r="P319" s="484">
        <v>1</v>
      </c>
      <c r="Q319" s="292">
        <f t="shared" si="49"/>
        <v>0</v>
      </c>
      <c r="R319" s="292">
        <f t="shared" si="50"/>
        <v>0</v>
      </c>
      <c r="S319" s="301">
        <f t="shared" si="45"/>
        <v>0</v>
      </c>
      <c r="T319" s="301">
        <f t="shared" si="46"/>
        <v>0</v>
      </c>
      <c r="U319" s="771" t="str">
        <f t="shared" si="47"/>
        <v>L</v>
      </c>
      <c r="V319" s="303"/>
      <c r="W319" s="304">
        <f>(Q319+R319)*'1.0-Contractblad'!$L$37</f>
        <v>0</v>
      </c>
      <c r="X319" s="304">
        <f ca="1">VLOOKUP(E319,'1.1a-Jaarprijzen'!$B$35:$Q$57,16,FALSE)*K319</f>
        <v>0</v>
      </c>
      <c r="Z319" s="773">
        <f t="shared" si="51"/>
        <v>11200</v>
      </c>
      <c r="AA319" s="492" t="str">
        <f t="shared" si="52"/>
        <v>7200-200</v>
      </c>
    </row>
    <row r="320" spans="2:27" s="490" customFormat="1" ht="15">
      <c r="B320" s="330"/>
      <c r="C320" s="331"/>
      <c r="D320" s="295">
        <f>VLOOKUP(E320,'1.1a-Jaarprijzen'!$B$13:$G$32,6,FALSE)</f>
        <v>2</v>
      </c>
      <c r="E320" s="294" t="s">
        <v>866</v>
      </c>
      <c r="F320" s="295" t="s">
        <v>605</v>
      </c>
      <c r="G320" s="296" t="s">
        <v>493</v>
      </c>
      <c r="H320" s="294" t="s">
        <v>685</v>
      </c>
      <c r="I320" s="297" t="str">
        <f t="shared" si="44"/>
        <v>leslokaal groep 1 t/m 3</v>
      </c>
      <c r="J320" s="295" t="s">
        <v>699</v>
      </c>
      <c r="K320" s="298">
        <v>56</v>
      </c>
      <c r="L320" s="298"/>
      <c r="M320" s="299">
        <v>7200</v>
      </c>
      <c r="N320" s="300">
        <f t="shared" si="48"/>
        <v>200</v>
      </c>
      <c r="O320" s="484">
        <v>1</v>
      </c>
      <c r="P320" s="484">
        <v>1</v>
      </c>
      <c r="Q320" s="292">
        <f t="shared" si="49"/>
        <v>0</v>
      </c>
      <c r="R320" s="292">
        <f t="shared" si="50"/>
        <v>0</v>
      </c>
      <c r="S320" s="301">
        <f t="shared" si="45"/>
        <v>0</v>
      </c>
      <c r="T320" s="301">
        <f t="shared" si="46"/>
        <v>0</v>
      </c>
      <c r="U320" s="771" t="str">
        <f t="shared" si="47"/>
        <v>L</v>
      </c>
      <c r="V320" s="303"/>
      <c r="W320" s="304">
        <f>(Q320+R320)*'1.0-Contractblad'!$L$37</f>
        <v>0</v>
      </c>
      <c r="X320" s="304">
        <f ca="1">VLOOKUP(E320,'1.1a-Jaarprijzen'!$B$35:$Q$57,16,FALSE)*K320</f>
        <v>0</v>
      </c>
      <c r="Z320" s="773">
        <f t="shared" si="51"/>
        <v>11200</v>
      </c>
      <c r="AA320" s="492" t="str">
        <f t="shared" si="52"/>
        <v>7200-200</v>
      </c>
    </row>
    <row r="321" spans="2:27" s="490" customFormat="1" ht="15">
      <c r="B321" s="330"/>
      <c r="C321" s="331"/>
      <c r="D321" s="295">
        <f>VLOOKUP(E321,'1.1a-Jaarprijzen'!$B$13:$G$32,6,FALSE)</f>
        <v>2</v>
      </c>
      <c r="E321" s="294" t="s">
        <v>866</v>
      </c>
      <c r="F321" s="295" t="s">
        <v>605</v>
      </c>
      <c r="G321" s="296" t="s">
        <v>494</v>
      </c>
      <c r="H321" s="294" t="s">
        <v>685</v>
      </c>
      <c r="I321" s="297" t="str">
        <f t="shared" si="44"/>
        <v>leslokaal groep 1 t/m 3</v>
      </c>
      <c r="J321" s="295" t="s">
        <v>699</v>
      </c>
      <c r="K321" s="298">
        <v>56</v>
      </c>
      <c r="L321" s="298"/>
      <c r="M321" s="299">
        <v>7200</v>
      </c>
      <c r="N321" s="300">
        <f t="shared" si="48"/>
        <v>200</v>
      </c>
      <c r="O321" s="484">
        <v>1</v>
      </c>
      <c r="P321" s="484">
        <v>1</v>
      </c>
      <c r="Q321" s="292">
        <f t="shared" si="49"/>
        <v>0</v>
      </c>
      <c r="R321" s="292">
        <f t="shared" si="50"/>
        <v>0</v>
      </c>
      <c r="S321" s="301">
        <f t="shared" si="45"/>
        <v>0</v>
      </c>
      <c r="T321" s="301">
        <f t="shared" si="46"/>
        <v>0</v>
      </c>
      <c r="U321" s="771" t="str">
        <f t="shared" si="47"/>
        <v>L</v>
      </c>
      <c r="V321" s="303"/>
      <c r="W321" s="304">
        <f>(Q321+R321)*'1.0-Contractblad'!$L$37</f>
        <v>0</v>
      </c>
      <c r="X321" s="304">
        <f ca="1">VLOOKUP(E321,'1.1a-Jaarprijzen'!$B$35:$Q$57,16,FALSE)*K321</f>
        <v>0</v>
      </c>
      <c r="Z321" s="773">
        <f t="shared" si="51"/>
        <v>11200</v>
      </c>
      <c r="AA321" s="492" t="str">
        <f t="shared" si="52"/>
        <v>7200-200</v>
      </c>
    </row>
    <row r="322" spans="2:27" s="490" customFormat="1" ht="15">
      <c r="B322" s="330"/>
      <c r="C322" s="331"/>
      <c r="D322" s="295">
        <f>VLOOKUP(E322,'1.1a-Jaarprijzen'!$B$13:$G$32,6,FALSE)</f>
        <v>2</v>
      </c>
      <c r="E322" s="294" t="s">
        <v>866</v>
      </c>
      <c r="F322" s="295" t="s">
        <v>605</v>
      </c>
      <c r="G322" s="296" t="s">
        <v>495</v>
      </c>
      <c r="H322" s="294" t="s">
        <v>869</v>
      </c>
      <c r="I322" s="297" t="str">
        <f t="shared" si="44"/>
        <v>leslokaal/bevo/handvaardigheid</v>
      </c>
      <c r="J322" s="295" t="s">
        <v>699</v>
      </c>
      <c r="K322" s="298">
        <v>64</v>
      </c>
      <c r="L322" s="298"/>
      <c r="M322" s="299">
        <v>7040</v>
      </c>
      <c r="N322" s="300">
        <f t="shared" si="48"/>
        <v>40</v>
      </c>
      <c r="O322" s="484">
        <v>1</v>
      </c>
      <c r="P322" s="484">
        <v>1</v>
      </c>
      <c r="Q322" s="292">
        <f t="shared" si="49"/>
        <v>0</v>
      </c>
      <c r="R322" s="292">
        <f t="shared" si="50"/>
        <v>0</v>
      </c>
      <c r="S322" s="301">
        <f t="shared" si="45"/>
        <v>0</v>
      </c>
      <c r="T322" s="301">
        <f t="shared" si="46"/>
        <v>0</v>
      </c>
      <c r="U322" s="771" t="str">
        <f t="shared" si="47"/>
        <v>L</v>
      </c>
      <c r="V322" s="303"/>
      <c r="W322" s="304">
        <f>(Q322+R322)*'1.0-Contractblad'!$L$37</f>
        <v>0</v>
      </c>
      <c r="X322" s="304">
        <f ca="1">VLOOKUP(E322,'1.1a-Jaarprijzen'!$B$35:$Q$57,16,FALSE)*K322</f>
        <v>0</v>
      </c>
      <c r="Z322" s="773">
        <f t="shared" si="51"/>
        <v>2560</v>
      </c>
      <c r="AA322" s="492" t="str">
        <f t="shared" si="52"/>
        <v>7040-40</v>
      </c>
    </row>
    <row r="323" spans="2:27" s="490" customFormat="1" ht="15">
      <c r="B323" s="330"/>
      <c r="C323" s="331"/>
      <c r="D323" s="295">
        <f>VLOOKUP(E323,'1.1a-Jaarprijzen'!$B$13:$G$32,6,FALSE)</f>
        <v>2</v>
      </c>
      <c r="E323" s="294" t="s">
        <v>866</v>
      </c>
      <c r="F323" s="295" t="s">
        <v>605</v>
      </c>
      <c r="G323" s="296" t="s">
        <v>496</v>
      </c>
      <c r="H323" s="294" t="s">
        <v>869</v>
      </c>
      <c r="I323" s="297" t="str">
        <f t="shared" si="44"/>
        <v>leslokaal/bevo/handvaardigheid</v>
      </c>
      <c r="J323" s="295" t="s">
        <v>699</v>
      </c>
      <c r="K323" s="298">
        <v>60</v>
      </c>
      <c r="L323" s="298"/>
      <c r="M323" s="299">
        <v>7040</v>
      </c>
      <c r="N323" s="300">
        <f t="shared" si="48"/>
        <v>40</v>
      </c>
      <c r="O323" s="484">
        <v>1</v>
      </c>
      <c r="P323" s="484">
        <v>1</v>
      </c>
      <c r="Q323" s="292">
        <f t="shared" si="49"/>
        <v>0</v>
      </c>
      <c r="R323" s="292">
        <f t="shared" si="50"/>
        <v>0</v>
      </c>
      <c r="S323" s="301">
        <f t="shared" si="45"/>
        <v>0</v>
      </c>
      <c r="T323" s="301">
        <f t="shared" si="46"/>
        <v>0</v>
      </c>
      <c r="U323" s="771" t="str">
        <f t="shared" si="47"/>
        <v>L</v>
      </c>
      <c r="V323" s="303"/>
      <c r="W323" s="304">
        <f>(Q323+R323)*'1.0-Contractblad'!$L$37</f>
        <v>0</v>
      </c>
      <c r="X323" s="304">
        <f ca="1">VLOOKUP(E323,'1.1a-Jaarprijzen'!$B$35:$Q$57,16,FALSE)*K323</f>
        <v>0</v>
      </c>
      <c r="Z323" s="773">
        <f t="shared" si="51"/>
        <v>2400</v>
      </c>
      <c r="AA323" s="492" t="str">
        <f t="shared" si="52"/>
        <v>7040-40</v>
      </c>
    </row>
    <row r="324" spans="2:27" s="490" customFormat="1" ht="15">
      <c r="B324" s="330"/>
      <c r="C324" s="331"/>
      <c r="D324" s="295">
        <f>VLOOKUP(E324,'1.1a-Jaarprijzen'!$B$13:$G$32,6,FALSE)</f>
        <v>2</v>
      </c>
      <c r="E324" s="294" t="s">
        <v>866</v>
      </c>
      <c r="F324" s="295" t="s">
        <v>605</v>
      </c>
      <c r="G324" s="296" t="s">
        <v>510</v>
      </c>
      <c r="H324" s="294" t="s">
        <v>765</v>
      </c>
      <c r="I324" s="297" t="str">
        <f t="shared" si="44"/>
        <v>speellokaal</v>
      </c>
      <c r="J324" s="295" t="s">
        <v>462</v>
      </c>
      <c r="K324" s="298">
        <v>90</v>
      </c>
      <c r="L324" s="298"/>
      <c r="M324" s="299">
        <v>8200</v>
      </c>
      <c r="N324" s="300">
        <f t="shared" si="48"/>
        <v>200</v>
      </c>
      <c r="O324" s="484">
        <v>1</v>
      </c>
      <c r="P324" s="484">
        <v>1</v>
      </c>
      <c r="Q324" s="292">
        <f t="shared" si="49"/>
        <v>0</v>
      </c>
      <c r="R324" s="292">
        <f t="shared" si="50"/>
        <v>0</v>
      </c>
      <c r="S324" s="301">
        <f t="shared" si="45"/>
        <v>0</v>
      </c>
      <c r="T324" s="301">
        <f t="shared" si="46"/>
        <v>0</v>
      </c>
      <c r="U324" s="771" t="str">
        <f t="shared" si="47"/>
        <v>L</v>
      </c>
      <c r="V324" s="303"/>
      <c r="W324" s="304">
        <f>(Q324+R324)*'1.0-Contractblad'!$L$37</f>
        <v>0</v>
      </c>
      <c r="X324" s="304">
        <f ca="1">VLOOKUP(E324,'1.1a-Jaarprijzen'!$B$35:$Q$57,16,FALSE)*K324</f>
        <v>0</v>
      </c>
      <c r="Z324" s="773">
        <f t="shared" si="51"/>
        <v>18000</v>
      </c>
      <c r="AA324" s="492" t="str">
        <f t="shared" si="52"/>
        <v>8200-200</v>
      </c>
    </row>
    <row r="325" spans="2:27" s="490" customFormat="1" ht="15">
      <c r="B325" s="330"/>
      <c r="C325" s="331"/>
      <c r="D325" s="295">
        <f>VLOOKUP(E325,'1.1a-Jaarprijzen'!$B$13:$G$32,6,FALSE)</f>
        <v>2</v>
      </c>
      <c r="E325" s="294" t="s">
        <v>866</v>
      </c>
      <c r="F325" s="295" t="s">
        <v>605</v>
      </c>
      <c r="G325" s="296" t="s">
        <v>870</v>
      </c>
      <c r="H325" s="294" t="s">
        <v>1053</v>
      </c>
      <c r="I325" s="297" t="str">
        <f t="shared" si="44"/>
        <v>leslokaal/bevo/handvaardigheid</v>
      </c>
      <c r="J325" s="295" t="s">
        <v>699</v>
      </c>
      <c r="K325" s="298">
        <v>39</v>
      </c>
      <c r="L325" s="298"/>
      <c r="M325" s="299">
        <v>7040</v>
      </c>
      <c r="N325" s="300">
        <f t="shared" si="48"/>
        <v>40</v>
      </c>
      <c r="O325" s="484">
        <v>1</v>
      </c>
      <c r="P325" s="484">
        <v>1</v>
      </c>
      <c r="Q325" s="292">
        <f t="shared" si="49"/>
        <v>0</v>
      </c>
      <c r="R325" s="292">
        <f t="shared" si="50"/>
        <v>0</v>
      </c>
      <c r="S325" s="301">
        <f t="shared" si="45"/>
        <v>0</v>
      </c>
      <c r="T325" s="301">
        <f t="shared" si="46"/>
        <v>0</v>
      </c>
      <c r="U325" s="771" t="str">
        <f t="shared" si="47"/>
        <v>L</v>
      </c>
      <c r="V325" s="303"/>
      <c r="W325" s="304">
        <f>(Q325+R325)*'1.0-Contractblad'!$L$37</f>
        <v>0</v>
      </c>
      <c r="X325" s="304">
        <f ca="1">VLOOKUP(E325,'1.1a-Jaarprijzen'!$B$35:$Q$57,16,FALSE)*K325</f>
        <v>0</v>
      </c>
      <c r="Z325" s="773">
        <f t="shared" si="51"/>
        <v>1560</v>
      </c>
      <c r="AA325" s="492" t="str">
        <f t="shared" si="52"/>
        <v>7040-40</v>
      </c>
    </row>
    <row r="326" spans="2:27" s="490" customFormat="1" ht="15">
      <c r="B326" s="330"/>
      <c r="C326" s="331"/>
      <c r="D326" s="295">
        <f>VLOOKUP(E326,'1.1a-Jaarprijzen'!$B$13:$G$32,6,FALSE)</f>
        <v>2</v>
      </c>
      <c r="E326" s="294" t="s">
        <v>866</v>
      </c>
      <c r="F326" s="295" t="s">
        <v>605</v>
      </c>
      <c r="G326" s="296" t="s">
        <v>870</v>
      </c>
      <c r="H326" s="294" t="s">
        <v>1053</v>
      </c>
      <c r="I326" s="297" t="str">
        <f t="shared" si="44"/>
        <v>leslokaal/bevo/handvaardigheid</v>
      </c>
      <c r="J326" s="295" t="s">
        <v>699</v>
      </c>
      <c r="K326" s="298">
        <v>12</v>
      </c>
      <c r="L326" s="298"/>
      <c r="M326" s="299">
        <v>7040</v>
      </c>
      <c r="N326" s="300">
        <f t="shared" si="48"/>
        <v>40</v>
      </c>
      <c r="O326" s="484">
        <v>1</v>
      </c>
      <c r="P326" s="484">
        <v>1</v>
      </c>
      <c r="Q326" s="292">
        <f t="shared" si="49"/>
        <v>0</v>
      </c>
      <c r="R326" s="292">
        <f t="shared" si="50"/>
        <v>0</v>
      </c>
      <c r="S326" s="301">
        <f t="shared" si="45"/>
        <v>0</v>
      </c>
      <c r="T326" s="301">
        <f t="shared" si="46"/>
        <v>0</v>
      </c>
      <c r="U326" s="771" t="str">
        <f t="shared" si="47"/>
        <v>L</v>
      </c>
      <c r="V326" s="303"/>
      <c r="W326" s="304">
        <f>(Q326+R326)*'1.0-Contractblad'!$L$37</f>
        <v>0</v>
      </c>
      <c r="X326" s="304">
        <f ca="1">VLOOKUP(E326,'1.1a-Jaarprijzen'!$B$35:$Q$57,16,FALSE)*K326</f>
        <v>0</v>
      </c>
      <c r="Z326" s="773">
        <f t="shared" si="51"/>
        <v>480</v>
      </c>
      <c r="AA326" s="492" t="str">
        <f t="shared" si="52"/>
        <v>7040-40</v>
      </c>
    </row>
    <row r="327" spans="2:27" s="490" customFormat="1" ht="15">
      <c r="B327" s="330"/>
      <c r="C327" s="331"/>
      <c r="D327" s="295">
        <f>VLOOKUP(E327,'1.1a-Jaarprijzen'!$B$13:$G$32,6,FALSE)</f>
        <v>2</v>
      </c>
      <c r="E327" s="294" t="s">
        <v>866</v>
      </c>
      <c r="F327" s="295" t="s">
        <v>605</v>
      </c>
      <c r="G327" s="296" t="s">
        <v>534</v>
      </c>
      <c r="H327" s="294" t="s">
        <v>477</v>
      </c>
      <c r="I327" s="297" t="str">
        <f t="shared" si="44"/>
        <v>sanitaire ruimte (toilet-/doucheruimte)</v>
      </c>
      <c r="J327" s="295" t="s">
        <v>700</v>
      </c>
      <c r="K327" s="298">
        <v>2</v>
      </c>
      <c r="L327" s="298"/>
      <c r="M327" s="299">
        <v>4200</v>
      </c>
      <c r="N327" s="300">
        <f t="shared" si="48"/>
        <v>200</v>
      </c>
      <c r="O327" s="484">
        <v>1</v>
      </c>
      <c r="P327" s="484">
        <v>1</v>
      </c>
      <c r="Q327" s="292">
        <f t="shared" si="49"/>
        <v>0</v>
      </c>
      <c r="R327" s="292">
        <f t="shared" si="50"/>
        <v>0</v>
      </c>
      <c r="S327" s="301">
        <f t="shared" si="45"/>
        <v>0</v>
      </c>
      <c r="T327" s="301">
        <f t="shared" si="46"/>
        <v>0</v>
      </c>
      <c r="U327" s="771" t="str">
        <f t="shared" si="47"/>
        <v>S</v>
      </c>
      <c r="V327" s="303"/>
      <c r="W327" s="304">
        <f>(Q327+R327)*'1.0-Contractblad'!$L$37</f>
        <v>0</v>
      </c>
      <c r="X327" s="304">
        <f ca="1">VLOOKUP(E327,'1.1a-Jaarprijzen'!$B$35:$Q$57,16,FALSE)*K327</f>
        <v>0</v>
      </c>
      <c r="Z327" s="773">
        <f t="shared" si="51"/>
        <v>400</v>
      </c>
      <c r="AA327" s="492" t="str">
        <f t="shared" si="52"/>
        <v>4200-200</v>
      </c>
    </row>
    <row r="328" spans="2:27" s="490" customFormat="1" ht="15">
      <c r="B328" s="330"/>
      <c r="C328" s="331"/>
      <c r="D328" s="295">
        <f>VLOOKUP(E328,'1.1a-Jaarprijzen'!$B$13:$G$32,6,FALSE)</f>
        <v>2</v>
      </c>
      <c r="E328" s="294" t="s">
        <v>866</v>
      </c>
      <c r="F328" s="295" t="s">
        <v>605</v>
      </c>
      <c r="G328" s="296" t="s">
        <v>536</v>
      </c>
      <c r="H328" s="294" t="s">
        <v>477</v>
      </c>
      <c r="I328" s="297" t="str">
        <f t="shared" si="44"/>
        <v>sanitaire ruimte (toilet-/doucheruimte)</v>
      </c>
      <c r="J328" s="295" t="s">
        <v>700</v>
      </c>
      <c r="K328" s="298">
        <v>7</v>
      </c>
      <c r="L328" s="298"/>
      <c r="M328" s="299">
        <v>4200</v>
      </c>
      <c r="N328" s="300">
        <f t="shared" si="48"/>
        <v>200</v>
      </c>
      <c r="O328" s="484">
        <v>1</v>
      </c>
      <c r="P328" s="484">
        <v>1</v>
      </c>
      <c r="Q328" s="292">
        <f t="shared" si="49"/>
        <v>0</v>
      </c>
      <c r="R328" s="292">
        <f t="shared" si="50"/>
        <v>0</v>
      </c>
      <c r="S328" s="301">
        <f t="shared" si="45"/>
        <v>0</v>
      </c>
      <c r="T328" s="301">
        <f t="shared" si="46"/>
        <v>0</v>
      </c>
      <c r="U328" s="771" t="str">
        <f t="shared" si="47"/>
        <v>S</v>
      </c>
      <c r="V328" s="303"/>
      <c r="W328" s="304">
        <f>(Q328+R328)*'1.0-Contractblad'!$L$37</f>
        <v>0</v>
      </c>
      <c r="X328" s="304">
        <f ca="1">VLOOKUP(E328,'1.1a-Jaarprijzen'!$B$35:$Q$57,16,FALSE)*K328</f>
        <v>0</v>
      </c>
      <c r="Z328" s="773">
        <f t="shared" si="51"/>
        <v>1400</v>
      </c>
      <c r="AA328" s="492" t="str">
        <f t="shared" si="52"/>
        <v>4200-200</v>
      </c>
    </row>
    <row r="329" spans="2:27" s="490" customFormat="1" ht="15">
      <c r="B329" s="330"/>
      <c r="C329" s="331"/>
      <c r="D329" s="295">
        <f>VLOOKUP(E329,'1.1a-Jaarprijzen'!$B$13:$G$32,6,FALSE)</f>
        <v>2</v>
      </c>
      <c r="E329" s="294" t="s">
        <v>866</v>
      </c>
      <c r="F329" s="295" t="s">
        <v>605</v>
      </c>
      <c r="G329" s="295" t="s">
        <v>537</v>
      </c>
      <c r="H329" s="710" t="s">
        <v>477</v>
      </c>
      <c r="I329" s="297" t="str">
        <f t="shared" si="29"/>
        <v>sanitaire ruimte (toilet-/doucheruimte)</v>
      </c>
      <c r="J329" s="295" t="s">
        <v>700</v>
      </c>
      <c r="K329" s="298">
        <v>4</v>
      </c>
      <c r="L329" s="298"/>
      <c r="M329" s="299">
        <v>4200</v>
      </c>
      <c r="N329" s="300">
        <f t="shared" si="48"/>
        <v>200</v>
      </c>
      <c r="O329" s="484">
        <v>1</v>
      </c>
      <c r="P329" s="484">
        <v>1</v>
      </c>
      <c r="Q329" s="292">
        <f t="shared" si="49"/>
        <v>0</v>
      </c>
      <c r="R329" s="292">
        <f t="shared" si="50"/>
        <v>0</v>
      </c>
      <c r="S329" s="301">
        <f t="shared" si="45"/>
        <v>0</v>
      </c>
      <c r="T329" s="301">
        <f t="shared" si="46"/>
        <v>0</v>
      </c>
      <c r="U329" s="771" t="str">
        <f t="shared" si="47"/>
        <v>S</v>
      </c>
      <c r="V329" s="303"/>
      <c r="W329" s="304">
        <f>(Q329+R329)*'1.0-Contractblad'!$L$37</f>
        <v>0</v>
      </c>
      <c r="X329" s="304">
        <f ca="1">VLOOKUP(E329,'1.1a-Jaarprijzen'!$B$35:$Q$57,16,FALSE)*K329</f>
        <v>0</v>
      </c>
      <c r="Z329" s="773">
        <f t="shared" si="51"/>
        <v>800</v>
      </c>
      <c r="AA329" s="492" t="str">
        <f t="shared" si="52"/>
        <v>4200-200</v>
      </c>
    </row>
    <row r="330" spans="2:27" s="490" customFormat="1" ht="15">
      <c r="B330" s="330"/>
      <c r="C330" s="331"/>
      <c r="D330" s="295">
        <f>VLOOKUP(E330,'1.1a-Jaarprijzen'!$B$13:$G$32,6,FALSE)</f>
        <v>2</v>
      </c>
      <c r="E330" s="294" t="s">
        <v>866</v>
      </c>
      <c r="F330" s="295" t="s">
        <v>605</v>
      </c>
      <c r="G330" s="295" t="s">
        <v>538</v>
      </c>
      <c r="H330" s="710" t="s">
        <v>477</v>
      </c>
      <c r="I330" s="297" t="str">
        <f t="shared" si="29"/>
        <v>sanitaire ruimte (toilet-/doucheruimte)</v>
      </c>
      <c r="J330" s="295" t="s">
        <v>700</v>
      </c>
      <c r="K330" s="298">
        <v>8</v>
      </c>
      <c r="L330" s="298"/>
      <c r="M330" s="299">
        <v>4200</v>
      </c>
      <c r="N330" s="300">
        <f t="shared" si="48"/>
        <v>200</v>
      </c>
      <c r="O330" s="484">
        <v>1</v>
      </c>
      <c r="P330" s="484">
        <v>1</v>
      </c>
      <c r="Q330" s="292">
        <f t="shared" si="49"/>
        <v>0</v>
      </c>
      <c r="R330" s="292">
        <f t="shared" si="50"/>
        <v>0</v>
      </c>
      <c r="S330" s="301">
        <f t="shared" si="45"/>
        <v>0</v>
      </c>
      <c r="T330" s="301">
        <f t="shared" si="46"/>
        <v>0</v>
      </c>
      <c r="U330" s="771" t="str">
        <f t="shared" si="47"/>
        <v>S</v>
      </c>
      <c r="V330" s="303"/>
      <c r="W330" s="304">
        <f>(Q330+R330)*'1.0-Contractblad'!$L$37</f>
        <v>0</v>
      </c>
      <c r="X330" s="304">
        <f ca="1">VLOOKUP(E330,'1.1a-Jaarprijzen'!$B$35:$Q$57,16,FALSE)*K330</f>
        <v>0</v>
      </c>
      <c r="Z330" s="773">
        <f t="shared" si="51"/>
        <v>1600</v>
      </c>
      <c r="AA330" s="492" t="str">
        <f t="shared" si="52"/>
        <v>4200-200</v>
      </c>
    </row>
    <row r="331" spans="2:27" s="490" customFormat="1" ht="15">
      <c r="B331" s="330"/>
      <c r="C331" s="331"/>
      <c r="D331" s="295">
        <f>VLOOKUP(E331,'1.1a-Jaarprijzen'!$B$13:$G$32,6,FALSE)</f>
        <v>2</v>
      </c>
      <c r="E331" s="294" t="s">
        <v>866</v>
      </c>
      <c r="F331" s="295" t="s">
        <v>605</v>
      </c>
      <c r="G331" s="295" t="s">
        <v>539</v>
      </c>
      <c r="H331" s="710" t="s">
        <v>477</v>
      </c>
      <c r="I331" s="297" t="str">
        <f t="shared" si="29"/>
        <v>sanitaire ruimte (toilet-/doucheruimte)</v>
      </c>
      <c r="J331" s="295" t="s">
        <v>700</v>
      </c>
      <c r="K331" s="298">
        <v>7</v>
      </c>
      <c r="L331" s="298"/>
      <c r="M331" s="299">
        <v>4200</v>
      </c>
      <c r="N331" s="300">
        <f t="shared" si="48"/>
        <v>200</v>
      </c>
      <c r="O331" s="484">
        <v>1</v>
      </c>
      <c r="P331" s="484">
        <v>1</v>
      </c>
      <c r="Q331" s="292">
        <f t="shared" si="49"/>
        <v>0</v>
      </c>
      <c r="R331" s="292">
        <f t="shared" si="50"/>
        <v>0</v>
      </c>
      <c r="S331" s="301">
        <f t="shared" si="45"/>
        <v>0</v>
      </c>
      <c r="T331" s="301">
        <f t="shared" si="46"/>
        <v>0</v>
      </c>
      <c r="U331" s="771" t="str">
        <f t="shared" si="47"/>
        <v>S</v>
      </c>
      <c r="V331" s="303"/>
      <c r="W331" s="304">
        <f>(Q331+R331)*'1.0-Contractblad'!$L$37</f>
        <v>0</v>
      </c>
      <c r="X331" s="304">
        <f ca="1">VLOOKUP(E331,'1.1a-Jaarprijzen'!$B$35:$Q$57,16,FALSE)*K331</f>
        <v>0</v>
      </c>
      <c r="Z331" s="773">
        <f t="shared" si="51"/>
        <v>1400</v>
      </c>
      <c r="AA331" s="492" t="str">
        <f t="shared" si="52"/>
        <v>4200-200</v>
      </c>
    </row>
    <row r="332" spans="2:27" s="490" customFormat="1" ht="15">
      <c r="B332" s="330"/>
      <c r="C332" s="331"/>
      <c r="D332" s="295">
        <f>VLOOKUP(E332,'1.1a-Jaarprijzen'!$B$13:$G$32,6,FALSE)</f>
        <v>2</v>
      </c>
      <c r="E332" s="294" t="s">
        <v>866</v>
      </c>
      <c r="F332" s="295" t="s">
        <v>605</v>
      </c>
      <c r="G332" s="295" t="s">
        <v>541</v>
      </c>
      <c r="H332" s="710" t="s">
        <v>477</v>
      </c>
      <c r="I332" s="297" t="str">
        <f t="shared" si="29"/>
        <v>sanitaire ruimte (toilet-/doucheruimte)</v>
      </c>
      <c r="J332" s="295" t="s">
        <v>700</v>
      </c>
      <c r="K332" s="298">
        <v>7</v>
      </c>
      <c r="L332" s="298"/>
      <c r="M332" s="299">
        <v>4200</v>
      </c>
      <c r="N332" s="300">
        <f t="shared" si="48"/>
        <v>200</v>
      </c>
      <c r="O332" s="484">
        <v>1</v>
      </c>
      <c r="P332" s="484">
        <v>1</v>
      </c>
      <c r="Q332" s="292">
        <f t="shared" si="49"/>
        <v>0</v>
      </c>
      <c r="R332" s="292">
        <f t="shared" si="50"/>
        <v>0</v>
      </c>
      <c r="S332" s="301">
        <f t="shared" si="45"/>
        <v>0</v>
      </c>
      <c r="T332" s="301">
        <f t="shared" si="46"/>
        <v>0</v>
      </c>
      <c r="U332" s="771" t="str">
        <f t="shared" si="47"/>
        <v>S</v>
      </c>
      <c r="V332" s="303"/>
      <c r="W332" s="304">
        <f>(Q332+R332)*'1.0-Contractblad'!$L$37</f>
        <v>0</v>
      </c>
      <c r="X332" s="304">
        <f ca="1">VLOOKUP(E332,'1.1a-Jaarprijzen'!$B$35:$Q$57,16,FALSE)*K332</f>
        <v>0</v>
      </c>
      <c r="Z332" s="773">
        <f t="shared" si="51"/>
        <v>1400</v>
      </c>
      <c r="AA332" s="492" t="str">
        <f t="shared" si="52"/>
        <v>4200-200</v>
      </c>
    </row>
    <row r="333" spans="2:27" s="490" customFormat="1" ht="15">
      <c r="B333" s="330"/>
      <c r="C333" s="331"/>
      <c r="D333" s="295">
        <f>VLOOKUP(E333,'1.1a-Jaarprijzen'!$B$13:$G$32,6,FALSE)</f>
        <v>2</v>
      </c>
      <c r="E333" s="294" t="s">
        <v>866</v>
      </c>
      <c r="F333" s="295" t="s">
        <v>605</v>
      </c>
      <c r="G333" s="295" t="s">
        <v>542</v>
      </c>
      <c r="H333" s="710" t="s">
        <v>477</v>
      </c>
      <c r="I333" s="297" t="str">
        <f t="shared" si="29"/>
        <v>sanitaire ruimte (toilet-/doucheruimte)</v>
      </c>
      <c r="J333" s="295" t="s">
        <v>700</v>
      </c>
      <c r="K333" s="298">
        <v>7</v>
      </c>
      <c r="L333" s="298"/>
      <c r="M333" s="299">
        <v>4200</v>
      </c>
      <c r="N333" s="300">
        <f t="shared" si="48"/>
        <v>200</v>
      </c>
      <c r="O333" s="484">
        <v>1</v>
      </c>
      <c r="P333" s="484">
        <v>1</v>
      </c>
      <c r="Q333" s="292">
        <f t="shared" si="49"/>
        <v>0</v>
      </c>
      <c r="R333" s="292">
        <f t="shared" si="50"/>
        <v>0</v>
      </c>
      <c r="S333" s="301">
        <f t="shared" si="45"/>
        <v>0</v>
      </c>
      <c r="T333" s="301">
        <f t="shared" si="46"/>
        <v>0</v>
      </c>
      <c r="U333" s="771" t="str">
        <f t="shared" si="47"/>
        <v>S</v>
      </c>
      <c r="V333" s="303"/>
      <c r="W333" s="304">
        <f>(Q333+R333)*'1.0-Contractblad'!$L$37</f>
        <v>0</v>
      </c>
      <c r="X333" s="304">
        <f ca="1">VLOOKUP(E333,'1.1a-Jaarprijzen'!$B$35:$Q$57,16,FALSE)*K333</f>
        <v>0</v>
      </c>
      <c r="Z333" s="773">
        <f t="shared" si="51"/>
        <v>1400</v>
      </c>
      <c r="AA333" s="492" t="str">
        <f t="shared" si="52"/>
        <v>4200-200</v>
      </c>
    </row>
    <row r="334" spans="2:27" s="490" customFormat="1" ht="15">
      <c r="B334" s="330"/>
      <c r="C334" s="331"/>
      <c r="D334" s="295">
        <f>VLOOKUP(E334,'1.1a-Jaarprijzen'!$B$13:$G$32,6,FALSE)</f>
        <v>2</v>
      </c>
      <c r="E334" s="294" t="s">
        <v>866</v>
      </c>
      <c r="F334" s="295" t="s">
        <v>605</v>
      </c>
      <c r="G334" s="295" t="s">
        <v>543</v>
      </c>
      <c r="H334" s="710" t="s">
        <v>477</v>
      </c>
      <c r="I334" s="297" t="str">
        <f t="shared" si="29"/>
        <v>sanitaire ruimte (toilet-/doucheruimte)</v>
      </c>
      <c r="J334" s="295" t="s">
        <v>700</v>
      </c>
      <c r="K334" s="298">
        <v>7</v>
      </c>
      <c r="L334" s="298"/>
      <c r="M334" s="299">
        <v>4200</v>
      </c>
      <c r="N334" s="300">
        <f t="shared" si="48"/>
        <v>200</v>
      </c>
      <c r="O334" s="484">
        <v>1</v>
      </c>
      <c r="P334" s="484">
        <v>1</v>
      </c>
      <c r="Q334" s="292">
        <f t="shared" si="49"/>
        <v>0</v>
      </c>
      <c r="R334" s="292">
        <f t="shared" si="50"/>
        <v>0</v>
      </c>
      <c r="S334" s="301">
        <f t="shared" si="45"/>
        <v>0</v>
      </c>
      <c r="T334" s="301">
        <f t="shared" si="46"/>
        <v>0</v>
      </c>
      <c r="U334" s="771" t="str">
        <f t="shared" si="47"/>
        <v>S</v>
      </c>
      <c r="V334" s="303"/>
      <c r="W334" s="304">
        <f>(Q334+R334)*'1.0-Contractblad'!$L$37</f>
        <v>0</v>
      </c>
      <c r="X334" s="304">
        <f ca="1">VLOOKUP(E334,'1.1a-Jaarprijzen'!$B$35:$Q$57,16,FALSE)*K334</f>
        <v>0</v>
      </c>
      <c r="Z334" s="773">
        <f t="shared" si="51"/>
        <v>1400</v>
      </c>
      <c r="AA334" s="492" t="str">
        <f t="shared" si="52"/>
        <v>4200-200</v>
      </c>
    </row>
    <row r="335" spans="2:27" s="490" customFormat="1" ht="15">
      <c r="B335" s="330"/>
      <c r="C335" s="331"/>
      <c r="D335" s="295">
        <f>VLOOKUP(E335,'1.1a-Jaarprijzen'!$B$13:$G$32,6,FALSE)</f>
        <v>2</v>
      </c>
      <c r="E335" s="294" t="s">
        <v>866</v>
      </c>
      <c r="F335" s="295" t="s">
        <v>605</v>
      </c>
      <c r="G335" s="295" t="s">
        <v>557</v>
      </c>
      <c r="H335" s="710" t="s">
        <v>389</v>
      </c>
      <c r="I335" s="297" t="str">
        <f t="shared" si="29"/>
        <v>administratieve -,  vergaderruimte</v>
      </c>
      <c r="J335" s="295" t="s">
        <v>48</v>
      </c>
      <c r="K335" s="298">
        <v>15</v>
      </c>
      <c r="L335" s="298"/>
      <c r="M335" s="299">
        <v>1040</v>
      </c>
      <c r="N335" s="300">
        <f t="shared" si="48"/>
        <v>40</v>
      </c>
      <c r="O335" s="484">
        <v>1</v>
      </c>
      <c r="P335" s="484">
        <v>1</v>
      </c>
      <c r="Q335" s="292">
        <f t="shared" si="49"/>
        <v>0</v>
      </c>
      <c r="R335" s="292">
        <f t="shared" si="50"/>
        <v>0</v>
      </c>
      <c r="S335" s="301">
        <f t="shared" si="45"/>
        <v>0</v>
      </c>
      <c r="T335" s="301">
        <f t="shared" si="46"/>
        <v>0</v>
      </c>
      <c r="U335" s="771" t="str">
        <f t="shared" si="47"/>
        <v>V</v>
      </c>
      <c r="V335" s="303"/>
      <c r="W335" s="304">
        <f>(Q335+R335)*'1.0-Contractblad'!$L$37</f>
        <v>0</v>
      </c>
      <c r="X335" s="304">
        <f ca="1">VLOOKUP(E335,'1.1a-Jaarprijzen'!$B$35:$Q$57,16,FALSE)*K335</f>
        <v>0</v>
      </c>
      <c r="Z335" s="773">
        <f t="shared" si="51"/>
        <v>600</v>
      </c>
      <c r="AA335" s="492" t="str">
        <f t="shared" si="52"/>
        <v>1040-40</v>
      </c>
    </row>
    <row r="336" spans="2:27" s="490" customFormat="1" ht="15">
      <c r="B336" s="330"/>
      <c r="C336" s="331"/>
      <c r="D336" s="295">
        <f>VLOOKUP(E336,'1.1a-Jaarprijzen'!$B$13:$G$32,6,FALSE)</f>
        <v>2</v>
      </c>
      <c r="E336" s="294" t="s">
        <v>866</v>
      </c>
      <c r="F336" s="295" t="s">
        <v>605</v>
      </c>
      <c r="G336" s="295" t="s">
        <v>559</v>
      </c>
      <c r="H336" s="710" t="s">
        <v>389</v>
      </c>
      <c r="I336" s="297" t="str">
        <f t="shared" si="29"/>
        <v>administratieve -,  vergaderruimte</v>
      </c>
      <c r="J336" s="295" t="s">
        <v>48</v>
      </c>
      <c r="K336" s="298">
        <v>26</v>
      </c>
      <c r="L336" s="298"/>
      <c r="M336" s="299">
        <v>1040</v>
      </c>
      <c r="N336" s="300">
        <f t="shared" si="48"/>
        <v>40</v>
      </c>
      <c r="O336" s="484">
        <v>1</v>
      </c>
      <c r="P336" s="484">
        <v>1</v>
      </c>
      <c r="Q336" s="292">
        <f t="shared" si="49"/>
        <v>0</v>
      </c>
      <c r="R336" s="292">
        <f t="shared" si="50"/>
        <v>0</v>
      </c>
      <c r="S336" s="301">
        <f t="shared" si="45"/>
        <v>0</v>
      </c>
      <c r="T336" s="301">
        <f t="shared" si="46"/>
        <v>0</v>
      </c>
      <c r="U336" s="771" t="str">
        <f t="shared" si="47"/>
        <v>V</v>
      </c>
      <c r="V336" s="303"/>
      <c r="W336" s="304">
        <f>(Q336+R336)*'1.0-Contractblad'!$L$37</f>
        <v>0</v>
      </c>
      <c r="X336" s="304">
        <f ca="1">VLOOKUP(E336,'1.1a-Jaarprijzen'!$B$35:$Q$57,16,FALSE)*K336</f>
        <v>0</v>
      </c>
      <c r="Z336" s="773">
        <f t="shared" si="51"/>
        <v>1040</v>
      </c>
      <c r="AA336" s="492" t="str">
        <f t="shared" si="52"/>
        <v>1040-40</v>
      </c>
    </row>
    <row r="337" spans="2:27" s="490" customFormat="1" ht="15">
      <c r="B337" s="330"/>
      <c r="C337" s="331"/>
      <c r="D337" s="295">
        <f>VLOOKUP(E337,'1.1a-Jaarprijzen'!$B$13:$G$32,6,FALSE)</f>
        <v>2</v>
      </c>
      <c r="E337" s="294" t="s">
        <v>866</v>
      </c>
      <c r="F337" s="295" t="s">
        <v>605</v>
      </c>
      <c r="G337" s="295" t="s">
        <v>560</v>
      </c>
      <c r="H337" s="710" t="s">
        <v>389</v>
      </c>
      <c r="I337" s="297" t="str">
        <f t="shared" si="29"/>
        <v>administratieve -,  vergaderruimte</v>
      </c>
      <c r="J337" s="295" t="s">
        <v>48</v>
      </c>
      <c r="K337" s="298">
        <v>8</v>
      </c>
      <c r="L337" s="298"/>
      <c r="M337" s="299">
        <v>1040</v>
      </c>
      <c r="N337" s="300">
        <f t="shared" si="48"/>
        <v>40</v>
      </c>
      <c r="O337" s="484">
        <v>1</v>
      </c>
      <c r="P337" s="484">
        <v>1</v>
      </c>
      <c r="Q337" s="292">
        <f t="shared" si="49"/>
        <v>0</v>
      </c>
      <c r="R337" s="292">
        <f t="shared" si="50"/>
        <v>0</v>
      </c>
      <c r="S337" s="301">
        <f t="shared" si="45"/>
        <v>0</v>
      </c>
      <c r="T337" s="301">
        <f t="shared" si="46"/>
        <v>0</v>
      </c>
      <c r="U337" s="771" t="str">
        <f t="shared" si="47"/>
        <v>V</v>
      </c>
      <c r="V337" s="303"/>
      <c r="W337" s="304">
        <f>(Q337+R337)*'1.0-Contractblad'!$L$37</f>
        <v>0</v>
      </c>
      <c r="X337" s="304">
        <f ca="1">VLOOKUP(E337,'1.1a-Jaarprijzen'!$B$35:$Q$57,16,FALSE)*K337</f>
        <v>0</v>
      </c>
      <c r="Z337" s="773">
        <f t="shared" si="51"/>
        <v>320</v>
      </c>
      <c r="AA337" s="492" t="str">
        <f t="shared" si="52"/>
        <v>1040-40</v>
      </c>
    </row>
    <row r="338" spans="2:27" s="490" customFormat="1" ht="15">
      <c r="B338" s="330"/>
      <c r="C338" s="331"/>
      <c r="D338" s="295">
        <f>VLOOKUP(E338,'1.1a-Jaarprijzen'!$B$13:$G$32,6,FALSE)</f>
        <v>2</v>
      </c>
      <c r="E338" s="294" t="s">
        <v>866</v>
      </c>
      <c r="F338" s="295" t="s">
        <v>605</v>
      </c>
      <c r="G338" s="295" t="s">
        <v>871</v>
      </c>
      <c r="H338" s="710" t="s">
        <v>1052</v>
      </c>
      <c r="I338" s="297" t="str">
        <f t="shared" si="29"/>
        <v>entree, gang, hal, repro</v>
      </c>
      <c r="J338" s="295" t="s">
        <v>48</v>
      </c>
      <c r="K338" s="298">
        <v>70</v>
      </c>
      <c r="L338" s="298"/>
      <c r="M338" s="299">
        <v>3200</v>
      </c>
      <c r="N338" s="300">
        <f t="shared" si="48"/>
        <v>200</v>
      </c>
      <c r="O338" s="484">
        <v>1</v>
      </c>
      <c r="P338" s="484">
        <v>1</v>
      </c>
      <c r="Q338" s="292">
        <f t="shared" si="49"/>
        <v>0</v>
      </c>
      <c r="R338" s="292">
        <f t="shared" si="50"/>
        <v>0</v>
      </c>
      <c r="S338" s="301">
        <f t="shared" si="45"/>
        <v>0</v>
      </c>
      <c r="T338" s="301">
        <f t="shared" si="46"/>
        <v>0</v>
      </c>
      <c r="U338" s="771" t="str">
        <f t="shared" si="47"/>
        <v>V</v>
      </c>
      <c r="V338" s="303"/>
      <c r="W338" s="304">
        <f>(Q338+R338)*'1.0-Contractblad'!$L$37</f>
        <v>0</v>
      </c>
      <c r="X338" s="304">
        <f ca="1">VLOOKUP(E338,'1.1a-Jaarprijzen'!$B$35:$Q$57,16,FALSE)*K338</f>
        <v>0</v>
      </c>
      <c r="Z338" s="773">
        <f t="shared" si="51"/>
        <v>14000</v>
      </c>
      <c r="AA338" s="492" t="str">
        <f t="shared" si="52"/>
        <v>3200-200</v>
      </c>
    </row>
    <row r="339" spans="2:27" s="490" customFormat="1" ht="15">
      <c r="B339" s="330"/>
      <c r="C339" s="331"/>
      <c r="D339" s="295">
        <f>VLOOKUP(E339,'1.1a-Jaarprijzen'!$B$13:$G$32,6,FALSE)</f>
        <v>2</v>
      </c>
      <c r="E339" s="294" t="s">
        <v>866</v>
      </c>
      <c r="F339" s="295" t="s">
        <v>605</v>
      </c>
      <c r="G339" s="295" t="s">
        <v>497</v>
      </c>
      <c r="H339" s="710" t="s">
        <v>403</v>
      </c>
      <c r="I339" s="297" t="str">
        <f t="shared" si="29"/>
        <v>leslokaal/leerplein groep 4 t/m 8</v>
      </c>
      <c r="J339" s="295" t="s">
        <v>699</v>
      </c>
      <c r="K339" s="298">
        <v>59.5</v>
      </c>
      <c r="L339" s="298"/>
      <c r="M339" s="299">
        <v>18200</v>
      </c>
      <c r="N339" s="300">
        <f t="shared" si="48"/>
        <v>200</v>
      </c>
      <c r="O339" s="484">
        <v>1</v>
      </c>
      <c r="P339" s="484">
        <v>1</v>
      </c>
      <c r="Q339" s="292">
        <f t="shared" si="49"/>
        <v>0</v>
      </c>
      <c r="R339" s="292">
        <f t="shared" si="50"/>
        <v>0</v>
      </c>
      <c r="S339" s="301">
        <f t="shared" si="45"/>
        <v>0</v>
      </c>
      <c r="T339" s="301">
        <f t="shared" si="46"/>
        <v>0</v>
      </c>
      <c r="U339" s="771" t="str">
        <f t="shared" si="47"/>
        <v>L</v>
      </c>
      <c r="V339" s="303"/>
      <c r="W339" s="304">
        <f>(Q339+R339)*'1.0-Contractblad'!$L$37</f>
        <v>0</v>
      </c>
      <c r="X339" s="304">
        <f ca="1">VLOOKUP(E339,'1.1a-Jaarprijzen'!$B$35:$Q$57,16,FALSE)*K339</f>
        <v>0</v>
      </c>
      <c r="Z339" s="773">
        <f t="shared" si="51"/>
        <v>11900</v>
      </c>
      <c r="AA339" s="492" t="str">
        <f t="shared" si="52"/>
        <v>18200-200</v>
      </c>
    </row>
    <row r="340" spans="2:27" s="490" customFormat="1" ht="15">
      <c r="B340" s="330"/>
      <c r="C340" s="331"/>
      <c r="D340" s="295">
        <f>VLOOKUP(E340,'1.1a-Jaarprijzen'!$B$13:$G$32,6,FALSE)</f>
        <v>2</v>
      </c>
      <c r="E340" s="294" t="s">
        <v>866</v>
      </c>
      <c r="F340" s="295" t="s">
        <v>605</v>
      </c>
      <c r="G340" s="295" t="s">
        <v>498</v>
      </c>
      <c r="H340" s="710" t="s">
        <v>403</v>
      </c>
      <c r="I340" s="297" t="str">
        <f t="shared" si="29"/>
        <v>leslokaal/leerplein groep 4 t/m 8</v>
      </c>
      <c r="J340" s="295" t="s">
        <v>699</v>
      </c>
      <c r="K340" s="298">
        <v>59.2</v>
      </c>
      <c r="L340" s="298"/>
      <c r="M340" s="299">
        <v>18200</v>
      </c>
      <c r="N340" s="300">
        <f t="shared" si="48"/>
        <v>200</v>
      </c>
      <c r="O340" s="484">
        <v>1</v>
      </c>
      <c r="P340" s="484">
        <v>1</v>
      </c>
      <c r="Q340" s="292">
        <f t="shared" si="49"/>
        <v>0</v>
      </c>
      <c r="R340" s="292">
        <f t="shared" si="50"/>
        <v>0</v>
      </c>
      <c r="S340" s="301">
        <f t="shared" si="45"/>
        <v>0</v>
      </c>
      <c r="T340" s="301">
        <f t="shared" si="46"/>
        <v>0</v>
      </c>
      <c r="U340" s="771" t="str">
        <f t="shared" si="47"/>
        <v>L</v>
      </c>
      <c r="V340" s="303"/>
      <c r="W340" s="304">
        <f>(Q340+R340)*'1.0-Contractblad'!$L$37</f>
        <v>0</v>
      </c>
      <c r="X340" s="304">
        <f ca="1">VLOOKUP(E340,'1.1a-Jaarprijzen'!$B$35:$Q$57,16,FALSE)*K340</f>
        <v>0</v>
      </c>
      <c r="Z340" s="773">
        <f t="shared" si="51"/>
        <v>11840</v>
      </c>
      <c r="AA340" s="492" t="str">
        <f t="shared" si="52"/>
        <v>18200-200</v>
      </c>
    </row>
    <row r="341" spans="2:27" s="490" customFormat="1" ht="15">
      <c r="B341" s="330"/>
      <c r="C341" s="331"/>
      <c r="D341" s="295">
        <f>VLOOKUP(E341,'1.1a-Jaarprijzen'!$B$13:$G$32,6,FALSE)</f>
        <v>2</v>
      </c>
      <c r="E341" s="294" t="s">
        <v>866</v>
      </c>
      <c r="F341" s="295" t="s">
        <v>605</v>
      </c>
      <c r="G341" s="295" t="s">
        <v>499</v>
      </c>
      <c r="H341" s="710" t="s">
        <v>403</v>
      </c>
      <c r="I341" s="297" t="str">
        <f t="shared" si="29"/>
        <v>leslokaal/leerplein groep 4 t/m 8</v>
      </c>
      <c r="J341" s="295" t="s">
        <v>699</v>
      </c>
      <c r="K341" s="298">
        <v>58.4</v>
      </c>
      <c r="L341" s="298"/>
      <c r="M341" s="299">
        <v>18200</v>
      </c>
      <c r="N341" s="300">
        <f t="shared" si="48"/>
        <v>200</v>
      </c>
      <c r="O341" s="484">
        <v>1</v>
      </c>
      <c r="P341" s="484">
        <v>1</v>
      </c>
      <c r="Q341" s="292">
        <f t="shared" si="49"/>
        <v>0</v>
      </c>
      <c r="R341" s="292">
        <f t="shared" si="50"/>
        <v>0</v>
      </c>
      <c r="S341" s="301">
        <f t="shared" si="45"/>
        <v>0</v>
      </c>
      <c r="T341" s="301">
        <f t="shared" si="46"/>
        <v>0</v>
      </c>
      <c r="U341" s="771" t="str">
        <f t="shared" si="47"/>
        <v>L</v>
      </c>
      <c r="V341" s="303"/>
      <c r="W341" s="304">
        <f>(Q341+R341)*'1.0-Contractblad'!$L$37</f>
        <v>0</v>
      </c>
      <c r="X341" s="304">
        <f ca="1">VLOOKUP(E341,'1.1a-Jaarprijzen'!$B$35:$Q$57,16,FALSE)*K341</f>
        <v>0</v>
      </c>
      <c r="Z341" s="773">
        <f t="shared" si="51"/>
        <v>11680</v>
      </c>
      <c r="AA341" s="492" t="str">
        <f t="shared" si="52"/>
        <v>18200-200</v>
      </c>
    </row>
    <row r="342" spans="2:27" s="490" customFormat="1" ht="15">
      <c r="B342" s="330"/>
      <c r="C342" s="331"/>
      <c r="D342" s="295">
        <f>VLOOKUP(E342,'1.1a-Jaarprijzen'!$B$13:$G$32,6,FALSE)</f>
        <v>2</v>
      </c>
      <c r="E342" s="294" t="s">
        <v>866</v>
      </c>
      <c r="F342" s="295" t="s">
        <v>605</v>
      </c>
      <c r="G342" s="295" t="s">
        <v>500</v>
      </c>
      <c r="H342" s="710" t="s">
        <v>403</v>
      </c>
      <c r="I342" s="297" t="str">
        <f t="shared" si="29"/>
        <v>leslokaal/leerplein groep 4 t/m 8</v>
      </c>
      <c r="J342" s="295" t="s">
        <v>699</v>
      </c>
      <c r="K342" s="298">
        <v>67</v>
      </c>
      <c r="L342" s="298"/>
      <c r="M342" s="299">
        <v>18200</v>
      </c>
      <c r="N342" s="300">
        <f t="shared" si="48"/>
        <v>200</v>
      </c>
      <c r="O342" s="484">
        <v>1</v>
      </c>
      <c r="P342" s="484">
        <v>1</v>
      </c>
      <c r="Q342" s="292">
        <f t="shared" si="49"/>
        <v>0</v>
      </c>
      <c r="R342" s="292">
        <f t="shared" si="50"/>
        <v>0</v>
      </c>
      <c r="S342" s="301">
        <f t="shared" si="45"/>
        <v>0</v>
      </c>
      <c r="T342" s="301">
        <f t="shared" si="46"/>
        <v>0</v>
      </c>
      <c r="U342" s="771" t="str">
        <f t="shared" si="47"/>
        <v>L</v>
      </c>
      <c r="V342" s="303"/>
      <c r="W342" s="304">
        <f>(Q342+R342)*'1.0-Contractblad'!$L$37</f>
        <v>0</v>
      </c>
      <c r="X342" s="304">
        <f ca="1">VLOOKUP(E342,'1.1a-Jaarprijzen'!$B$35:$Q$57,16,FALSE)*K342</f>
        <v>0</v>
      </c>
      <c r="Z342" s="773">
        <f t="shared" si="51"/>
        <v>13400</v>
      </c>
      <c r="AA342" s="492" t="str">
        <f t="shared" si="52"/>
        <v>18200-200</v>
      </c>
    </row>
    <row r="343" spans="2:27" s="490" customFormat="1" ht="15">
      <c r="B343" s="330"/>
      <c r="C343" s="331"/>
      <c r="D343" s="295">
        <f>VLOOKUP(E343,'1.1a-Jaarprijzen'!$B$13:$G$32,6,FALSE)</f>
        <v>2</v>
      </c>
      <c r="E343" s="294" t="s">
        <v>866</v>
      </c>
      <c r="F343" s="295" t="s">
        <v>605</v>
      </c>
      <c r="G343" s="295" t="s">
        <v>501</v>
      </c>
      <c r="H343" s="710" t="s">
        <v>403</v>
      </c>
      <c r="I343" s="297" t="str">
        <f t="shared" si="29"/>
        <v>leslokaal/leerplein groep 4 t/m 8</v>
      </c>
      <c r="J343" s="295" t="s">
        <v>699</v>
      </c>
      <c r="K343" s="298">
        <v>59.6</v>
      </c>
      <c r="L343" s="298"/>
      <c r="M343" s="299">
        <v>18200</v>
      </c>
      <c r="N343" s="300">
        <f t="shared" si="48"/>
        <v>200</v>
      </c>
      <c r="O343" s="484">
        <v>1</v>
      </c>
      <c r="P343" s="484">
        <v>1</v>
      </c>
      <c r="Q343" s="292">
        <f t="shared" si="49"/>
        <v>0</v>
      </c>
      <c r="R343" s="292">
        <f t="shared" si="50"/>
        <v>0</v>
      </c>
      <c r="S343" s="301">
        <f t="shared" si="45"/>
        <v>0</v>
      </c>
      <c r="T343" s="301">
        <f t="shared" si="46"/>
        <v>0</v>
      </c>
      <c r="U343" s="771" t="str">
        <f t="shared" si="47"/>
        <v>L</v>
      </c>
      <c r="V343" s="303"/>
      <c r="W343" s="304">
        <f>(Q343+R343)*'1.0-Contractblad'!$L$37</f>
        <v>0</v>
      </c>
      <c r="X343" s="304">
        <f ca="1">VLOOKUP(E343,'1.1a-Jaarprijzen'!$B$35:$Q$57,16,FALSE)*K343</f>
        <v>0</v>
      </c>
      <c r="Z343" s="773">
        <f t="shared" si="51"/>
        <v>11920</v>
      </c>
      <c r="AA343" s="492" t="str">
        <f t="shared" si="52"/>
        <v>18200-200</v>
      </c>
    </row>
    <row r="344" spans="2:27" s="490" customFormat="1" ht="15">
      <c r="B344" s="330"/>
      <c r="C344" s="331"/>
      <c r="D344" s="295">
        <f>VLOOKUP(E344,'1.1a-Jaarprijzen'!$B$13:$G$32,6,FALSE)</f>
        <v>2</v>
      </c>
      <c r="E344" s="294" t="s">
        <v>866</v>
      </c>
      <c r="F344" s="295" t="s">
        <v>605</v>
      </c>
      <c r="G344" s="295" t="s">
        <v>502</v>
      </c>
      <c r="H344" s="710" t="s">
        <v>403</v>
      </c>
      <c r="I344" s="297" t="str">
        <f t="shared" si="29"/>
        <v>leslokaal/leerplein groep 4 t/m 8</v>
      </c>
      <c r="J344" s="295" t="s">
        <v>699</v>
      </c>
      <c r="K344" s="298">
        <v>60.2</v>
      </c>
      <c r="L344" s="298"/>
      <c r="M344" s="299">
        <v>18200</v>
      </c>
      <c r="N344" s="300">
        <f t="shared" si="48"/>
        <v>200</v>
      </c>
      <c r="O344" s="484">
        <v>1</v>
      </c>
      <c r="P344" s="484">
        <v>1</v>
      </c>
      <c r="Q344" s="292">
        <f t="shared" si="49"/>
        <v>0</v>
      </c>
      <c r="R344" s="292">
        <f t="shared" si="50"/>
        <v>0</v>
      </c>
      <c r="S344" s="301">
        <f t="shared" si="45"/>
        <v>0</v>
      </c>
      <c r="T344" s="301">
        <f t="shared" si="46"/>
        <v>0</v>
      </c>
      <c r="U344" s="771" t="str">
        <f t="shared" si="47"/>
        <v>L</v>
      </c>
      <c r="V344" s="303"/>
      <c r="W344" s="304">
        <f>(Q344+R344)*'1.0-Contractblad'!$L$37</f>
        <v>0</v>
      </c>
      <c r="X344" s="304">
        <f ca="1">VLOOKUP(E344,'1.1a-Jaarprijzen'!$B$35:$Q$57,16,FALSE)*K344</f>
        <v>0</v>
      </c>
      <c r="Z344" s="773">
        <f t="shared" si="51"/>
        <v>12040</v>
      </c>
      <c r="AA344" s="492" t="str">
        <f t="shared" si="52"/>
        <v>18200-200</v>
      </c>
    </row>
    <row r="345" spans="2:27" s="490" customFormat="1" ht="15">
      <c r="B345" s="330"/>
      <c r="C345" s="331"/>
      <c r="D345" s="295">
        <f>VLOOKUP(E345,'1.1a-Jaarprijzen'!$B$13:$G$32,6,FALSE)</f>
        <v>2</v>
      </c>
      <c r="E345" s="294" t="s">
        <v>866</v>
      </c>
      <c r="F345" s="295" t="s">
        <v>605</v>
      </c>
      <c r="G345" s="295" t="s">
        <v>503</v>
      </c>
      <c r="H345" s="710" t="s">
        <v>403</v>
      </c>
      <c r="I345" s="297" t="str">
        <f t="shared" si="29"/>
        <v>leslokaal/leerplein groep 4 t/m 8</v>
      </c>
      <c r="J345" s="295" t="s">
        <v>699</v>
      </c>
      <c r="K345" s="298">
        <v>58</v>
      </c>
      <c r="L345" s="298"/>
      <c r="M345" s="299">
        <v>18200</v>
      </c>
      <c r="N345" s="300">
        <f t="shared" si="48"/>
        <v>200</v>
      </c>
      <c r="O345" s="484">
        <v>1</v>
      </c>
      <c r="P345" s="484">
        <v>1</v>
      </c>
      <c r="Q345" s="292">
        <f t="shared" si="49"/>
        <v>0</v>
      </c>
      <c r="R345" s="292">
        <f t="shared" si="50"/>
        <v>0</v>
      </c>
      <c r="S345" s="301">
        <f t="shared" si="45"/>
        <v>0</v>
      </c>
      <c r="T345" s="301">
        <f t="shared" si="46"/>
        <v>0</v>
      </c>
      <c r="U345" s="771" t="str">
        <f t="shared" si="47"/>
        <v>L</v>
      </c>
      <c r="V345" s="303"/>
      <c r="W345" s="304">
        <f>(Q345+R345)*'1.0-Contractblad'!$L$37</f>
        <v>0</v>
      </c>
      <c r="X345" s="304">
        <f ca="1">VLOOKUP(E345,'1.1a-Jaarprijzen'!$B$35:$Q$57,16,FALSE)*K345</f>
        <v>0</v>
      </c>
      <c r="Z345" s="773">
        <f t="shared" si="51"/>
        <v>11600</v>
      </c>
      <c r="AA345" s="492" t="str">
        <f t="shared" si="52"/>
        <v>18200-200</v>
      </c>
    </row>
    <row r="346" spans="2:27" s="490" customFormat="1" ht="15">
      <c r="B346" s="330"/>
      <c r="C346" s="331"/>
      <c r="D346" s="295">
        <f>VLOOKUP(E346,'1.1a-Jaarprijzen'!$B$13:$G$32,6,FALSE)</f>
        <v>2</v>
      </c>
      <c r="E346" s="294" t="s">
        <v>866</v>
      </c>
      <c r="F346" s="295" t="s">
        <v>605</v>
      </c>
      <c r="G346" s="295" t="s">
        <v>872</v>
      </c>
      <c r="H346" s="710" t="s">
        <v>403</v>
      </c>
      <c r="I346" s="297" t="str">
        <f t="shared" si="29"/>
        <v>leslokaal groep 1 t/m 3</v>
      </c>
      <c r="J346" s="295" t="s">
        <v>699</v>
      </c>
      <c r="K346" s="298">
        <v>58</v>
      </c>
      <c r="L346" s="298"/>
      <c r="M346" s="299">
        <v>7200</v>
      </c>
      <c r="N346" s="300">
        <f t="shared" si="48"/>
        <v>200</v>
      </c>
      <c r="O346" s="484">
        <v>1</v>
      </c>
      <c r="P346" s="484">
        <v>1</v>
      </c>
      <c r="Q346" s="292">
        <f t="shared" si="49"/>
        <v>0</v>
      </c>
      <c r="R346" s="292">
        <f t="shared" si="50"/>
        <v>0</v>
      </c>
      <c r="S346" s="301">
        <f t="shared" si="45"/>
        <v>0</v>
      </c>
      <c r="T346" s="301">
        <f t="shared" si="46"/>
        <v>0</v>
      </c>
      <c r="U346" s="771" t="str">
        <f t="shared" si="47"/>
        <v>L</v>
      </c>
      <c r="V346" s="303"/>
      <c r="W346" s="304">
        <f>(Q346+R346)*'1.0-Contractblad'!$L$37</f>
        <v>0</v>
      </c>
      <c r="X346" s="304">
        <f ca="1">VLOOKUP(E346,'1.1a-Jaarprijzen'!$B$35:$Q$57,16,FALSE)*K346</f>
        <v>0</v>
      </c>
      <c r="Z346" s="773">
        <f t="shared" si="51"/>
        <v>11600</v>
      </c>
      <c r="AA346" s="492" t="str">
        <f t="shared" si="52"/>
        <v>7200-200</v>
      </c>
    </row>
    <row r="347" spans="2:27" s="490" customFormat="1" ht="15">
      <c r="B347" s="330"/>
      <c r="C347" s="331"/>
      <c r="D347" s="295">
        <f>VLOOKUP(E347,'1.1a-Jaarprijzen'!$B$13:$G$32,6,FALSE)</f>
        <v>2</v>
      </c>
      <c r="E347" s="294" t="s">
        <v>866</v>
      </c>
      <c r="F347" s="295" t="s">
        <v>605</v>
      </c>
      <c r="G347" s="295" t="s">
        <v>510</v>
      </c>
      <c r="H347" s="710" t="s">
        <v>390</v>
      </c>
      <c r="I347" s="297" t="str">
        <f t="shared" si="29"/>
        <v>speellokaal</v>
      </c>
      <c r="J347" s="295" t="s">
        <v>462</v>
      </c>
      <c r="K347" s="298">
        <v>87.1</v>
      </c>
      <c r="L347" s="298"/>
      <c r="M347" s="299">
        <v>8200</v>
      </c>
      <c r="N347" s="300">
        <f t="shared" si="48"/>
        <v>200</v>
      </c>
      <c r="O347" s="484">
        <v>1</v>
      </c>
      <c r="P347" s="484">
        <v>1</v>
      </c>
      <c r="Q347" s="292">
        <f t="shared" si="49"/>
        <v>0</v>
      </c>
      <c r="R347" s="292">
        <f t="shared" si="50"/>
        <v>0</v>
      </c>
      <c r="S347" s="301">
        <f t="shared" si="45"/>
        <v>0</v>
      </c>
      <c r="T347" s="301">
        <f t="shared" si="46"/>
        <v>0</v>
      </c>
      <c r="U347" s="771" t="str">
        <f t="shared" si="47"/>
        <v>L</v>
      </c>
      <c r="V347" s="303"/>
      <c r="W347" s="304">
        <f>(Q347+R347)*'1.0-Contractblad'!$L$37</f>
        <v>0</v>
      </c>
      <c r="X347" s="304">
        <f ca="1">VLOOKUP(E347,'1.1a-Jaarprijzen'!$B$35:$Q$57,16,FALSE)*K347</f>
        <v>0</v>
      </c>
      <c r="Z347" s="773">
        <f t="shared" si="51"/>
        <v>17420</v>
      </c>
      <c r="AA347" s="492" t="str">
        <f t="shared" si="52"/>
        <v>8200-200</v>
      </c>
    </row>
    <row r="348" spans="2:27" s="490" customFormat="1" ht="15">
      <c r="B348" s="330"/>
      <c r="C348" s="331"/>
      <c r="D348" s="295">
        <f>VLOOKUP(E348,'1.1a-Jaarprijzen'!$B$13:$G$32,6,FALSE)</f>
        <v>2</v>
      </c>
      <c r="E348" s="294" t="s">
        <v>866</v>
      </c>
      <c r="F348" s="295" t="s">
        <v>605</v>
      </c>
      <c r="G348" s="295" t="s">
        <v>525</v>
      </c>
      <c r="H348" s="710" t="s">
        <v>670</v>
      </c>
      <c r="I348" s="297" t="str">
        <f t="shared" si="29"/>
        <v>entree, gang, hal, repro</v>
      </c>
      <c r="J348" s="295" t="s">
        <v>699</v>
      </c>
      <c r="K348" s="298">
        <v>6.3</v>
      </c>
      <c r="L348" s="298"/>
      <c r="M348" s="299">
        <v>3200</v>
      </c>
      <c r="N348" s="300">
        <f t="shared" si="48"/>
        <v>200</v>
      </c>
      <c r="O348" s="484">
        <v>1</v>
      </c>
      <c r="P348" s="484">
        <v>1</v>
      </c>
      <c r="Q348" s="292">
        <f t="shared" si="49"/>
        <v>0</v>
      </c>
      <c r="R348" s="292">
        <f t="shared" si="50"/>
        <v>0</v>
      </c>
      <c r="S348" s="301">
        <f t="shared" si="45"/>
        <v>0</v>
      </c>
      <c r="T348" s="301">
        <f t="shared" si="46"/>
        <v>0</v>
      </c>
      <c r="U348" s="771" t="str">
        <f t="shared" si="47"/>
        <v>V</v>
      </c>
      <c r="V348" s="303"/>
      <c r="W348" s="304">
        <f>(Q348+R348)*'1.0-Contractblad'!$L$37</f>
        <v>0</v>
      </c>
      <c r="X348" s="304">
        <f ca="1">VLOOKUP(E348,'1.1a-Jaarprijzen'!$B$35:$Q$57,16,FALSE)*K348</f>
        <v>0</v>
      </c>
      <c r="Z348" s="773">
        <f t="shared" si="51"/>
        <v>1260</v>
      </c>
      <c r="AA348" s="492" t="str">
        <f t="shared" si="52"/>
        <v>3200-200</v>
      </c>
    </row>
    <row r="349" spans="2:27" s="490" customFormat="1" ht="15">
      <c r="B349" s="330"/>
      <c r="C349" s="331"/>
      <c r="D349" s="295">
        <f>VLOOKUP(E349,'1.1a-Jaarprijzen'!$B$13:$G$32,6,FALSE)</f>
        <v>2</v>
      </c>
      <c r="E349" s="294" t="s">
        <v>866</v>
      </c>
      <c r="F349" s="295" t="s">
        <v>605</v>
      </c>
      <c r="G349" s="295" t="s">
        <v>873</v>
      </c>
      <c r="H349" s="710" t="s">
        <v>670</v>
      </c>
      <c r="I349" s="297" t="str">
        <f t="shared" si="29"/>
        <v>entree, gang, hal, repro</v>
      </c>
      <c r="J349" s="295" t="s">
        <v>699</v>
      </c>
      <c r="K349" s="298">
        <v>5.0999999999999996</v>
      </c>
      <c r="L349" s="298"/>
      <c r="M349" s="299">
        <v>3200</v>
      </c>
      <c r="N349" s="300">
        <f t="shared" si="48"/>
        <v>200</v>
      </c>
      <c r="O349" s="484">
        <v>1</v>
      </c>
      <c r="P349" s="484">
        <v>1</v>
      </c>
      <c r="Q349" s="292">
        <f t="shared" si="49"/>
        <v>0</v>
      </c>
      <c r="R349" s="292">
        <f t="shared" si="50"/>
        <v>0</v>
      </c>
      <c r="S349" s="301">
        <f t="shared" si="45"/>
        <v>0</v>
      </c>
      <c r="T349" s="301">
        <f t="shared" si="46"/>
        <v>0</v>
      </c>
      <c r="U349" s="771" t="str">
        <f t="shared" si="47"/>
        <v>V</v>
      </c>
      <c r="V349" s="303"/>
      <c r="W349" s="304">
        <f>(Q349+R349)*'1.0-Contractblad'!$L$37</f>
        <v>0</v>
      </c>
      <c r="X349" s="304">
        <f ca="1">VLOOKUP(E349,'1.1a-Jaarprijzen'!$B$35:$Q$57,16,FALSE)*K349</f>
        <v>0</v>
      </c>
      <c r="Z349" s="773">
        <f t="shared" si="51"/>
        <v>1019.9999999999999</v>
      </c>
      <c r="AA349" s="492" t="str">
        <f t="shared" si="52"/>
        <v>3200-200</v>
      </c>
    </row>
    <row r="350" spans="2:27" s="490" customFormat="1" ht="15">
      <c r="B350" s="330"/>
      <c r="C350" s="331"/>
      <c r="D350" s="295">
        <f>VLOOKUP(E350,'1.1a-Jaarprijzen'!$B$13:$G$32,6,FALSE)</f>
        <v>2</v>
      </c>
      <c r="E350" s="294" t="s">
        <v>866</v>
      </c>
      <c r="F350" s="295" t="s">
        <v>605</v>
      </c>
      <c r="G350" s="295" t="s">
        <v>690</v>
      </c>
      <c r="H350" s="710" t="s">
        <v>387</v>
      </c>
      <c r="I350" s="297" t="str">
        <f t="shared" si="29"/>
        <v>entree, gang, hal, repro</v>
      </c>
      <c r="J350" s="295" t="s">
        <v>699</v>
      </c>
      <c r="K350" s="298">
        <v>10.5</v>
      </c>
      <c r="L350" s="298"/>
      <c r="M350" s="299">
        <v>3200</v>
      </c>
      <c r="N350" s="300">
        <f t="shared" si="48"/>
        <v>200</v>
      </c>
      <c r="O350" s="484">
        <v>1</v>
      </c>
      <c r="P350" s="484">
        <v>1</v>
      </c>
      <c r="Q350" s="292">
        <f t="shared" si="49"/>
        <v>0</v>
      </c>
      <c r="R350" s="292">
        <f t="shared" si="50"/>
        <v>0</v>
      </c>
      <c r="S350" s="301">
        <f t="shared" si="45"/>
        <v>0</v>
      </c>
      <c r="T350" s="301">
        <f t="shared" si="46"/>
        <v>0</v>
      </c>
      <c r="U350" s="771" t="str">
        <f t="shared" si="47"/>
        <v>V</v>
      </c>
      <c r="V350" s="303"/>
      <c r="W350" s="304">
        <f>(Q350+R350)*'1.0-Contractblad'!$L$37</f>
        <v>0</v>
      </c>
      <c r="X350" s="304">
        <f ca="1">VLOOKUP(E350,'1.1a-Jaarprijzen'!$B$35:$Q$57,16,FALSE)*K350</f>
        <v>0</v>
      </c>
      <c r="Z350" s="773">
        <f t="shared" si="51"/>
        <v>2100</v>
      </c>
      <c r="AA350" s="492" t="str">
        <f t="shared" si="52"/>
        <v>3200-200</v>
      </c>
    </row>
    <row r="351" spans="2:27" s="490" customFormat="1" ht="15">
      <c r="B351" s="330"/>
      <c r="C351" s="331"/>
      <c r="D351" s="295">
        <f>VLOOKUP(E351,'1.1a-Jaarprijzen'!$B$13:$G$32,6,FALSE)</f>
        <v>2</v>
      </c>
      <c r="E351" s="294" t="s">
        <v>866</v>
      </c>
      <c r="F351" s="295" t="s">
        <v>605</v>
      </c>
      <c r="G351" s="295" t="s">
        <v>529</v>
      </c>
      <c r="H351" s="710" t="s">
        <v>387</v>
      </c>
      <c r="I351" s="297" t="str">
        <f t="shared" si="29"/>
        <v>entree, gang, hal, repro</v>
      </c>
      <c r="J351" s="295" t="s">
        <v>699</v>
      </c>
      <c r="K351" s="298">
        <v>22.7</v>
      </c>
      <c r="L351" s="298"/>
      <c r="M351" s="299">
        <v>3200</v>
      </c>
      <c r="N351" s="300">
        <f t="shared" si="48"/>
        <v>200</v>
      </c>
      <c r="O351" s="484">
        <v>1</v>
      </c>
      <c r="P351" s="484">
        <v>1</v>
      </c>
      <c r="Q351" s="292">
        <f t="shared" si="49"/>
        <v>0</v>
      </c>
      <c r="R351" s="292">
        <f t="shared" si="50"/>
        <v>0</v>
      </c>
      <c r="S351" s="301">
        <f t="shared" si="45"/>
        <v>0</v>
      </c>
      <c r="T351" s="301">
        <f t="shared" si="46"/>
        <v>0</v>
      </c>
      <c r="U351" s="771" t="str">
        <f t="shared" si="47"/>
        <v>V</v>
      </c>
      <c r="V351" s="303"/>
      <c r="W351" s="304">
        <f>(Q351+R351)*'1.0-Contractblad'!$L$37</f>
        <v>0</v>
      </c>
      <c r="X351" s="304">
        <f ca="1">VLOOKUP(E351,'1.1a-Jaarprijzen'!$B$35:$Q$57,16,FALSE)*K351</f>
        <v>0</v>
      </c>
      <c r="Z351" s="773">
        <f t="shared" si="51"/>
        <v>4540</v>
      </c>
      <c r="AA351" s="492" t="str">
        <f t="shared" si="52"/>
        <v>3200-200</v>
      </c>
    </row>
    <row r="352" spans="2:27" s="490" customFormat="1" ht="15">
      <c r="B352" s="330"/>
      <c r="C352" s="331"/>
      <c r="D352" s="295">
        <f>VLOOKUP(E352,'1.1a-Jaarprijzen'!$B$13:$G$32,6,FALSE)</f>
        <v>2</v>
      </c>
      <c r="E352" s="294" t="s">
        <v>866</v>
      </c>
      <c r="F352" s="295" t="s">
        <v>605</v>
      </c>
      <c r="G352" s="295" t="s">
        <v>530</v>
      </c>
      <c r="H352" s="710" t="s">
        <v>387</v>
      </c>
      <c r="I352" s="297" t="str">
        <f t="shared" si="29"/>
        <v>entree, gang, hal, repro</v>
      </c>
      <c r="J352" s="295" t="s">
        <v>699</v>
      </c>
      <c r="K352" s="298">
        <v>6.7</v>
      </c>
      <c r="L352" s="298"/>
      <c r="M352" s="299">
        <v>3200</v>
      </c>
      <c r="N352" s="300">
        <f t="shared" si="48"/>
        <v>200</v>
      </c>
      <c r="O352" s="484">
        <v>1</v>
      </c>
      <c r="P352" s="484">
        <v>1</v>
      </c>
      <c r="Q352" s="292">
        <f t="shared" si="49"/>
        <v>0</v>
      </c>
      <c r="R352" s="292">
        <f t="shared" si="50"/>
        <v>0</v>
      </c>
      <c r="S352" s="301">
        <f t="shared" si="45"/>
        <v>0</v>
      </c>
      <c r="T352" s="301">
        <f t="shared" si="46"/>
        <v>0</v>
      </c>
      <c r="U352" s="771" t="str">
        <f t="shared" si="47"/>
        <v>V</v>
      </c>
      <c r="V352" s="303"/>
      <c r="W352" s="304">
        <f>(Q352+R352)*'1.0-Contractblad'!$L$37</f>
        <v>0</v>
      </c>
      <c r="X352" s="304">
        <f ca="1">VLOOKUP(E352,'1.1a-Jaarprijzen'!$B$35:$Q$57,16,FALSE)*K352</f>
        <v>0</v>
      </c>
      <c r="Z352" s="773">
        <f t="shared" si="51"/>
        <v>1340</v>
      </c>
      <c r="AA352" s="492" t="str">
        <f t="shared" si="52"/>
        <v>3200-200</v>
      </c>
    </row>
    <row r="353" spans="2:27" s="490" customFormat="1" ht="15">
      <c r="B353" s="330"/>
      <c r="C353" s="331"/>
      <c r="D353" s="295">
        <f>VLOOKUP(E353,'1.1a-Jaarprijzen'!$B$13:$G$32,6,FALSE)</f>
        <v>2</v>
      </c>
      <c r="E353" s="294" t="s">
        <v>866</v>
      </c>
      <c r="F353" s="295" t="s">
        <v>605</v>
      </c>
      <c r="G353" s="295" t="s">
        <v>531</v>
      </c>
      <c r="H353" s="710" t="s">
        <v>387</v>
      </c>
      <c r="I353" s="297" t="str">
        <f t="shared" si="29"/>
        <v>entree, gang, hal, repro</v>
      </c>
      <c r="J353" s="295" t="s">
        <v>699</v>
      </c>
      <c r="K353" s="298">
        <v>46.5</v>
      </c>
      <c r="L353" s="298"/>
      <c r="M353" s="299">
        <v>3200</v>
      </c>
      <c r="N353" s="300">
        <f t="shared" si="48"/>
        <v>200</v>
      </c>
      <c r="O353" s="484">
        <v>1</v>
      </c>
      <c r="P353" s="484">
        <v>1</v>
      </c>
      <c r="Q353" s="292">
        <f t="shared" si="49"/>
        <v>0</v>
      </c>
      <c r="R353" s="292">
        <f t="shared" si="50"/>
        <v>0</v>
      </c>
      <c r="S353" s="301">
        <f t="shared" si="45"/>
        <v>0</v>
      </c>
      <c r="T353" s="301">
        <f t="shared" si="46"/>
        <v>0</v>
      </c>
      <c r="U353" s="771" t="str">
        <f t="shared" si="47"/>
        <v>V</v>
      </c>
      <c r="V353" s="303"/>
      <c r="W353" s="304">
        <f>(Q353+R353)*'1.0-Contractblad'!$L$37</f>
        <v>0</v>
      </c>
      <c r="X353" s="304">
        <f ca="1">VLOOKUP(E353,'1.1a-Jaarprijzen'!$B$35:$Q$57,16,FALSE)*K353</f>
        <v>0</v>
      </c>
      <c r="Z353" s="773">
        <f t="shared" si="51"/>
        <v>9300</v>
      </c>
      <c r="AA353" s="492" t="str">
        <f t="shared" si="52"/>
        <v>3200-200</v>
      </c>
    </row>
    <row r="354" spans="2:27" s="490" customFormat="1" ht="15">
      <c r="B354" s="330"/>
      <c r="C354" s="331"/>
      <c r="D354" s="295">
        <f>VLOOKUP(E354,'1.1a-Jaarprijzen'!$B$13:$G$32,6,FALSE)</f>
        <v>2</v>
      </c>
      <c r="E354" s="294" t="s">
        <v>866</v>
      </c>
      <c r="F354" s="295" t="s">
        <v>605</v>
      </c>
      <c r="G354" s="295" t="s">
        <v>532</v>
      </c>
      <c r="H354" s="710" t="s">
        <v>387</v>
      </c>
      <c r="I354" s="297" t="str">
        <f t="shared" si="29"/>
        <v>entree, gang, hal, repro</v>
      </c>
      <c r="J354" s="295" t="s">
        <v>699</v>
      </c>
      <c r="K354" s="298">
        <v>77.8</v>
      </c>
      <c r="L354" s="298"/>
      <c r="M354" s="299">
        <v>3200</v>
      </c>
      <c r="N354" s="300">
        <f t="shared" si="48"/>
        <v>200</v>
      </c>
      <c r="O354" s="484">
        <v>1</v>
      </c>
      <c r="P354" s="484">
        <v>1</v>
      </c>
      <c r="Q354" s="292">
        <f t="shared" si="49"/>
        <v>0</v>
      </c>
      <c r="R354" s="292">
        <f t="shared" si="50"/>
        <v>0</v>
      </c>
      <c r="S354" s="301">
        <f t="shared" si="45"/>
        <v>0</v>
      </c>
      <c r="T354" s="301">
        <f t="shared" si="46"/>
        <v>0</v>
      </c>
      <c r="U354" s="771" t="str">
        <f t="shared" si="47"/>
        <v>V</v>
      </c>
      <c r="V354" s="303"/>
      <c r="W354" s="304">
        <f>(Q354+R354)*'1.0-Contractblad'!$L$37</f>
        <v>0</v>
      </c>
      <c r="X354" s="304">
        <f ca="1">VLOOKUP(E354,'1.1a-Jaarprijzen'!$B$35:$Q$57,16,FALSE)*K354</f>
        <v>0</v>
      </c>
      <c r="Z354" s="773">
        <f t="shared" si="51"/>
        <v>15560</v>
      </c>
      <c r="AA354" s="492" t="str">
        <f t="shared" si="52"/>
        <v>3200-200</v>
      </c>
    </row>
    <row r="355" spans="2:27" s="490" customFormat="1" ht="15">
      <c r="B355" s="330"/>
      <c r="C355" s="331"/>
      <c r="D355" s="295">
        <f>VLOOKUP(E355,'1.1a-Jaarprijzen'!$B$13:$G$32,6,FALSE)</f>
        <v>2</v>
      </c>
      <c r="E355" s="294" t="s">
        <v>866</v>
      </c>
      <c r="F355" s="295" t="s">
        <v>605</v>
      </c>
      <c r="G355" s="295" t="s">
        <v>868</v>
      </c>
      <c r="H355" s="710" t="s">
        <v>396</v>
      </c>
      <c r="I355" s="297" t="str">
        <f t="shared" si="29"/>
        <v>aula, gemeenschappelijke ruimte, bibliotheek</v>
      </c>
      <c r="J355" s="295" t="s">
        <v>699</v>
      </c>
      <c r="K355" s="298">
        <v>125.5</v>
      </c>
      <c r="L355" s="298"/>
      <c r="M355" s="299">
        <v>2200</v>
      </c>
      <c r="N355" s="300">
        <f t="shared" si="48"/>
        <v>200</v>
      </c>
      <c r="O355" s="484">
        <v>1</v>
      </c>
      <c r="P355" s="484">
        <v>1</v>
      </c>
      <c r="Q355" s="292">
        <f t="shared" si="49"/>
        <v>0</v>
      </c>
      <c r="R355" s="292">
        <f t="shared" si="50"/>
        <v>0</v>
      </c>
      <c r="S355" s="301">
        <f t="shared" si="45"/>
        <v>0</v>
      </c>
      <c r="T355" s="301">
        <f t="shared" si="46"/>
        <v>0</v>
      </c>
      <c r="U355" s="771" t="str">
        <f t="shared" si="47"/>
        <v>V</v>
      </c>
      <c r="V355" s="303"/>
      <c r="W355" s="304">
        <f>(Q355+R355)*'1.0-Contractblad'!$L$37</f>
        <v>0</v>
      </c>
      <c r="X355" s="304">
        <f ca="1">VLOOKUP(E355,'1.1a-Jaarprijzen'!$B$35:$Q$57,16,FALSE)*K355</f>
        <v>0</v>
      </c>
      <c r="Z355" s="773">
        <f t="shared" si="51"/>
        <v>25100</v>
      </c>
      <c r="AA355" s="492" t="str">
        <f t="shared" si="52"/>
        <v>2200-200</v>
      </c>
    </row>
    <row r="356" spans="2:27" s="490" customFormat="1" ht="15">
      <c r="B356" s="330"/>
      <c r="C356" s="331"/>
      <c r="D356" s="295">
        <f>VLOOKUP(E356,'1.1a-Jaarprijzen'!$B$13:$G$32,6,FALSE)</f>
        <v>2</v>
      </c>
      <c r="E356" s="294" t="s">
        <v>866</v>
      </c>
      <c r="F356" s="295" t="s">
        <v>605</v>
      </c>
      <c r="G356" s="295" t="s">
        <v>544</v>
      </c>
      <c r="H356" s="710" t="s">
        <v>549</v>
      </c>
      <c r="I356" s="297" t="str">
        <f t="shared" si="29"/>
        <v>sanitaire ruimte (toilet-/doucheruimte)</v>
      </c>
      <c r="J356" s="295" t="s">
        <v>700</v>
      </c>
      <c r="K356" s="298">
        <v>8</v>
      </c>
      <c r="L356" s="298"/>
      <c r="M356" s="299">
        <v>4200</v>
      </c>
      <c r="N356" s="300">
        <f t="shared" si="48"/>
        <v>200</v>
      </c>
      <c r="O356" s="484">
        <v>1</v>
      </c>
      <c r="P356" s="484">
        <v>1</v>
      </c>
      <c r="Q356" s="292">
        <f t="shared" si="49"/>
        <v>0</v>
      </c>
      <c r="R356" s="292">
        <f t="shared" si="50"/>
        <v>0</v>
      </c>
      <c r="S356" s="301">
        <f t="shared" si="45"/>
        <v>0</v>
      </c>
      <c r="T356" s="301">
        <f t="shared" si="46"/>
        <v>0</v>
      </c>
      <c r="U356" s="771" t="str">
        <f t="shared" si="47"/>
        <v>S</v>
      </c>
      <c r="V356" s="303"/>
      <c r="W356" s="304">
        <f>(Q356+R356)*'1.0-Contractblad'!$L$37</f>
        <v>0</v>
      </c>
      <c r="X356" s="304">
        <f ca="1">VLOOKUP(E356,'1.1a-Jaarprijzen'!$B$35:$Q$57,16,FALSE)*K356</f>
        <v>0</v>
      </c>
      <c r="Z356" s="773">
        <f t="shared" si="51"/>
        <v>1600</v>
      </c>
      <c r="AA356" s="492" t="str">
        <f t="shared" si="52"/>
        <v>4200-200</v>
      </c>
    </row>
    <row r="357" spans="2:27" s="490" customFormat="1" ht="15">
      <c r="B357" s="330"/>
      <c r="C357" s="331"/>
      <c r="D357" s="295">
        <f>VLOOKUP(E357,'1.1a-Jaarprijzen'!$B$13:$G$32,6,FALSE)</f>
        <v>2</v>
      </c>
      <c r="E357" s="294" t="s">
        <v>866</v>
      </c>
      <c r="F357" s="295" t="s">
        <v>605</v>
      </c>
      <c r="G357" s="295" t="s">
        <v>545</v>
      </c>
      <c r="H357" s="710" t="s">
        <v>674</v>
      </c>
      <c r="I357" s="297" t="str">
        <f t="shared" si="29"/>
        <v>sanitaire ruimte (toilet-/doucheruimte)</v>
      </c>
      <c r="J357" s="295" t="s">
        <v>700</v>
      </c>
      <c r="K357" s="298">
        <v>4.2</v>
      </c>
      <c r="L357" s="298"/>
      <c r="M357" s="299">
        <v>4200</v>
      </c>
      <c r="N357" s="300">
        <f t="shared" si="48"/>
        <v>200</v>
      </c>
      <c r="O357" s="484">
        <v>1</v>
      </c>
      <c r="P357" s="484">
        <v>1</v>
      </c>
      <c r="Q357" s="292">
        <f t="shared" si="49"/>
        <v>0</v>
      </c>
      <c r="R357" s="292">
        <f t="shared" si="50"/>
        <v>0</v>
      </c>
      <c r="S357" s="301">
        <f t="shared" ref="S357:S420" si="53">IF($M357=0,0,VLOOKUP($M357,Kengetal,6,FALSE))</f>
        <v>0</v>
      </c>
      <c r="T357" s="301">
        <f t="shared" ref="T357:T420" si="54">IF($M357=0,0,VLOOKUP($M357,Kengetal,7,FALSE))</f>
        <v>0</v>
      </c>
      <c r="U357" s="771" t="str">
        <f t="shared" si="47"/>
        <v>S</v>
      </c>
      <c r="V357" s="303"/>
      <c r="W357" s="304">
        <f>(Q357+R357)*'1.0-Contractblad'!$L$37</f>
        <v>0</v>
      </c>
      <c r="X357" s="304">
        <f ca="1">VLOOKUP(E357,'1.1a-Jaarprijzen'!$B$35:$Q$57,16,FALSE)*K357</f>
        <v>0</v>
      </c>
      <c r="Z357" s="773">
        <f t="shared" si="51"/>
        <v>840</v>
      </c>
      <c r="AA357" s="492" t="str">
        <f t="shared" si="52"/>
        <v>4200-200</v>
      </c>
    </row>
    <row r="358" spans="2:27" s="490" customFormat="1" ht="15">
      <c r="B358" s="330"/>
      <c r="C358" s="331"/>
      <c r="D358" s="295">
        <f>VLOOKUP(E358,'1.1a-Jaarprijzen'!$B$13:$G$32,6,FALSE)</f>
        <v>2</v>
      </c>
      <c r="E358" s="294" t="s">
        <v>866</v>
      </c>
      <c r="F358" s="295" t="s">
        <v>605</v>
      </c>
      <c r="G358" s="295" t="s">
        <v>546</v>
      </c>
      <c r="H358" s="710" t="s">
        <v>549</v>
      </c>
      <c r="I358" s="297" t="str">
        <f t="shared" si="29"/>
        <v>sanitaire ruimte (toilet-/doucheruimte)</v>
      </c>
      <c r="J358" s="295" t="s">
        <v>700</v>
      </c>
      <c r="K358" s="298">
        <v>6.9</v>
      </c>
      <c r="L358" s="298"/>
      <c r="M358" s="299">
        <v>4200</v>
      </c>
      <c r="N358" s="300">
        <f t="shared" si="48"/>
        <v>200</v>
      </c>
      <c r="O358" s="484">
        <v>1</v>
      </c>
      <c r="P358" s="484">
        <v>1</v>
      </c>
      <c r="Q358" s="292">
        <f t="shared" si="49"/>
        <v>0</v>
      </c>
      <c r="R358" s="292">
        <f t="shared" si="50"/>
        <v>0</v>
      </c>
      <c r="S358" s="301">
        <f t="shared" si="53"/>
        <v>0</v>
      </c>
      <c r="T358" s="301">
        <f t="shared" si="54"/>
        <v>0</v>
      </c>
      <c r="U358" s="771" t="str">
        <f t="shared" si="47"/>
        <v>S</v>
      </c>
      <c r="V358" s="303"/>
      <c r="W358" s="304">
        <f>(Q358+R358)*'1.0-Contractblad'!$L$37</f>
        <v>0</v>
      </c>
      <c r="X358" s="304">
        <f ca="1">VLOOKUP(E358,'1.1a-Jaarprijzen'!$B$35:$Q$57,16,FALSE)*K358</f>
        <v>0</v>
      </c>
      <c r="Z358" s="773">
        <f t="shared" si="51"/>
        <v>1380</v>
      </c>
      <c r="AA358" s="492" t="str">
        <f t="shared" si="52"/>
        <v>4200-200</v>
      </c>
    </row>
    <row r="359" spans="2:27" s="490" customFormat="1" ht="15">
      <c r="B359" s="330"/>
      <c r="C359" s="331"/>
      <c r="D359" s="295">
        <f>VLOOKUP(E359,'1.1a-Jaarprijzen'!$B$13:$G$32,6,FALSE)</f>
        <v>2</v>
      </c>
      <c r="E359" s="294" t="s">
        <v>866</v>
      </c>
      <c r="F359" s="295" t="s">
        <v>605</v>
      </c>
      <c r="G359" s="295" t="s">
        <v>547</v>
      </c>
      <c r="H359" s="710" t="s">
        <v>549</v>
      </c>
      <c r="I359" s="297" t="str">
        <f t="shared" si="29"/>
        <v>sanitaire ruimte (toilet-/doucheruimte)</v>
      </c>
      <c r="J359" s="295" t="s">
        <v>700</v>
      </c>
      <c r="K359" s="298">
        <v>6.9</v>
      </c>
      <c r="L359" s="298"/>
      <c r="M359" s="299">
        <v>4200</v>
      </c>
      <c r="N359" s="300">
        <f t="shared" si="48"/>
        <v>200</v>
      </c>
      <c r="O359" s="484">
        <v>1</v>
      </c>
      <c r="P359" s="484">
        <v>1</v>
      </c>
      <c r="Q359" s="292">
        <f t="shared" si="49"/>
        <v>0</v>
      </c>
      <c r="R359" s="292">
        <f t="shared" si="50"/>
        <v>0</v>
      </c>
      <c r="S359" s="301">
        <f t="shared" si="53"/>
        <v>0</v>
      </c>
      <c r="T359" s="301">
        <f t="shared" si="54"/>
        <v>0</v>
      </c>
      <c r="U359" s="771" t="str">
        <f t="shared" si="47"/>
        <v>S</v>
      </c>
      <c r="V359" s="303"/>
      <c r="W359" s="304">
        <f>(Q359+R359)*'1.0-Contractblad'!$L$37</f>
        <v>0</v>
      </c>
      <c r="X359" s="304">
        <f ca="1">VLOOKUP(E359,'1.1a-Jaarprijzen'!$B$35:$Q$57,16,FALSE)*K359</f>
        <v>0</v>
      </c>
      <c r="Z359" s="773">
        <f t="shared" si="51"/>
        <v>1380</v>
      </c>
      <c r="AA359" s="492" t="str">
        <f t="shared" si="52"/>
        <v>4200-200</v>
      </c>
    </row>
    <row r="360" spans="2:27" s="490" customFormat="1" ht="15">
      <c r="B360" s="330"/>
      <c r="C360" s="331"/>
      <c r="D360" s="295">
        <f>VLOOKUP(E360,'1.1a-Jaarprijzen'!$B$13:$G$32,6,FALSE)</f>
        <v>2</v>
      </c>
      <c r="E360" s="294" t="s">
        <v>866</v>
      </c>
      <c r="F360" s="295" t="s">
        <v>605</v>
      </c>
      <c r="G360" s="295" t="s">
        <v>548</v>
      </c>
      <c r="H360" s="710" t="s">
        <v>549</v>
      </c>
      <c r="I360" s="297" t="str">
        <f t="shared" si="29"/>
        <v>sanitaire ruimte (toilet-/doucheruimte)</v>
      </c>
      <c r="J360" s="295" t="s">
        <v>700</v>
      </c>
      <c r="K360" s="298">
        <v>7.1</v>
      </c>
      <c r="L360" s="298"/>
      <c r="M360" s="299">
        <v>4200</v>
      </c>
      <c r="N360" s="300">
        <f t="shared" si="48"/>
        <v>200</v>
      </c>
      <c r="O360" s="484">
        <v>1</v>
      </c>
      <c r="P360" s="484">
        <v>1</v>
      </c>
      <c r="Q360" s="292">
        <f t="shared" si="49"/>
        <v>0</v>
      </c>
      <c r="R360" s="292">
        <f t="shared" si="50"/>
        <v>0</v>
      </c>
      <c r="S360" s="301">
        <f t="shared" si="53"/>
        <v>0</v>
      </c>
      <c r="T360" s="301">
        <f t="shared" si="54"/>
        <v>0</v>
      </c>
      <c r="U360" s="771" t="str">
        <f t="shared" si="47"/>
        <v>S</v>
      </c>
      <c r="V360" s="303"/>
      <c r="W360" s="304">
        <f>(Q360+R360)*'1.0-Contractblad'!$L$37</f>
        <v>0</v>
      </c>
      <c r="X360" s="304">
        <f ca="1">VLOOKUP(E360,'1.1a-Jaarprijzen'!$B$35:$Q$57,16,FALSE)*K360</f>
        <v>0</v>
      </c>
      <c r="Z360" s="773">
        <f t="shared" si="51"/>
        <v>1420</v>
      </c>
      <c r="AA360" s="492" t="str">
        <f t="shared" si="52"/>
        <v>4200-200</v>
      </c>
    </row>
    <row r="361" spans="2:27" s="490" customFormat="1" ht="15">
      <c r="B361" s="330"/>
      <c r="C361" s="331"/>
      <c r="D361" s="295">
        <f>VLOOKUP(E361,'1.1a-Jaarprijzen'!$B$13:$G$32,6,FALSE)</f>
        <v>2</v>
      </c>
      <c r="E361" s="294" t="s">
        <v>866</v>
      </c>
      <c r="F361" s="295" t="s">
        <v>605</v>
      </c>
      <c r="G361" s="295" t="s">
        <v>550</v>
      </c>
      <c r="H361" s="710" t="s">
        <v>540</v>
      </c>
      <c r="I361" s="297" t="str">
        <f t="shared" si="29"/>
        <v>sanitaire ruimte (toilet-/doucheruimte)</v>
      </c>
      <c r="J361" s="295" t="s">
        <v>700</v>
      </c>
      <c r="K361" s="298">
        <v>7.1</v>
      </c>
      <c r="L361" s="298"/>
      <c r="M361" s="299">
        <v>4200</v>
      </c>
      <c r="N361" s="300">
        <f t="shared" si="48"/>
        <v>200</v>
      </c>
      <c r="O361" s="484">
        <v>1</v>
      </c>
      <c r="P361" s="484">
        <v>1</v>
      </c>
      <c r="Q361" s="292">
        <f t="shared" si="49"/>
        <v>0</v>
      </c>
      <c r="R361" s="292">
        <f t="shared" si="50"/>
        <v>0</v>
      </c>
      <c r="S361" s="301">
        <f t="shared" si="53"/>
        <v>0</v>
      </c>
      <c r="T361" s="301">
        <f t="shared" si="54"/>
        <v>0</v>
      </c>
      <c r="U361" s="771" t="str">
        <f t="shared" si="47"/>
        <v>S</v>
      </c>
      <c r="V361" s="303"/>
      <c r="W361" s="304">
        <f>(Q361+R361)*'1.0-Contractblad'!$L$37</f>
        <v>0</v>
      </c>
      <c r="X361" s="304">
        <f ca="1">VLOOKUP(E361,'1.1a-Jaarprijzen'!$B$35:$Q$57,16,FALSE)*K361</f>
        <v>0</v>
      </c>
      <c r="Z361" s="773">
        <f t="shared" si="51"/>
        <v>1420</v>
      </c>
      <c r="AA361" s="492" t="str">
        <f t="shared" si="52"/>
        <v>4200-200</v>
      </c>
    </row>
    <row r="362" spans="2:27" s="490" customFormat="1" ht="15">
      <c r="B362" s="330"/>
      <c r="C362" s="331"/>
      <c r="D362" s="295">
        <f>VLOOKUP(E362,'1.1a-Jaarprijzen'!$B$13:$G$32,6,FALSE)</f>
        <v>2</v>
      </c>
      <c r="E362" s="294" t="s">
        <v>866</v>
      </c>
      <c r="F362" s="295" t="s">
        <v>605</v>
      </c>
      <c r="G362" s="295" t="s">
        <v>551</v>
      </c>
      <c r="H362" s="710" t="s">
        <v>535</v>
      </c>
      <c r="I362" s="297" t="str">
        <f t="shared" si="29"/>
        <v>sanitaire ruimte (toilet-/doucheruimte)</v>
      </c>
      <c r="J362" s="295" t="s">
        <v>700</v>
      </c>
      <c r="K362" s="298">
        <v>2.5</v>
      </c>
      <c r="L362" s="298"/>
      <c r="M362" s="299">
        <v>4200</v>
      </c>
      <c r="N362" s="300">
        <f t="shared" si="48"/>
        <v>200</v>
      </c>
      <c r="O362" s="484">
        <v>1</v>
      </c>
      <c r="P362" s="484">
        <v>1</v>
      </c>
      <c r="Q362" s="292">
        <f t="shared" si="49"/>
        <v>0</v>
      </c>
      <c r="R362" s="292">
        <f t="shared" si="50"/>
        <v>0</v>
      </c>
      <c r="S362" s="301">
        <f t="shared" si="53"/>
        <v>0</v>
      </c>
      <c r="T362" s="301">
        <f t="shared" si="54"/>
        <v>0</v>
      </c>
      <c r="U362" s="771" t="str">
        <f t="shared" si="47"/>
        <v>S</v>
      </c>
      <c r="V362" s="303"/>
      <c r="W362" s="304">
        <f>(Q362+R362)*'1.0-Contractblad'!$L$37</f>
        <v>0</v>
      </c>
      <c r="X362" s="304">
        <f ca="1">VLOOKUP(E362,'1.1a-Jaarprijzen'!$B$35:$Q$57,16,FALSE)*K362</f>
        <v>0</v>
      </c>
      <c r="Z362" s="773">
        <f t="shared" si="51"/>
        <v>500</v>
      </c>
      <c r="AA362" s="492" t="str">
        <f t="shared" si="52"/>
        <v>4200-200</v>
      </c>
    </row>
    <row r="363" spans="2:27" s="490" customFormat="1" ht="15">
      <c r="B363" s="330"/>
      <c r="C363" s="331"/>
      <c r="D363" s="295">
        <f>VLOOKUP(E363,'1.1a-Jaarprijzen'!$B$13:$G$32,6,FALSE)</f>
        <v>2</v>
      </c>
      <c r="E363" s="294" t="s">
        <v>866</v>
      </c>
      <c r="F363" s="295" t="s">
        <v>605</v>
      </c>
      <c r="G363" s="295" t="s">
        <v>552</v>
      </c>
      <c r="H363" s="710" t="s">
        <v>540</v>
      </c>
      <c r="I363" s="297" t="str">
        <f t="shared" si="29"/>
        <v>sanitaire ruimte (toilet-/doucheruimte)</v>
      </c>
      <c r="J363" s="295" t="s">
        <v>700</v>
      </c>
      <c r="K363" s="298">
        <v>7.1</v>
      </c>
      <c r="L363" s="298"/>
      <c r="M363" s="299">
        <v>4200</v>
      </c>
      <c r="N363" s="300">
        <f t="shared" si="48"/>
        <v>200</v>
      </c>
      <c r="O363" s="484">
        <v>1</v>
      </c>
      <c r="P363" s="484">
        <v>1</v>
      </c>
      <c r="Q363" s="292">
        <f t="shared" si="49"/>
        <v>0</v>
      </c>
      <c r="R363" s="292">
        <f t="shared" si="50"/>
        <v>0</v>
      </c>
      <c r="S363" s="301">
        <f t="shared" si="53"/>
        <v>0</v>
      </c>
      <c r="T363" s="301">
        <f t="shared" si="54"/>
        <v>0</v>
      </c>
      <c r="U363" s="771" t="str">
        <f t="shared" si="47"/>
        <v>S</v>
      </c>
      <c r="V363" s="303"/>
      <c r="W363" s="304">
        <f>(Q363+R363)*'1.0-Contractblad'!$L$37</f>
        <v>0</v>
      </c>
      <c r="X363" s="304">
        <f ca="1">VLOOKUP(E363,'1.1a-Jaarprijzen'!$B$35:$Q$57,16,FALSE)*K363</f>
        <v>0</v>
      </c>
      <c r="Z363" s="773">
        <f t="shared" si="51"/>
        <v>1420</v>
      </c>
      <c r="AA363" s="492" t="str">
        <f t="shared" si="52"/>
        <v>4200-200</v>
      </c>
    </row>
    <row r="364" spans="2:27" s="490" customFormat="1" ht="15">
      <c r="B364" s="330"/>
      <c r="C364" s="331"/>
      <c r="D364" s="295">
        <f>VLOOKUP(E364,'1.1a-Jaarprijzen'!$B$13:$G$32,6,FALSE)</f>
        <v>2</v>
      </c>
      <c r="E364" s="294" t="s">
        <v>866</v>
      </c>
      <c r="F364" s="295" t="s">
        <v>605</v>
      </c>
      <c r="G364" s="295" t="s">
        <v>563</v>
      </c>
      <c r="H364" s="710" t="s">
        <v>394</v>
      </c>
      <c r="I364" s="297" t="str">
        <f t="shared" si="29"/>
        <v>administratieve -,  vergaderruimte</v>
      </c>
      <c r="J364" s="295" t="s">
        <v>48</v>
      </c>
      <c r="K364" s="298">
        <v>12.5</v>
      </c>
      <c r="L364" s="298"/>
      <c r="M364" s="299">
        <v>1040</v>
      </c>
      <c r="N364" s="300">
        <f t="shared" si="48"/>
        <v>40</v>
      </c>
      <c r="O364" s="484">
        <v>1</v>
      </c>
      <c r="P364" s="484">
        <v>1</v>
      </c>
      <c r="Q364" s="292">
        <f t="shared" si="49"/>
        <v>0</v>
      </c>
      <c r="R364" s="292">
        <f t="shared" si="50"/>
        <v>0</v>
      </c>
      <c r="S364" s="301">
        <f t="shared" si="53"/>
        <v>0</v>
      </c>
      <c r="T364" s="301">
        <f t="shared" si="54"/>
        <v>0</v>
      </c>
      <c r="U364" s="771" t="str">
        <f t="shared" ref="U364:U427" si="55">IF(M364="","",VLOOKUP(M364,Kengetal,14,FALSE))</f>
        <v>V</v>
      </c>
      <c r="V364" s="303"/>
      <c r="W364" s="304">
        <f>(Q364+R364)*'1.0-Contractblad'!$L$37</f>
        <v>0</v>
      </c>
      <c r="X364" s="304">
        <f ca="1">VLOOKUP(E364,'1.1a-Jaarprijzen'!$B$35:$Q$57,16,FALSE)*K364</f>
        <v>0</v>
      </c>
      <c r="Z364" s="773">
        <f t="shared" si="51"/>
        <v>500</v>
      </c>
      <c r="AA364" s="492" t="str">
        <f t="shared" si="52"/>
        <v>1040-40</v>
      </c>
    </row>
    <row r="365" spans="2:27" s="490" customFormat="1" ht="15">
      <c r="B365" s="330"/>
      <c r="C365" s="331"/>
      <c r="D365" s="295">
        <f>VLOOKUP(E365,'1.1a-Jaarprijzen'!$B$13:$G$32,6,FALSE)</f>
        <v>2</v>
      </c>
      <c r="E365" s="294" t="s">
        <v>866</v>
      </c>
      <c r="F365" s="295" t="s">
        <v>605</v>
      </c>
      <c r="G365" s="295" t="s">
        <v>718</v>
      </c>
      <c r="H365" s="710" t="s">
        <v>564</v>
      </c>
      <c r="I365" s="297" t="str">
        <f t="shared" si="29"/>
        <v>pantry/keuken</v>
      </c>
      <c r="J365" s="295" t="s">
        <v>696</v>
      </c>
      <c r="K365" s="298">
        <v>5.2</v>
      </c>
      <c r="L365" s="298"/>
      <c r="M365" s="299">
        <v>5200</v>
      </c>
      <c r="N365" s="300">
        <f t="shared" ref="N365:N428" si="56">VLOOKUP(M365,Kengetal,3,FALSE)</f>
        <v>200</v>
      </c>
      <c r="O365" s="484">
        <v>1</v>
      </c>
      <c r="P365" s="484">
        <v>1</v>
      </c>
      <c r="Q365" s="292">
        <f t="shared" ref="Q365:Q428" si="57">S365*K365*O365</f>
        <v>0</v>
      </c>
      <c r="R365" s="292">
        <f t="shared" ref="R365:R428" si="58">T365*K365*P365</f>
        <v>0</v>
      </c>
      <c r="S365" s="301">
        <f t="shared" si="53"/>
        <v>0</v>
      </c>
      <c r="T365" s="301">
        <f t="shared" si="54"/>
        <v>0</v>
      </c>
      <c r="U365" s="771" t="str">
        <f t="shared" si="55"/>
        <v>V</v>
      </c>
      <c r="V365" s="303"/>
      <c r="W365" s="304">
        <f>(Q365+R365)*'1.0-Contractblad'!$L$37</f>
        <v>0</v>
      </c>
      <c r="X365" s="304">
        <f ca="1">VLOOKUP(E365,'1.1a-Jaarprijzen'!$B$35:$Q$57,16,FALSE)*K365</f>
        <v>0</v>
      </c>
      <c r="Z365" s="773">
        <f t="shared" ref="Z365:Z428" si="59">K365*N365</f>
        <v>1040</v>
      </c>
      <c r="AA365" s="492" t="str">
        <f t="shared" ref="AA365:AA428" si="60">CONCATENATE(M365,"-",N365)</f>
        <v>5200-200</v>
      </c>
    </row>
    <row r="366" spans="2:27" s="490" customFormat="1" ht="15">
      <c r="B366" s="330"/>
      <c r="C366" s="331"/>
      <c r="D366" s="295">
        <f>VLOOKUP(E366,'1.1a-Jaarprijzen'!$B$13:$G$32,6,FALSE)</f>
        <v>2</v>
      </c>
      <c r="E366" s="294" t="s">
        <v>866</v>
      </c>
      <c r="F366" s="295" t="s">
        <v>605</v>
      </c>
      <c r="G366" s="295" t="s">
        <v>565</v>
      </c>
      <c r="H366" s="710" t="s">
        <v>558</v>
      </c>
      <c r="I366" s="297" t="str">
        <f t="shared" si="29"/>
        <v>administratieve -,  vergaderruimte</v>
      </c>
      <c r="J366" s="295" t="s">
        <v>48</v>
      </c>
      <c r="K366" s="298">
        <v>17</v>
      </c>
      <c r="L366" s="298"/>
      <c r="M366" s="299">
        <v>1040</v>
      </c>
      <c r="N366" s="300">
        <f t="shared" si="56"/>
        <v>40</v>
      </c>
      <c r="O366" s="484">
        <v>1</v>
      </c>
      <c r="P366" s="484">
        <v>1</v>
      </c>
      <c r="Q366" s="292">
        <f t="shared" si="57"/>
        <v>0</v>
      </c>
      <c r="R366" s="292">
        <f t="shared" si="58"/>
        <v>0</v>
      </c>
      <c r="S366" s="301">
        <f t="shared" si="53"/>
        <v>0</v>
      </c>
      <c r="T366" s="301">
        <f t="shared" si="54"/>
        <v>0</v>
      </c>
      <c r="U366" s="771" t="str">
        <f t="shared" si="55"/>
        <v>V</v>
      </c>
      <c r="V366" s="303"/>
      <c r="W366" s="304">
        <f>(Q366+R366)*'1.0-Contractblad'!$L$37</f>
        <v>0</v>
      </c>
      <c r="X366" s="304">
        <f ca="1">VLOOKUP(E366,'1.1a-Jaarprijzen'!$B$35:$Q$57,16,FALSE)*K366</f>
        <v>0</v>
      </c>
      <c r="Z366" s="773">
        <f t="shared" si="59"/>
        <v>680</v>
      </c>
      <c r="AA366" s="492" t="str">
        <f t="shared" si="60"/>
        <v>1040-40</v>
      </c>
    </row>
    <row r="367" spans="2:27" s="490" customFormat="1" ht="15">
      <c r="B367" s="330"/>
      <c r="C367" s="331"/>
      <c r="D367" s="295">
        <f>VLOOKUP(E367,'1.1a-Jaarprijzen'!$B$13:$G$32,6,FALSE)</f>
        <v>2</v>
      </c>
      <c r="E367" s="294" t="s">
        <v>866</v>
      </c>
      <c r="F367" s="295" t="s">
        <v>605</v>
      </c>
      <c r="G367" s="295" t="s">
        <v>567</v>
      </c>
      <c r="H367" s="710" t="s">
        <v>394</v>
      </c>
      <c r="I367" s="297" t="str">
        <f t="shared" si="29"/>
        <v>administratieve -,  vergaderruimte</v>
      </c>
      <c r="J367" s="295" t="s">
        <v>48</v>
      </c>
      <c r="K367" s="298">
        <v>28.1</v>
      </c>
      <c r="L367" s="298"/>
      <c r="M367" s="299">
        <v>1040</v>
      </c>
      <c r="N367" s="300">
        <f t="shared" si="56"/>
        <v>40</v>
      </c>
      <c r="O367" s="484">
        <v>1</v>
      </c>
      <c r="P367" s="484">
        <v>1</v>
      </c>
      <c r="Q367" s="292">
        <f t="shared" si="57"/>
        <v>0</v>
      </c>
      <c r="R367" s="292">
        <f t="shared" si="58"/>
        <v>0</v>
      </c>
      <c r="S367" s="301">
        <f t="shared" si="53"/>
        <v>0</v>
      </c>
      <c r="T367" s="301">
        <f t="shared" si="54"/>
        <v>0</v>
      </c>
      <c r="U367" s="771" t="str">
        <f t="shared" si="55"/>
        <v>V</v>
      </c>
      <c r="V367" s="303"/>
      <c r="W367" s="304">
        <f>(Q367+R367)*'1.0-Contractblad'!$L$37</f>
        <v>0</v>
      </c>
      <c r="X367" s="304">
        <f ca="1">VLOOKUP(E367,'1.1a-Jaarprijzen'!$B$35:$Q$57,16,FALSE)*K367</f>
        <v>0</v>
      </c>
      <c r="Z367" s="773">
        <f t="shared" si="59"/>
        <v>1124</v>
      </c>
      <c r="AA367" s="492" t="str">
        <f t="shared" si="60"/>
        <v>1040-40</v>
      </c>
    </row>
    <row r="368" spans="2:27" s="490" customFormat="1" ht="15">
      <c r="B368" s="330"/>
      <c r="C368" s="331"/>
      <c r="D368" s="295">
        <f>VLOOKUP(E368,'1.1a-Jaarprijzen'!$B$13:$G$32,6,FALSE)</f>
        <v>2</v>
      </c>
      <c r="E368" s="294" t="s">
        <v>866</v>
      </c>
      <c r="F368" s="295" t="s">
        <v>605</v>
      </c>
      <c r="G368" s="295" t="s">
        <v>568</v>
      </c>
      <c r="H368" s="710" t="s">
        <v>394</v>
      </c>
      <c r="I368" s="297" t="str">
        <f t="shared" si="29"/>
        <v>administratieve -,  vergaderruimte</v>
      </c>
      <c r="J368" s="295" t="s">
        <v>48</v>
      </c>
      <c r="K368" s="298">
        <v>9.4</v>
      </c>
      <c r="L368" s="298"/>
      <c r="M368" s="299">
        <v>1040</v>
      </c>
      <c r="N368" s="300">
        <f t="shared" si="56"/>
        <v>40</v>
      </c>
      <c r="O368" s="484">
        <v>1</v>
      </c>
      <c r="P368" s="484">
        <v>1</v>
      </c>
      <c r="Q368" s="292">
        <f t="shared" si="57"/>
        <v>0</v>
      </c>
      <c r="R368" s="292">
        <f t="shared" si="58"/>
        <v>0</v>
      </c>
      <c r="S368" s="301">
        <f t="shared" si="53"/>
        <v>0</v>
      </c>
      <c r="T368" s="301">
        <f t="shared" si="54"/>
        <v>0</v>
      </c>
      <c r="U368" s="771" t="str">
        <f t="shared" si="55"/>
        <v>V</v>
      </c>
      <c r="V368" s="303"/>
      <c r="W368" s="304">
        <f>(Q368+R368)*'1.0-Contractblad'!$L$37</f>
        <v>0</v>
      </c>
      <c r="X368" s="304">
        <f ca="1">VLOOKUP(E368,'1.1a-Jaarprijzen'!$B$35:$Q$57,16,FALSE)*K368</f>
        <v>0</v>
      </c>
      <c r="Z368" s="773">
        <f t="shared" si="59"/>
        <v>376</v>
      </c>
      <c r="AA368" s="492" t="str">
        <f t="shared" si="60"/>
        <v>1040-40</v>
      </c>
    </row>
    <row r="369" spans="2:27" s="490" customFormat="1" ht="15">
      <c r="B369" s="330"/>
      <c r="C369" s="331"/>
      <c r="D369" s="295">
        <f>VLOOKUP(E369,'1.1a-Jaarprijzen'!$B$13:$G$32,6,FALSE)</f>
        <v>2</v>
      </c>
      <c r="E369" s="294" t="s">
        <v>866</v>
      </c>
      <c r="F369" s="295" t="s">
        <v>605</v>
      </c>
      <c r="G369" s="295" t="s">
        <v>588</v>
      </c>
      <c r="H369" s="710" t="s">
        <v>658</v>
      </c>
      <c r="I369" s="297" t="str">
        <f t="shared" si="29"/>
        <v>niet van toepassing</v>
      </c>
      <c r="J369" s="295" t="s">
        <v>17</v>
      </c>
      <c r="K369" s="298"/>
      <c r="L369" s="298">
        <v>4.9000000000000004</v>
      </c>
      <c r="M369" s="299" t="s">
        <v>17</v>
      </c>
      <c r="N369" s="300">
        <f t="shared" si="56"/>
        <v>0</v>
      </c>
      <c r="O369" s="484">
        <v>1</v>
      </c>
      <c r="P369" s="484">
        <v>1</v>
      </c>
      <c r="Q369" s="292">
        <f t="shared" si="57"/>
        <v>0</v>
      </c>
      <c r="R369" s="292">
        <f t="shared" si="58"/>
        <v>0</v>
      </c>
      <c r="S369" s="301">
        <f t="shared" si="53"/>
        <v>0</v>
      </c>
      <c r="T369" s="301">
        <f t="shared" si="54"/>
        <v>0</v>
      </c>
      <c r="U369" s="771">
        <f t="shared" si="55"/>
        <v>0</v>
      </c>
      <c r="V369" s="303"/>
      <c r="W369" s="304">
        <f>(Q369+R369)*'1.0-Contractblad'!$L$37</f>
        <v>0</v>
      </c>
      <c r="X369" s="304">
        <f ca="1">VLOOKUP(E369,'1.1a-Jaarprijzen'!$B$35:$Q$57,16,FALSE)*K369</f>
        <v>0</v>
      </c>
      <c r="Z369" s="773">
        <f t="shared" si="59"/>
        <v>0</v>
      </c>
      <c r="AA369" s="492" t="str">
        <f t="shared" si="60"/>
        <v>nvt-0</v>
      </c>
    </row>
    <row r="370" spans="2:27" s="490" customFormat="1" ht="15">
      <c r="B370" s="330"/>
      <c r="C370" s="331"/>
      <c r="D370" s="295">
        <f>VLOOKUP(E370,'1.1a-Jaarprijzen'!$B$13:$G$32,6,FALSE)</f>
        <v>2</v>
      </c>
      <c r="E370" s="294" t="s">
        <v>866</v>
      </c>
      <c r="F370" s="295" t="s">
        <v>605</v>
      </c>
      <c r="G370" s="295" t="s">
        <v>589</v>
      </c>
      <c r="H370" s="710" t="s">
        <v>658</v>
      </c>
      <c r="I370" s="297" t="str">
        <f t="shared" si="29"/>
        <v>niet van toepassing</v>
      </c>
      <c r="J370" s="295" t="s">
        <v>17</v>
      </c>
      <c r="K370" s="298"/>
      <c r="L370" s="298">
        <v>11.9</v>
      </c>
      <c r="M370" s="299" t="s">
        <v>17</v>
      </c>
      <c r="N370" s="300">
        <f t="shared" si="56"/>
        <v>0</v>
      </c>
      <c r="O370" s="484">
        <v>1</v>
      </c>
      <c r="P370" s="484">
        <v>1</v>
      </c>
      <c r="Q370" s="292">
        <f t="shared" si="57"/>
        <v>0</v>
      </c>
      <c r="R370" s="292">
        <f t="shared" si="58"/>
        <v>0</v>
      </c>
      <c r="S370" s="301">
        <f t="shared" si="53"/>
        <v>0</v>
      </c>
      <c r="T370" s="301">
        <f t="shared" si="54"/>
        <v>0</v>
      </c>
      <c r="U370" s="771">
        <f t="shared" si="55"/>
        <v>0</v>
      </c>
      <c r="V370" s="303"/>
      <c r="W370" s="304">
        <f>(Q370+R370)*'1.0-Contractblad'!$L$37</f>
        <v>0</v>
      </c>
      <c r="X370" s="304">
        <f ca="1">VLOOKUP(E370,'1.1a-Jaarprijzen'!$B$35:$Q$57,16,FALSE)*K370</f>
        <v>0</v>
      </c>
      <c r="Z370" s="773">
        <f t="shared" si="59"/>
        <v>0</v>
      </c>
      <c r="AA370" s="492" t="str">
        <f t="shared" si="60"/>
        <v>nvt-0</v>
      </c>
    </row>
    <row r="371" spans="2:27" s="490" customFormat="1" ht="15">
      <c r="B371" s="330"/>
      <c r="C371" s="331"/>
      <c r="D371" s="295">
        <f>VLOOKUP(E371,'1.1a-Jaarprijzen'!$B$13:$G$32,6,FALSE)</f>
        <v>2</v>
      </c>
      <c r="E371" s="294" t="s">
        <v>866</v>
      </c>
      <c r="F371" s="295" t="s">
        <v>605</v>
      </c>
      <c r="G371" s="295" t="s">
        <v>591</v>
      </c>
      <c r="H371" s="710" t="s">
        <v>388</v>
      </c>
      <c r="I371" s="297" t="str">
        <f t="shared" si="29"/>
        <v>niet van toepassing</v>
      </c>
      <c r="J371" s="295" t="s">
        <v>17</v>
      </c>
      <c r="K371" s="298"/>
      <c r="L371" s="298">
        <v>2.7</v>
      </c>
      <c r="M371" s="299" t="s">
        <v>17</v>
      </c>
      <c r="N371" s="300">
        <f t="shared" si="56"/>
        <v>0</v>
      </c>
      <c r="O371" s="484">
        <v>1</v>
      </c>
      <c r="P371" s="484">
        <v>1</v>
      </c>
      <c r="Q371" s="292">
        <f t="shared" si="57"/>
        <v>0</v>
      </c>
      <c r="R371" s="292">
        <f t="shared" si="58"/>
        <v>0</v>
      </c>
      <c r="S371" s="301">
        <f t="shared" si="53"/>
        <v>0</v>
      </c>
      <c r="T371" s="301">
        <f t="shared" si="54"/>
        <v>0</v>
      </c>
      <c r="U371" s="771">
        <f t="shared" si="55"/>
        <v>0</v>
      </c>
      <c r="V371" s="303"/>
      <c r="W371" s="304">
        <f>(Q371+R371)*'1.0-Contractblad'!$L$37</f>
        <v>0</v>
      </c>
      <c r="X371" s="304">
        <f ca="1">VLOOKUP(E371,'1.1a-Jaarprijzen'!$B$35:$Q$57,16,FALSE)*K371</f>
        <v>0</v>
      </c>
      <c r="Z371" s="773">
        <f t="shared" si="59"/>
        <v>0</v>
      </c>
      <c r="AA371" s="492" t="str">
        <f t="shared" si="60"/>
        <v>nvt-0</v>
      </c>
    </row>
    <row r="372" spans="2:27" s="490" customFormat="1" ht="15">
      <c r="B372" s="330"/>
      <c r="C372" s="331"/>
      <c r="D372" s="295">
        <f>VLOOKUP(E372,'1.1a-Jaarprijzen'!$B$13:$G$32,6,FALSE)</f>
        <v>2</v>
      </c>
      <c r="E372" s="294" t="s">
        <v>866</v>
      </c>
      <c r="F372" s="295" t="s">
        <v>605</v>
      </c>
      <c r="G372" s="295" t="s">
        <v>593</v>
      </c>
      <c r="H372" s="710" t="s">
        <v>571</v>
      </c>
      <c r="I372" s="297" t="str">
        <f t="shared" si="29"/>
        <v>niet van toepassing</v>
      </c>
      <c r="J372" s="295" t="s">
        <v>17</v>
      </c>
      <c r="K372" s="298"/>
      <c r="L372" s="298">
        <v>0.5</v>
      </c>
      <c r="M372" s="299" t="s">
        <v>17</v>
      </c>
      <c r="N372" s="300">
        <f t="shared" si="56"/>
        <v>0</v>
      </c>
      <c r="O372" s="484">
        <v>1</v>
      </c>
      <c r="P372" s="484">
        <v>1</v>
      </c>
      <c r="Q372" s="292">
        <f t="shared" si="57"/>
        <v>0</v>
      </c>
      <c r="R372" s="292">
        <f t="shared" si="58"/>
        <v>0</v>
      </c>
      <c r="S372" s="301">
        <f t="shared" si="53"/>
        <v>0</v>
      </c>
      <c r="T372" s="301">
        <f t="shared" si="54"/>
        <v>0</v>
      </c>
      <c r="U372" s="771">
        <f t="shared" si="55"/>
        <v>0</v>
      </c>
      <c r="V372" s="303"/>
      <c r="W372" s="304">
        <f>(Q372+R372)*'1.0-Contractblad'!$L$37</f>
        <v>0</v>
      </c>
      <c r="X372" s="304">
        <f ca="1">VLOOKUP(E372,'1.1a-Jaarprijzen'!$B$35:$Q$57,16,FALSE)*K372</f>
        <v>0</v>
      </c>
      <c r="Z372" s="773">
        <f t="shared" si="59"/>
        <v>0</v>
      </c>
      <c r="AA372" s="492" t="str">
        <f t="shared" si="60"/>
        <v>nvt-0</v>
      </c>
    </row>
    <row r="373" spans="2:27" s="490" customFormat="1" ht="15">
      <c r="B373" s="330"/>
      <c r="C373" s="331"/>
      <c r="D373" s="295">
        <f>VLOOKUP(E373,'1.1a-Jaarprijzen'!$B$13:$G$32,6,FALSE)</f>
        <v>2</v>
      </c>
      <c r="E373" s="294" t="s">
        <v>866</v>
      </c>
      <c r="F373" s="295" t="s">
        <v>605</v>
      </c>
      <c r="G373" s="295" t="s">
        <v>582</v>
      </c>
      <c r="H373" s="710" t="s">
        <v>388</v>
      </c>
      <c r="I373" s="297" t="str">
        <f t="shared" si="29"/>
        <v>niet van toepassing</v>
      </c>
      <c r="J373" s="295" t="s">
        <v>17</v>
      </c>
      <c r="K373" s="298"/>
      <c r="L373" s="298">
        <v>2.8</v>
      </c>
      <c r="M373" s="299" t="s">
        <v>17</v>
      </c>
      <c r="N373" s="300">
        <f t="shared" si="56"/>
        <v>0</v>
      </c>
      <c r="O373" s="484">
        <v>1</v>
      </c>
      <c r="P373" s="484">
        <v>1</v>
      </c>
      <c r="Q373" s="292">
        <f t="shared" si="57"/>
        <v>0</v>
      </c>
      <c r="R373" s="292">
        <f t="shared" si="58"/>
        <v>0</v>
      </c>
      <c r="S373" s="301">
        <f t="shared" si="53"/>
        <v>0</v>
      </c>
      <c r="T373" s="301">
        <f t="shared" si="54"/>
        <v>0</v>
      </c>
      <c r="U373" s="771">
        <f t="shared" si="55"/>
        <v>0</v>
      </c>
      <c r="V373" s="303"/>
      <c r="W373" s="304">
        <f>(Q373+R373)*'1.0-Contractblad'!$L$37</f>
        <v>0</v>
      </c>
      <c r="X373" s="304">
        <f ca="1">VLOOKUP(E373,'1.1a-Jaarprijzen'!$B$35:$Q$57,16,FALSE)*K373</f>
        <v>0</v>
      </c>
      <c r="Z373" s="773">
        <f t="shared" si="59"/>
        <v>0</v>
      </c>
      <c r="AA373" s="492" t="str">
        <f t="shared" si="60"/>
        <v>nvt-0</v>
      </c>
    </row>
    <row r="374" spans="2:27" s="490" customFormat="1" ht="15">
      <c r="B374" s="330"/>
      <c r="C374" s="331"/>
      <c r="D374" s="295">
        <f>VLOOKUP(E374,'1.1a-Jaarprijzen'!$B$13:$G$32,6,FALSE)</f>
        <v>2</v>
      </c>
      <c r="E374" s="294" t="s">
        <v>866</v>
      </c>
      <c r="F374" s="295" t="s">
        <v>605</v>
      </c>
      <c r="G374" s="295" t="s">
        <v>590</v>
      </c>
      <c r="H374" s="710" t="s">
        <v>391</v>
      </c>
      <c r="I374" s="297" t="str">
        <f t="shared" si="29"/>
        <v>niet van toepassing</v>
      </c>
      <c r="J374" s="295" t="s">
        <v>17</v>
      </c>
      <c r="K374" s="298"/>
      <c r="L374" s="298">
        <v>12.1</v>
      </c>
      <c r="M374" s="299" t="s">
        <v>17</v>
      </c>
      <c r="N374" s="300">
        <f t="shared" si="56"/>
        <v>0</v>
      </c>
      <c r="O374" s="484">
        <v>1</v>
      </c>
      <c r="P374" s="484">
        <v>1</v>
      </c>
      <c r="Q374" s="292">
        <f t="shared" si="57"/>
        <v>0</v>
      </c>
      <c r="R374" s="292">
        <f t="shared" si="58"/>
        <v>0</v>
      </c>
      <c r="S374" s="301">
        <f t="shared" si="53"/>
        <v>0</v>
      </c>
      <c r="T374" s="301">
        <f t="shared" si="54"/>
        <v>0</v>
      </c>
      <c r="U374" s="771">
        <f t="shared" si="55"/>
        <v>0</v>
      </c>
      <c r="V374" s="303"/>
      <c r="W374" s="304">
        <f>(Q374+R374)*'1.0-Contractblad'!$L$37</f>
        <v>0</v>
      </c>
      <c r="X374" s="304">
        <f ca="1">VLOOKUP(E374,'1.1a-Jaarprijzen'!$B$35:$Q$57,16,FALSE)*K374</f>
        <v>0</v>
      </c>
      <c r="Z374" s="773">
        <f t="shared" si="59"/>
        <v>0</v>
      </c>
      <c r="AA374" s="492" t="str">
        <f t="shared" si="60"/>
        <v>nvt-0</v>
      </c>
    </row>
    <row r="375" spans="2:27" s="490" customFormat="1" ht="15">
      <c r="B375" s="330"/>
      <c r="C375" s="331"/>
      <c r="D375" s="295">
        <f>VLOOKUP(E375,'1.1a-Jaarprijzen'!$B$13:$G$32,6,FALSE)</f>
        <v>2</v>
      </c>
      <c r="E375" s="294" t="s">
        <v>866</v>
      </c>
      <c r="F375" s="295" t="s">
        <v>605</v>
      </c>
      <c r="G375" s="295" t="s">
        <v>592</v>
      </c>
      <c r="H375" s="710" t="s">
        <v>391</v>
      </c>
      <c r="I375" s="297" t="str">
        <f t="shared" si="29"/>
        <v>niet van toepassing</v>
      </c>
      <c r="J375" s="295" t="s">
        <v>17</v>
      </c>
      <c r="K375" s="298"/>
      <c r="L375" s="298">
        <v>3.3</v>
      </c>
      <c r="M375" s="299" t="s">
        <v>17</v>
      </c>
      <c r="N375" s="300">
        <f t="shared" si="56"/>
        <v>0</v>
      </c>
      <c r="O375" s="484">
        <v>1</v>
      </c>
      <c r="P375" s="484">
        <v>1</v>
      </c>
      <c r="Q375" s="292">
        <f t="shared" si="57"/>
        <v>0</v>
      </c>
      <c r="R375" s="292">
        <f t="shared" si="58"/>
        <v>0</v>
      </c>
      <c r="S375" s="301">
        <f t="shared" si="53"/>
        <v>0</v>
      </c>
      <c r="T375" s="301">
        <f t="shared" si="54"/>
        <v>0</v>
      </c>
      <c r="U375" s="771">
        <f t="shared" si="55"/>
        <v>0</v>
      </c>
      <c r="V375" s="303"/>
      <c r="W375" s="304">
        <f>(Q375+R375)*'1.0-Contractblad'!$L$37</f>
        <v>0</v>
      </c>
      <c r="X375" s="304">
        <f ca="1">VLOOKUP(E375,'1.1a-Jaarprijzen'!$B$35:$Q$57,16,FALSE)*K375</f>
        <v>0</v>
      </c>
      <c r="Z375" s="773">
        <f t="shared" si="59"/>
        <v>0</v>
      </c>
      <c r="AA375" s="492" t="str">
        <f t="shared" si="60"/>
        <v>nvt-0</v>
      </c>
    </row>
    <row r="376" spans="2:27" s="490" customFormat="1" ht="15">
      <c r="B376" s="330"/>
      <c r="C376" s="331"/>
      <c r="D376" s="295">
        <f>VLOOKUP(E376,'1.1a-Jaarprijzen'!$B$13:$G$32,6,FALSE)</f>
        <v>2</v>
      </c>
      <c r="E376" s="294" t="s">
        <v>866</v>
      </c>
      <c r="F376" s="295" t="s">
        <v>605</v>
      </c>
      <c r="G376" s="295" t="s">
        <v>583</v>
      </c>
      <c r="H376" s="710" t="s">
        <v>391</v>
      </c>
      <c r="I376" s="297" t="str">
        <f t="shared" si="29"/>
        <v>niet van toepassing</v>
      </c>
      <c r="J376" s="295" t="s">
        <v>17</v>
      </c>
      <c r="K376" s="298"/>
      <c r="L376" s="298">
        <v>3.1</v>
      </c>
      <c r="M376" s="299" t="s">
        <v>17</v>
      </c>
      <c r="N376" s="300">
        <f t="shared" si="56"/>
        <v>0</v>
      </c>
      <c r="O376" s="484">
        <v>1</v>
      </c>
      <c r="P376" s="484">
        <v>1</v>
      </c>
      <c r="Q376" s="292">
        <f t="shared" si="57"/>
        <v>0</v>
      </c>
      <c r="R376" s="292">
        <f t="shared" si="58"/>
        <v>0</v>
      </c>
      <c r="S376" s="301">
        <f t="shared" si="53"/>
        <v>0</v>
      </c>
      <c r="T376" s="301">
        <f t="shared" si="54"/>
        <v>0</v>
      </c>
      <c r="U376" s="771">
        <f t="shared" si="55"/>
        <v>0</v>
      </c>
      <c r="V376" s="303"/>
      <c r="W376" s="304">
        <f>(Q376+R376)*'1.0-Contractblad'!$L$37</f>
        <v>0</v>
      </c>
      <c r="X376" s="304">
        <f ca="1">VLOOKUP(E376,'1.1a-Jaarprijzen'!$B$35:$Q$57,16,FALSE)*K376</f>
        <v>0</v>
      </c>
      <c r="Z376" s="773">
        <f t="shared" si="59"/>
        <v>0</v>
      </c>
      <c r="AA376" s="492" t="str">
        <f t="shared" si="60"/>
        <v>nvt-0</v>
      </c>
    </row>
    <row r="377" spans="2:27" s="490" customFormat="1" ht="15">
      <c r="B377" s="330"/>
      <c r="C377" s="331"/>
      <c r="D377" s="295">
        <f>VLOOKUP(E377,'1.1a-Jaarprijzen'!$B$13:$G$32,6,FALSE)</f>
        <v>2</v>
      </c>
      <c r="E377" s="294" t="s">
        <v>866</v>
      </c>
      <c r="F377" s="295" t="s">
        <v>605</v>
      </c>
      <c r="G377" s="295" t="s">
        <v>594</v>
      </c>
      <c r="H377" s="710" t="s">
        <v>391</v>
      </c>
      <c r="I377" s="297" t="str">
        <f t="shared" si="29"/>
        <v>niet van toepassing</v>
      </c>
      <c r="J377" s="295" t="s">
        <v>17</v>
      </c>
      <c r="K377" s="298"/>
      <c r="L377" s="298">
        <v>2.7</v>
      </c>
      <c r="M377" s="299" t="s">
        <v>17</v>
      </c>
      <c r="N377" s="300">
        <f t="shared" si="56"/>
        <v>0</v>
      </c>
      <c r="O377" s="484">
        <v>1</v>
      </c>
      <c r="P377" s="484">
        <v>1</v>
      </c>
      <c r="Q377" s="292">
        <f t="shared" si="57"/>
        <v>0</v>
      </c>
      <c r="R377" s="292">
        <f t="shared" si="58"/>
        <v>0</v>
      </c>
      <c r="S377" s="301">
        <f t="shared" si="53"/>
        <v>0</v>
      </c>
      <c r="T377" s="301">
        <f t="shared" si="54"/>
        <v>0</v>
      </c>
      <c r="U377" s="771">
        <f t="shared" si="55"/>
        <v>0</v>
      </c>
      <c r="V377" s="303"/>
      <c r="W377" s="304">
        <f>(Q377+R377)*'1.0-Contractblad'!$L$37</f>
        <v>0</v>
      </c>
      <c r="X377" s="304">
        <f ca="1">VLOOKUP(E377,'1.1a-Jaarprijzen'!$B$35:$Q$57,16,FALSE)*K377</f>
        <v>0</v>
      </c>
      <c r="Z377" s="773">
        <f t="shared" si="59"/>
        <v>0</v>
      </c>
      <c r="AA377" s="492" t="str">
        <f t="shared" si="60"/>
        <v>nvt-0</v>
      </c>
    </row>
    <row r="378" spans="2:27" s="490" customFormat="1" ht="15">
      <c r="B378" s="330"/>
      <c r="C378" s="331"/>
      <c r="D378" s="295">
        <f>VLOOKUP(E378,'1.1a-Jaarprijzen'!$B$13:$G$32,6,FALSE)</f>
        <v>2</v>
      </c>
      <c r="E378" s="294" t="s">
        <v>866</v>
      </c>
      <c r="F378" s="295" t="s">
        <v>605</v>
      </c>
      <c r="G378" s="295" t="s">
        <v>595</v>
      </c>
      <c r="H378" s="710" t="s">
        <v>466</v>
      </c>
      <c r="I378" s="297" t="str">
        <f t="shared" si="29"/>
        <v>speellokaal (berging)</v>
      </c>
      <c r="J378" s="295" t="s">
        <v>462</v>
      </c>
      <c r="K378" s="298">
        <v>6.3</v>
      </c>
      <c r="L378" s="298"/>
      <c r="M378" s="299">
        <v>8040</v>
      </c>
      <c r="N378" s="300">
        <f t="shared" si="56"/>
        <v>40</v>
      </c>
      <c r="O378" s="484">
        <v>1</v>
      </c>
      <c r="P378" s="484">
        <v>1</v>
      </c>
      <c r="Q378" s="292">
        <f t="shared" si="57"/>
        <v>0</v>
      </c>
      <c r="R378" s="292">
        <f t="shared" si="58"/>
        <v>0</v>
      </c>
      <c r="S378" s="301">
        <f t="shared" si="53"/>
        <v>0</v>
      </c>
      <c r="T378" s="301">
        <f t="shared" si="54"/>
        <v>0</v>
      </c>
      <c r="U378" s="771" t="str">
        <f t="shared" si="55"/>
        <v>L</v>
      </c>
      <c r="V378" s="303"/>
      <c r="W378" s="304">
        <f>(Q378+R378)*'1.0-Contractblad'!$L$37</f>
        <v>0</v>
      </c>
      <c r="X378" s="304">
        <f ca="1">VLOOKUP(E378,'1.1a-Jaarprijzen'!$B$35:$Q$57,16,FALSE)*K378</f>
        <v>0</v>
      </c>
      <c r="Z378" s="773">
        <f t="shared" si="59"/>
        <v>252</v>
      </c>
      <c r="AA378" s="492" t="str">
        <f t="shared" si="60"/>
        <v>8040-40</v>
      </c>
    </row>
    <row r="379" spans="2:27" s="490" customFormat="1" ht="15">
      <c r="B379" s="330"/>
      <c r="C379" s="331"/>
      <c r="D379" s="295">
        <f>VLOOKUP(E379,'1.1a-Jaarprijzen'!$B$13:$G$32,6,FALSE)</f>
        <v>2</v>
      </c>
      <c r="E379" s="294" t="s">
        <v>1076</v>
      </c>
      <c r="F379" s="295" t="s">
        <v>605</v>
      </c>
      <c r="G379" s="295" t="s">
        <v>489</v>
      </c>
      <c r="H379" s="710" t="s">
        <v>394</v>
      </c>
      <c r="I379" s="297" t="str">
        <f t="shared" si="29"/>
        <v>administratieve -,  vergaderruimte</v>
      </c>
      <c r="J379" s="295" t="s">
        <v>465</v>
      </c>
      <c r="K379" s="298">
        <v>56.338646757035839</v>
      </c>
      <c r="L379" s="298"/>
      <c r="M379" s="299">
        <v>1040</v>
      </c>
      <c r="N379" s="300">
        <f t="shared" si="56"/>
        <v>40</v>
      </c>
      <c r="O379" s="484">
        <v>1</v>
      </c>
      <c r="P379" s="484">
        <v>1</v>
      </c>
      <c r="Q379" s="292">
        <f t="shared" si="57"/>
        <v>0</v>
      </c>
      <c r="R379" s="292">
        <f t="shared" si="58"/>
        <v>0</v>
      </c>
      <c r="S379" s="301">
        <f t="shared" si="53"/>
        <v>0</v>
      </c>
      <c r="T379" s="301">
        <f t="shared" si="54"/>
        <v>0</v>
      </c>
      <c r="U379" s="771" t="str">
        <f t="shared" si="55"/>
        <v>V</v>
      </c>
      <c r="V379" s="303"/>
      <c r="W379" s="304">
        <f>(Q379+R379)*'1.0-Contractblad'!$L$37</f>
        <v>0</v>
      </c>
      <c r="X379" s="304">
        <f ca="1">VLOOKUP(E379,'1.1a-Jaarprijzen'!$B$35:$Q$57,16,FALSE)*K379</f>
        <v>0</v>
      </c>
      <c r="Z379" s="773">
        <f t="shared" si="59"/>
        <v>2253.5458702814335</v>
      </c>
      <c r="AA379" s="492" t="str">
        <f t="shared" si="60"/>
        <v>1040-40</v>
      </c>
    </row>
    <row r="380" spans="2:27" s="490" customFormat="1" ht="15">
      <c r="B380" s="330"/>
      <c r="C380" s="331"/>
      <c r="D380" s="295">
        <f>VLOOKUP(E380,'1.1a-Jaarprijzen'!$B$13:$G$32,6,FALSE)</f>
        <v>2</v>
      </c>
      <c r="E380" s="294" t="s">
        <v>1076</v>
      </c>
      <c r="F380" s="295" t="s">
        <v>605</v>
      </c>
      <c r="G380" s="295" t="s">
        <v>490</v>
      </c>
      <c r="H380" s="710" t="s">
        <v>403</v>
      </c>
      <c r="I380" s="297" t="str">
        <f t="shared" si="29"/>
        <v>leslokaal/leerplein groep 4 t/m 8</v>
      </c>
      <c r="J380" s="295" t="s">
        <v>465</v>
      </c>
      <c r="K380" s="298">
        <v>56.221579439099145</v>
      </c>
      <c r="L380" s="298"/>
      <c r="M380" s="299">
        <v>18200</v>
      </c>
      <c r="N380" s="300">
        <f t="shared" si="56"/>
        <v>200</v>
      </c>
      <c r="O380" s="484">
        <v>1</v>
      </c>
      <c r="P380" s="484">
        <v>1</v>
      </c>
      <c r="Q380" s="292">
        <f t="shared" si="57"/>
        <v>0</v>
      </c>
      <c r="R380" s="292">
        <f t="shared" si="58"/>
        <v>0</v>
      </c>
      <c r="S380" s="301">
        <f t="shared" si="53"/>
        <v>0</v>
      </c>
      <c r="T380" s="301">
        <f t="shared" si="54"/>
        <v>0</v>
      </c>
      <c r="U380" s="771" t="str">
        <f t="shared" si="55"/>
        <v>L</v>
      </c>
      <c r="V380" s="303"/>
      <c r="W380" s="304">
        <f>(Q380+R380)*'1.0-Contractblad'!$L$37</f>
        <v>0</v>
      </c>
      <c r="X380" s="304">
        <f ca="1">VLOOKUP(E380,'1.1a-Jaarprijzen'!$B$35:$Q$57,16,FALSE)*K380</f>
        <v>0</v>
      </c>
      <c r="Z380" s="773">
        <f t="shared" si="59"/>
        <v>11244.315887819828</v>
      </c>
      <c r="AA380" s="492" t="str">
        <f t="shared" si="60"/>
        <v>18200-200</v>
      </c>
    </row>
    <row r="381" spans="2:27" s="490" customFormat="1" ht="15">
      <c r="B381" s="330"/>
      <c r="C381" s="331"/>
      <c r="D381" s="295">
        <f>VLOOKUP(E381,'1.1a-Jaarprijzen'!$B$13:$G$32,6,FALSE)</f>
        <v>2</v>
      </c>
      <c r="E381" s="294" t="s">
        <v>1076</v>
      </c>
      <c r="F381" s="295" t="s">
        <v>605</v>
      </c>
      <c r="G381" s="295" t="s">
        <v>491</v>
      </c>
      <c r="H381" s="710" t="s">
        <v>403</v>
      </c>
      <c r="I381" s="297" t="str">
        <f t="shared" si="29"/>
        <v>leslokaal/bevo/handvaardigheid</v>
      </c>
      <c r="J381" s="295" t="s">
        <v>465</v>
      </c>
      <c r="K381" s="298">
        <v>57.850766280384846</v>
      </c>
      <c r="L381" s="298"/>
      <c r="M381" s="299">
        <v>7040</v>
      </c>
      <c r="N381" s="300">
        <f t="shared" si="56"/>
        <v>40</v>
      </c>
      <c r="O381" s="484">
        <v>1</v>
      </c>
      <c r="P381" s="484">
        <v>1</v>
      </c>
      <c r="Q381" s="292">
        <f t="shared" si="57"/>
        <v>0</v>
      </c>
      <c r="R381" s="292">
        <f t="shared" si="58"/>
        <v>0</v>
      </c>
      <c r="S381" s="301">
        <f t="shared" si="53"/>
        <v>0</v>
      </c>
      <c r="T381" s="301">
        <f t="shared" si="54"/>
        <v>0</v>
      </c>
      <c r="U381" s="771" t="str">
        <f t="shared" si="55"/>
        <v>L</v>
      </c>
      <c r="V381" s="303"/>
      <c r="W381" s="304">
        <f>(Q381+R381)*'1.0-Contractblad'!$L$37</f>
        <v>0</v>
      </c>
      <c r="X381" s="304">
        <f ca="1">VLOOKUP(E381,'1.1a-Jaarprijzen'!$B$35:$Q$57,16,FALSE)*K381</f>
        <v>0</v>
      </c>
      <c r="Z381" s="773">
        <f t="shared" si="59"/>
        <v>2314.0306512153938</v>
      </c>
      <c r="AA381" s="492" t="str">
        <f t="shared" si="60"/>
        <v>7040-40</v>
      </c>
    </row>
    <row r="382" spans="2:27" s="490" customFormat="1" ht="15">
      <c r="B382" s="330"/>
      <c r="C382" s="331"/>
      <c r="D382" s="295">
        <f>VLOOKUP(E382,'1.1a-Jaarprijzen'!$B$13:$G$32,6,FALSE)</f>
        <v>2</v>
      </c>
      <c r="E382" s="294" t="s">
        <v>1076</v>
      </c>
      <c r="F382" s="295" t="s">
        <v>605</v>
      </c>
      <c r="G382" s="295" t="s">
        <v>492</v>
      </c>
      <c r="H382" s="710" t="s">
        <v>403</v>
      </c>
      <c r="I382" s="297" t="str">
        <f t="shared" si="29"/>
        <v>leslokaal/leerplein groep 4 t/m 8</v>
      </c>
      <c r="J382" s="295" t="s">
        <v>465</v>
      </c>
      <c r="K382" s="298">
        <v>58.49463652903669</v>
      </c>
      <c r="L382" s="298"/>
      <c r="M382" s="299">
        <v>18200</v>
      </c>
      <c r="N382" s="300">
        <f t="shared" si="56"/>
        <v>200</v>
      </c>
      <c r="O382" s="484">
        <v>1</v>
      </c>
      <c r="P382" s="484">
        <v>1</v>
      </c>
      <c r="Q382" s="292">
        <f t="shared" si="57"/>
        <v>0</v>
      </c>
      <c r="R382" s="292">
        <f t="shared" si="58"/>
        <v>0</v>
      </c>
      <c r="S382" s="301">
        <f t="shared" si="53"/>
        <v>0</v>
      </c>
      <c r="T382" s="301">
        <f t="shared" si="54"/>
        <v>0</v>
      </c>
      <c r="U382" s="771" t="str">
        <f t="shared" si="55"/>
        <v>L</v>
      </c>
      <c r="V382" s="303"/>
      <c r="W382" s="304">
        <f>(Q382+R382)*'1.0-Contractblad'!$L$37</f>
        <v>0</v>
      </c>
      <c r="X382" s="304">
        <f ca="1">VLOOKUP(E382,'1.1a-Jaarprijzen'!$B$35:$Q$57,16,FALSE)*K382</f>
        <v>0</v>
      </c>
      <c r="Z382" s="773">
        <f t="shared" si="59"/>
        <v>11698.927305807338</v>
      </c>
      <c r="AA382" s="492" t="str">
        <f t="shared" si="60"/>
        <v>18200-200</v>
      </c>
    </row>
    <row r="383" spans="2:27" s="490" customFormat="1" ht="15">
      <c r="B383" s="330"/>
      <c r="C383" s="331"/>
      <c r="D383" s="295">
        <f>VLOOKUP(E383,'1.1a-Jaarprijzen'!$B$13:$G$32,6,FALSE)</f>
        <v>2</v>
      </c>
      <c r="E383" s="294" t="s">
        <v>1076</v>
      </c>
      <c r="F383" s="295" t="s">
        <v>605</v>
      </c>
      <c r="G383" s="295" t="s">
        <v>493</v>
      </c>
      <c r="H383" s="710" t="s">
        <v>403</v>
      </c>
      <c r="I383" s="297" t="str">
        <f t="shared" si="29"/>
        <v>leslokaal/leerplein groep 4 t/m 8</v>
      </c>
      <c r="J383" s="295" t="s">
        <v>465</v>
      </c>
      <c r="K383" s="298">
        <v>56.182556999786911</v>
      </c>
      <c r="L383" s="298"/>
      <c r="M383" s="299">
        <v>18200</v>
      </c>
      <c r="N383" s="300">
        <f t="shared" si="56"/>
        <v>200</v>
      </c>
      <c r="O383" s="484">
        <v>1</v>
      </c>
      <c r="P383" s="484">
        <v>1</v>
      </c>
      <c r="Q383" s="292">
        <f t="shared" si="57"/>
        <v>0</v>
      </c>
      <c r="R383" s="292">
        <f t="shared" si="58"/>
        <v>0</v>
      </c>
      <c r="S383" s="301">
        <f t="shared" si="53"/>
        <v>0</v>
      </c>
      <c r="T383" s="301">
        <f t="shared" si="54"/>
        <v>0</v>
      </c>
      <c r="U383" s="771" t="str">
        <f t="shared" si="55"/>
        <v>L</v>
      </c>
      <c r="V383" s="303"/>
      <c r="W383" s="304">
        <f>(Q383+R383)*'1.0-Contractblad'!$L$37</f>
        <v>0</v>
      </c>
      <c r="X383" s="304">
        <f ca="1">VLOOKUP(E383,'1.1a-Jaarprijzen'!$B$35:$Q$57,16,FALSE)*K383</f>
        <v>0</v>
      </c>
      <c r="Z383" s="773">
        <f t="shared" si="59"/>
        <v>11236.511399957382</v>
      </c>
      <c r="AA383" s="492" t="str">
        <f t="shared" si="60"/>
        <v>18200-200</v>
      </c>
    </row>
    <row r="384" spans="2:27" s="490" customFormat="1" ht="15">
      <c r="B384" s="330"/>
      <c r="C384" s="331"/>
      <c r="D384" s="295">
        <f>VLOOKUP(E384,'1.1a-Jaarprijzen'!$B$13:$G$32,6,FALSE)</f>
        <v>2</v>
      </c>
      <c r="E384" s="294" t="s">
        <v>1076</v>
      </c>
      <c r="F384" s="295" t="s">
        <v>605</v>
      </c>
      <c r="G384" s="295" t="s">
        <v>494</v>
      </c>
      <c r="H384" s="710" t="s">
        <v>403</v>
      </c>
      <c r="I384" s="297" t="str">
        <f t="shared" si="29"/>
        <v>leslokaal/leerplein groep 4 t/m 8</v>
      </c>
      <c r="J384" s="295" t="s">
        <v>465</v>
      </c>
      <c r="K384" s="298">
        <v>56.182556999786911</v>
      </c>
      <c r="L384" s="298"/>
      <c r="M384" s="299">
        <v>18200</v>
      </c>
      <c r="N384" s="300">
        <f t="shared" si="56"/>
        <v>200</v>
      </c>
      <c r="O384" s="484">
        <v>1</v>
      </c>
      <c r="P384" s="484">
        <v>1</v>
      </c>
      <c r="Q384" s="292">
        <f t="shared" si="57"/>
        <v>0</v>
      </c>
      <c r="R384" s="292">
        <f t="shared" si="58"/>
        <v>0</v>
      </c>
      <c r="S384" s="301">
        <f t="shared" si="53"/>
        <v>0</v>
      </c>
      <c r="T384" s="301">
        <f t="shared" si="54"/>
        <v>0</v>
      </c>
      <c r="U384" s="771" t="str">
        <f t="shared" si="55"/>
        <v>L</v>
      </c>
      <c r="V384" s="303"/>
      <c r="W384" s="304">
        <f>(Q384+R384)*'1.0-Contractblad'!$L$37</f>
        <v>0</v>
      </c>
      <c r="X384" s="304">
        <f ca="1">VLOOKUP(E384,'1.1a-Jaarprijzen'!$B$35:$Q$57,16,FALSE)*K384</f>
        <v>0</v>
      </c>
      <c r="Z384" s="773">
        <f t="shared" si="59"/>
        <v>11236.511399957382</v>
      </c>
      <c r="AA384" s="492" t="str">
        <f t="shared" si="60"/>
        <v>18200-200</v>
      </c>
    </row>
    <row r="385" spans="2:27" s="490" customFormat="1" ht="15">
      <c r="B385" s="330"/>
      <c r="C385" s="331"/>
      <c r="D385" s="295">
        <f>VLOOKUP(E385,'1.1a-Jaarprijzen'!$B$13:$G$32,6,FALSE)</f>
        <v>2</v>
      </c>
      <c r="E385" s="294" t="s">
        <v>1076</v>
      </c>
      <c r="F385" s="295" t="s">
        <v>605</v>
      </c>
      <c r="G385" s="295" t="s">
        <v>495</v>
      </c>
      <c r="H385" s="710" t="s">
        <v>403</v>
      </c>
      <c r="I385" s="297" t="str">
        <f t="shared" si="29"/>
        <v>leslokaal/leerplein groep 4 t/m 8</v>
      </c>
      <c r="J385" s="295" t="s">
        <v>465</v>
      </c>
      <c r="K385" s="298">
        <v>55.460641872510607</v>
      </c>
      <c r="L385" s="298"/>
      <c r="M385" s="299">
        <v>18200</v>
      </c>
      <c r="N385" s="300">
        <f t="shared" si="56"/>
        <v>200</v>
      </c>
      <c r="O385" s="484">
        <v>1</v>
      </c>
      <c r="P385" s="484">
        <v>1</v>
      </c>
      <c r="Q385" s="292">
        <f t="shared" si="57"/>
        <v>0</v>
      </c>
      <c r="R385" s="292">
        <f t="shared" si="58"/>
        <v>0</v>
      </c>
      <c r="S385" s="301">
        <f t="shared" si="53"/>
        <v>0</v>
      </c>
      <c r="T385" s="301">
        <f t="shared" si="54"/>
        <v>0</v>
      </c>
      <c r="U385" s="771" t="str">
        <f t="shared" si="55"/>
        <v>L</v>
      </c>
      <c r="V385" s="303"/>
      <c r="W385" s="304">
        <f>(Q385+R385)*'1.0-Contractblad'!$L$37</f>
        <v>0</v>
      </c>
      <c r="X385" s="304">
        <f ca="1">VLOOKUP(E385,'1.1a-Jaarprijzen'!$B$35:$Q$57,16,FALSE)*K385</f>
        <v>0</v>
      </c>
      <c r="Z385" s="773">
        <f t="shared" si="59"/>
        <v>11092.128374502121</v>
      </c>
      <c r="AA385" s="492" t="str">
        <f t="shared" si="60"/>
        <v>18200-200</v>
      </c>
    </row>
    <row r="386" spans="2:27" s="490" customFormat="1" ht="15">
      <c r="B386" s="330"/>
      <c r="C386" s="331"/>
      <c r="D386" s="295">
        <f>VLOOKUP(E386,'1.1a-Jaarprijzen'!$B$13:$G$32,6,FALSE)</f>
        <v>2</v>
      </c>
      <c r="E386" s="686" t="s">
        <v>1076</v>
      </c>
      <c r="F386" s="295" t="s">
        <v>605</v>
      </c>
      <c r="G386" s="295" t="s">
        <v>496</v>
      </c>
      <c r="H386" s="710" t="s">
        <v>1054</v>
      </c>
      <c r="I386" s="297" t="str">
        <f t="shared" si="29"/>
        <v>Kinderopvang</v>
      </c>
      <c r="J386" s="295" t="s">
        <v>465</v>
      </c>
      <c r="K386" s="298">
        <v>55.480153092166717</v>
      </c>
      <c r="L386" s="298"/>
      <c r="M386" s="299">
        <v>22260</v>
      </c>
      <c r="N386" s="300">
        <f t="shared" si="56"/>
        <v>260</v>
      </c>
      <c r="O386" s="484">
        <v>1</v>
      </c>
      <c r="P386" s="484">
        <v>1</v>
      </c>
      <c r="Q386" s="292">
        <f t="shared" si="57"/>
        <v>0</v>
      </c>
      <c r="R386" s="292">
        <f t="shared" si="58"/>
        <v>0</v>
      </c>
      <c r="S386" s="301">
        <f t="shared" si="53"/>
        <v>0</v>
      </c>
      <c r="T386" s="301">
        <f t="shared" si="54"/>
        <v>0</v>
      </c>
      <c r="U386" s="771" t="str">
        <f t="shared" si="55"/>
        <v>L</v>
      </c>
      <c r="V386" s="303" t="s">
        <v>1070</v>
      </c>
      <c r="W386" s="304">
        <f>(Q386+R386)*'1.0-Contractblad'!$L$37</f>
        <v>0</v>
      </c>
      <c r="X386" s="304">
        <f ca="1">VLOOKUP(E386,'1.1a-Jaarprijzen'!$B$35:$Q$57,16,FALSE)*K386</f>
        <v>0</v>
      </c>
      <c r="Z386" s="773">
        <f t="shared" si="59"/>
        <v>14424.839803963347</v>
      </c>
      <c r="AA386" s="492" t="str">
        <f t="shared" si="60"/>
        <v>22260-260</v>
      </c>
    </row>
    <row r="387" spans="2:27" s="490" customFormat="1" ht="15">
      <c r="B387" s="330"/>
      <c r="C387" s="331"/>
      <c r="D387" s="295">
        <f>VLOOKUP(E387,'1.1a-Jaarprijzen'!$B$13:$G$32,6,FALSE)</f>
        <v>2</v>
      </c>
      <c r="E387" s="294" t="s">
        <v>1076</v>
      </c>
      <c r="F387" s="295" t="s">
        <v>605</v>
      </c>
      <c r="G387" s="295" t="s">
        <v>497</v>
      </c>
      <c r="H387" s="710" t="s">
        <v>403</v>
      </c>
      <c r="I387" s="297" t="str">
        <f t="shared" si="29"/>
        <v>leslokaal groep 1 t/m 3</v>
      </c>
      <c r="J387" s="295" t="s">
        <v>465</v>
      </c>
      <c r="K387" s="298">
        <v>56.182556999786911</v>
      </c>
      <c r="L387" s="298"/>
      <c r="M387" s="299">
        <v>7200</v>
      </c>
      <c r="N387" s="300">
        <f t="shared" si="56"/>
        <v>200</v>
      </c>
      <c r="O387" s="484">
        <v>1</v>
      </c>
      <c r="P387" s="484">
        <v>1</v>
      </c>
      <c r="Q387" s="292">
        <f t="shared" si="57"/>
        <v>0</v>
      </c>
      <c r="R387" s="292">
        <f t="shared" si="58"/>
        <v>0</v>
      </c>
      <c r="S387" s="301">
        <f t="shared" si="53"/>
        <v>0</v>
      </c>
      <c r="T387" s="301">
        <f t="shared" si="54"/>
        <v>0</v>
      </c>
      <c r="U387" s="771" t="str">
        <f t="shared" si="55"/>
        <v>L</v>
      </c>
      <c r="V387" s="303"/>
      <c r="W387" s="304">
        <f>(Q387+R387)*'1.0-Contractblad'!$L$37</f>
        <v>0</v>
      </c>
      <c r="X387" s="304">
        <f ca="1">VLOOKUP(E387,'1.1a-Jaarprijzen'!$B$35:$Q$57,16,FALSE)*K387</f>
        <v>0</v>
      </c>
      <c r="Z387" s="773">
        <f t="shared" si="59"/>
        <v>11236.511399957382</v>
      </c>
      <c r="AA387" s="492" t="str">
        <f t="shared" si="60"/>
        <v>7200-200</v>
      </c>
    </row>
    <row r="388" spans="2:27" s="490" customFormat="1" ht="15">
      <c r="B388" s="330"/>
      <c r="C388" s="331"/>
      <c r="D388" s="295">
        <f>VLOOKUP(E388,'1.1a-Jaarprijzen'!$B$13:$G$32,6,FALSE)</f>
        <v>2</v>
      </c>
      <c r="E388" s="686" t="s">
        <v>1076</v>
      </c>
      <c r="F388" s="295" t="s">
        <v>605</v>
      </c>
      <c r="G388" s="295" t="s">
        <v>498</v>
      </c>
      <c r="H388" s="710" t="s">
        <v>1054</v>
      </c>
      <c r="I388" s="297" t="str">
        <f t="shared" si="29"/>
        <v>Kinderopvang</v>
      </c>
      <c r="J388" s="295" t="s">
        <v>465</v>
      </c>
      <c r="K388" s="298">
        <v>58.611703846973384</v>
      </c>
      <c r="L388" s="298"/>
      <c r="M388" s="299">
        <v>22260</v>
      </c>
      <c r="N388" s="300">
        <f t="shared" si="56"/>
        <v>260</v>
      </c>
      <c r="O388" s="484">
        <v>1</v>
      </c>
      <c r="P388" s="484">
        <v>1</v>
      </c>
      <c r="Q388" s="292">
        <f t="shared" si="57"/>
        <v>0</v>
      </c>
      <c r="R388" s="292">
        <f t="shared" si="58"/>
        <v>0</v>
      </c>
      <c r="S388" s="301">
        <f t="shared" si="53"/>
        <v>0</v>
      </c>
      <c r="T388" s="301">
        <f t="shared" si="54"/>
        <v>0</v>
      </c>
      <c r="U388" s="771" t="str">
        <f t="shared" si="55"/>
        <v>L</v>
      </c>
      <c r="V388" s="303" t="s">
        <v>1070</v>
      </c>
      <c r="W388" s="304">
        <f>(Q388+R388)*'1.0-Contractblad'!$L$37</f>
        <v>0</v>
      </c>
      <c r="X388" s="304">
        <f ca="1">VLOOKUP(E388,'1.1a-Jaarprijzen'!$B$35:$Q$57,16,FALSE)*K388</f>
        <v>0</v>
      </c>
      <c r="Z388" s="773">
        <f t="shared" si="59"/>
        <v>15239.04300021308</v>
      </c>
      <c r="AA388" s="492" t="str">
        <f t="shared" si="60"/>
        <v>22260-260</v>
      </c>
    </row>
    <row r="389" spans="2:27" s="490" customFormat="1" ht="15">
      <c r="B389" s="330"/>
      <c r="C389" s="331"/>
      <c r="D389" s="295">
        <f>VLOOKUP(E389,'1.1a-Jaarprijzen'!$B$13:$G$32,6,FALSE)</f>
        <v>2</v>
      </c>
      <c r="E389" s="294" t="s">
        <v>1076</v>
      </c>
      <c r="F389" s="295" t="s">
        <v>605</v>
      </c>
      <c r="G389" s="296" t="s">
        <v>499</v>
      </c>
      <c r="H389" s="294" t="s">
        <v>403</v>
      </c>
      <c r="I389" s="297" t="str">
        <f t="shared" si="29"/>
        <v>leslokaal groep 1 t/m 3</v>
      </c>
      <c r="J389" s="295" t="s">
        <v>465</v>
      </c>
      <c r="K389" s="298">
        <v>57.70443213296398</v>
      </c>
      <c r="L389" s="298"/>
      <c r="M389" s="299">
        <v>7200</v>
      </c>
      <c r="N389" s="300">
        <f t="shared" si="56"/>
        <v>200</v>
      </c>
      <c r="O389" s="484">
        <v>1</v>
      </c>
      <c r="P389" s="484">
        <v>1</v>
      </c>
      <c r="Q389" s="292">
        <f t="shared" si="57"/>
        <v>0</v>
      </c>
      <c r="R389" s="292">
        <f t="shared" si="58"/>
        <v>0</v>
      </c>
      <c r="S389" s="301">
        <f t="shared" si="53"/>
        <v>0</v>
      </c>
      <c r="T389" s="301">
        <f t="shared" si="54"/>
        <v>0</v>
      </c>
      <c r="U389" s="771" t="str">
        <f t="shared" si="55"/>
        <v>L</v>
      </c>
      <c r="V389" s="303"/>
      <c r="W389" s="304">
        <f>(Q389+R389)*'1.0-Contractblad'!$L$37</f>
        <v>0</v>
      </c>
      <c r="X389" s="304">
        <f ca="1">VLOOKUP(E389,'1.1a-Jaarprijzen'!$B$35:$Q$57,16,FALSE)*K389</f>
        <v>0</v>
      </c>
      <c r="Z389" s="773">
        <f t="shared" si="59"/>
        <v>11540.886426592797</v>
      </c>
      <c r="AA389" s="492" t="str">
        <f t="shared" si="60"/>
        <v>7200-200</v>
      </c>
    </row>
    <row r="390" spans="2:27" s="490" customFormat="1" ht="15">
      <c r="B390" s="330"/>
      <c r="C390" s="331"/>
      <c r="D390" s="295">
        <f>VLOOKUP(E390,'1.1a-Jaarprijzen'!$B$13:$G$32,6,FALSE)</f>
        <v>2</v>
      </c>
      <c r="E390" s="294" t="s">
        <v>1076</v>
      </c>
      <c r="F390" s="295" t="s">
        <v>605</v>
      </c>
      <c r="G390" s="296" t="s">
        <v>500</v>
      </c>
      <c r="H390" s="294" t="s">
        <v>403</v>
      </c>
      <c r="I390" s="297" t="str">
        <f t="shared" si="29"/>
        <v>leslokaal groep 1 t/m 3</v>
      </c>
      <c r="J390" s="295" t="s">
        <v>465</v>
      </c>
      <c r="K390" s="298">
        <v>56.299624317723605</v>
      </c>
      <c r="L390" s="298"/>
      <c r="M390" s="299">
        <v>7200</v>
      </c>
      <c r="N390" s="300">
        <f t="shared" si="56"/>
        <v>200</v>
      </c>
      <c r="O390" s="484">
        <v>1</v>
      </c>
      <c r="P390" s="484">
        <v>1</v>
      </c>
      <c r="Q390" s="292">
        <f t="shared" si="57"/>
        <v>0</v>
      </c>
      <c r="R390" s="292">
        <f t="shared" si="58"/>
        <v>0</v>
      </c>
      <c r="S390" s="301">
        <f t="shared" si="53"/>
        <v>0</v>
      </c>
      <c r="T390" s="301">
        <f t="shared" si="54"/>
        <v>0</v>
      </c>
      <c r="U390" s="771" t="str">
        <f t="shared" si="55"/>
        <v>L</v>
      </c>
      <c r="V390" s="303"/>
      <c r="W390" s="304">
        <f>(Q390+R390)*'1.0-Contractblad'!$L$37</f>
        <v>0</v>
      </c>
      <c r="X390" s="304">
        <f ca="1">VLOOKUP(E390,'1.1a-Jaarprijzen'!$B$35:$Q$57,16,FALSE)*K390</f>
        <v>0</v>
      </c>
      <c r="Z390" s="773">
        <f t="shared" si="59"/>
        <v>11259.92486354472</v>
      </c>
      <c r="AA390" s="492" t="str">
        <f t="shared" si="60"/>
        <v>7200-200</v>
      </c>
    </row>
    <row r="391" spans="2:27" s="490" customFormat="1" ht="15">
      <c r="B391" s="330"/>
      <c r="C391" s="331"/>
      <c r="D391" s="295">
        <f>VLOOKUP(E391,'1.1a-Jaarprijzen'!$B$13:$G$32,6,FALSE)</f>
        <v>2</v>
      </c>
      <c r="E391" s="294" t="s">
        <v>1076</v>
      </c>
      <c r="F391" s="295" t="s">
        <v>605</v>
      </c>
      <c r="G391" s="296" t="s">
        <v>510</v>
      </c>
      <c r="H391" s="294" t="s">
        <v>390</v>
      </c>
      <c r="I391" s="297" t="str">
        <f t="shared" si="29"/>
        <v>speellokaal</v>
      </c>
      <c r="J391" s="295" t="s">
        <v>465</v>
      </c>
      <c r="K391" s="298">
        <v>89.361386025012678</v>
      </c>
      <c r="L391" s="298"/>
      <c r="M391" s="299">
        <v>8200</v>
      </c>
      <c r="N391" s="300">
        <f t="shared" si="56"/>
        <v>200</v>
      </c>
      <c r="O391" s="484">
        <v>1</v>
      </c>
      <c r="P391" s="484">
        <v>1</v>
      </c>
      <c r="Q391" s="292">
        <f t="shared" si="57"/>
        <v>0</v>
      </c>
      <c r="R391" s="292">
        <f t="shared" si="58"/>
        <v>0</v>
      </c>
      <c r="S391" s="301">
        <f t="shared" si="53"/>
        <v>0</v>
      </c>
      <c r="T391" s="301">
        <f t="shared" si="54"/>
        <v>0</v>
      </c>
      <c r="U391" s="771" t="str">
        <f t="shared" si="55"/>
        <v>L</v>
      </c>
      <c r="V391" s="303"/>
      <c r="W391" s="304">
        <f>(Q391+R391)*'1.0-Contractblad'!$L$37</f>
        <v>0</v>
      </c>
      <c r="X391" s="304">
        <f ca="1">VLOOKUP(E391,'1.1a-Jaarprijzen'!$B$35:$Q$57,16,FALSE)*K391</f>
        <v>0</v>
      </c>
      <c r="Z391" s="773">
        <f t="shared" si="59"/>
        <v>17872.277205002534</v>
      </c>
      <c r="AA391" s="492" t="str">
        <f t="shared" si="60"/>
        <v>8200-200</v>
      </c>
    </row>
    <row r="392" spans="2:27" s="490" customFormat="1" ht="15">
      <c r="B392" s="330"/>
      <c r="C392" s="331"/>
      <c r="D392" s="295">
        <f>VLOOKUP(E392,'1.1a-Jaarprijzen'!$B$13:$G$32,6,FALSE)</f>
        <v>2</v>
      </c>
      <c r="E392" s="294" t="s">
        <v>1076</v>
      </c>
      <c r="F392" s="295" t="s">
        <v>605</v>
      </c>
      <c r="G392" s="296" t="s">
        <v>671</v>
      </c>
      <c r="H392" s="294" t="s">
        <v>703</v>
      </c>
      <c r="I392" s="297" t="str">
        <f t="shared" si="29"/>
        <v>leslokaal/bevo/handvaardigheid</v>
      </c>
      <c r="J392" s="295" t="s">
        <v>465</v>
      </c>
      <c r="K392" s="298">
        <v>50.563325738825412</v>
      </c>
      <c r="L392" s="298"/>
      <c r="M392" s="299">
        <v>7040</v>
      </c>
      <c r="N392" s="300">
        <f t="shared" si="56"/>
        <v>40</v>
      </c>
      <c r="O392" s="484">
        <v>1</v>
      </c>
      <c r="P392" s="484">
        <v>1</v>
      </c>
      <c r="Q392" s="292">
        <f t="shared" si="57"/>
        <v>0</v>
      </c>
      <c r="R392" s="292">
        <f t="shared" si="58"/>
        <v>0</v>
      </c>
      <c r="S392" s="301">
        <f t="shared" si="53"/>
        <v>0</v>
      </c>
      <c r="T392" s="301">
        <f t="shared" si="54"/>
        <v>0</v>
      </c>
      <c r="U392" s="771" t="str">
        <f t="shared" si="55"/>
        <v>L</v>
      </c>
      <c r="V392" s="303"/>
      <c r="W392" s="304">
        <f>(Q392+R392)*'1.0-Contractblad'!$L$37</f>
        <v>0</v>
      </c>
      <c r="X392" s="304">
        <f ca="1">VLOOKUP(E392,'1.1a-Jaarprijzen'!$B$35:$Q$57,16,FALSE)*K392</f>
        <v>0</v>
      </c>
      <c r="Z392" s="773">
        <f t="shared" si="59"/>
        <v>2022.5330295530166</v>
      </c>
      <c r="AA392" s="492" t="str">
        <f t="shared" si="60"/>
        <v>7040-40</v>
      </c>
    </row>
    <row r="393" spans="2:27" s="490" customFormat="1" ht="15">
      <c r="B393" s="330"/>
      <c r="C393" s="331"/>
      <c r="D393" s="295">
        <f>VLOOKUP(E393,'1.1a-Jaarprijzen'!$B$13:$G$32,6,FALSE)</f>
        <v>2</v>
      </c>
      <c r="E393" s="294" t="s">
        <v>1076</v>
      </c>
      <c r="F393" s="295" t="s">
        <v>605</v>
      </c>
      <c r="G393" s="296" t="s">
        <v>723</v>
      </c>
      <c r="H393" s="294" t="s">
        <v>400</v>
      </c>
      <c r="I393" s="297" t="str">
        <f t="shared" si="29"/>
        <v>trappenhuis</v>
      </c>
      <c r="J393" s="295" t="s">
        <v>465</v>
      </c>
      <c r="K393" s="298">
        <v>2.6001906645010942</v>
      </c>
      <c r="L393" s="298"/>
      <c r="M393" s="299">
        <v>9200</v>
      </c>
      <c r="N393" s="300">
        <f t="shared" si="56"/>
        <v>200</v>
      </c>
      <c r="O393" s="484">
        <v>1</v>
      </c>
      <c r="P393" s="484">
        <v>1</v>
      </c>
      <c r="Q393" s="292">
        <f t="shared" si="57"/>
        <v>0</v>
      </c>
      <c r="R393" s="292">
        <f t="shared" si="58"/>
        <v>0</v>
      </c>
      <c r="S393" s="301">
        <f t="shared" si="53"/>
        <v>0</v>
      </c>
      <c r="T393" s="301">
        <f t="shared" si="54"/>
        <v>0</v>
      </c>
      <c r="U393" s="771" t="str">
        <f t="shared" si="55"/>
        <v>V</v>
      </c>
      <c r="V393" s="303"/>
      <c r="W393" s="304">
        <f>(Q393+R393)*'1.0-Contractblad'!$L$37</f>
        <v>0</v>
      </c>
      <c r="X393" s="304">
        <f ca="1">VLOOKUP(E393,'1.1a-Jaarprijzen'!$B$35:$Q$57,16,FALSE)*K393</f>
        <v>0</v>
      </c>
      <c r="Z393" s="773">
        <f t="shared" si="59"/>
        <v>520.03813290021878</v>
      </c>
      <c r="AA393" s="492" t="str">
        <f t="shared" si="60"/>
        <v>9200-200</v>
      </c>
    </row>
    <row r="394" spans="2:27" s="490" customFormat="1" ht="15">
      <c r="B394" s="330"/>
      <c r="C394" s="331"/>
      <c r="D394" s="295">
        <f>VLOOKUP(E394,'1.1a-Jaarprijzen'!$B$13:$G$32,6,FALSE)</f>
        <v>2</v>
      </c>
      <c r="E394" s="294" t="s">
        <v>1076</v>
      </c>
      <c r="F394" s="295" t="s">
        <v>605</v>
      </c>
      <c r="G394" s="296" t="s">
        <v>724</v>
      </c>
      <c r="H394" s="294" t="s">
        <v>400</v>
      </c>
      <c r="I394" s="297" t="str">
        <f t="shared" si="29"/>
        <v>trappenhuis</v>
      </c>
      <c r="J394" s="295" t="s">
        <v>465</v>
      </c>
      <c r="K394" s="298">
        <v>2.929026629572494</v>
      </c>
      <c r="L394" s="298"/>
      <c r="M394" s="299">
        <v>9200</v>
      </c>
      <c r="N394" s="300">
        <f t="shared" si="56"/>
        <v>200</v>
      </c>
      <c r="O394" s="484">
        <v>1</v>
      </c>
      <c r="P394" s="484">
        <v>1</v>
      </c>
      <c r="Q394" s="292">
        <f t="shared" si="57"/>
        <v>0</v>
      </c>
      <c r="R394" s="292">
        <f t="shared" si="58"/>
        <v>0</v>
      </c>
      <c r="S394" s="301">
        <f t="shared" si="53"/>
        <v>0</v>
      </c>
      <c r="T394" s="301">
        <f t="shared" si="54"/>
        <v>0</v>
      </c>
      <c r="U394" s="771" t="str">
        <f t="shared" si="55"/>
        <v>V</v>
      </c>
      <c r="V394" s="303"/>
      <c r="W394" s="304">
        <f>(Q394+R394)*'1.0-Contractblad'!$L$37</f>
        <v>0</v>
      </c>
      <c r="X394" s="304">
        <f ca="1">VLOOKUP(E394,'1.1a-Jaarprijzen'!$B$35:$Q$57,16,FALSE)*K394</f>
        <v>0</v>
      </c>
      <c r="Z394" s="773">
        <f t="shared" si="59"/>
        <v>585.80532591449878</v>
      </c>
      <c r="AA394" s="492" t="str">
        <f t="shared" si="60"/>
        <v>9200-200</v>
      </c>
    </row>
    <row r="395" spans="2:27" s="490" customFormat="1" ht="15">
      <c r="B395" s="330"/>
      <c r="C395" s="331"/>
      <c r="D395" s="295">
        <f>VLOOKUP(E395,'1.1a-Jaarprijzen'!$B$13:$G$32,6,FALSE)</f>
        <v>2</v>
      </c>
      <c r="E395" s="294" t="s">
        <v>1076</v>
      </c>
      <c r="F395" s="295" t="s">
        <v>605</v>
      </c>
      <c r="G395" s="296" t="s">
        <v>526</v>
      </c>
      <c r="H395" s="294" t="s">
        <v>387</v>
      </c>
      <c r="I395" s="297" t="str">
        <f t="shared" si="29"/>
        <v>entree, gang, hal, repro</v>
      </c>
      <c r="J395" s="295" t="s">
        <v>465</v>
      </c>
      <c r="K395" s="298">
        <v>113.09678473667819</v>
      </c>
      <c r="L395" s="298"/>
      <c r="M395" s="299">
        <v>3200</v>
      </c>
      <c r="N395" s="300">
        <f t="shared" si="56"/>
        <v>200</v>
      </c>
      <c r="O395" s="484">
        <v>1</v>
      </c>
      <c r="P395" s="484">
        <v>1</v>
      </c>
      <c r="Q395" s="292">
        <f t="shared" si="57"/>
        <v>0</v>
      </c>
      <c r="R395" s="292">
        <f t="shared" si="58"/>
        <v>0</v>
      </c>
      <c r="S395" s="301">
        <f t="shared" si="53"/>
        <v>0</v>
      </c>
      <c r="T395" s="301">
        <f t="shared" si="54"/>
        <v>0</v>
      </c>
      <c r="U395" s="771" t="str">
        <f t="shared" si="55"/>
        <v>V</v>
      </c>
      <c r="V395" s="303"/>
      <c r="W395" s="304">
        <f>(Q395+R395)*'1.0-Contractblad'!$L$37</f>
        <v>0</v>
      </c>
      <c r="X395" s="304">
        <f ca="1">VLOOKUP(E395,'1.1a-Jaarprijzen'!$B$35:$Q$57,16,FALSE)*K395</f>
        <v>0</v>
      </c>
      <c r="Z395" s="773">
        <f t="shared" si="59"/>
        <v>22619.356947335637</v>
      </c>
      <c r="AA395" s="492" t="str">
        <f t="shared" si="60"/>
        <v>3200-200</v>
      </c>
    </row>
    <row r="396" spans="2:27" s="490" customFormat="1" ht="15">
      <c r="B396" s="330"/>
      <c r="C396" s="331"/>
      <c r="D396" s="295">
        <f>VLOOKUP(E396,'1.1a-Jaarprijzen'!$B$13:$G$32,6,FALSE)</f>
        <v>2</v>
      </c>
      <c r="E396" s="294" t="s">
        <v>1076</v>
      </c>
      <c r="F396" s="295" t="s">
        <v>605</v>
      </c>
      <c r="G396" s="296" t="s">
        <v>527</v>
      </c>
      <c r="H396" s="294" t="s">
        <v>387</v>
      </c>
      <c r="I396" s="297" t="str">
        <f t="shared" si="29"/>
        <v>entree, gang, hal, repro</v>
      </c>
      <c r="J396" s="295" t="s">
        <v>465</v>
      </c>
      <c r="K396" s="298">
        <v>52.13397892114277</v>
      </c>
      <c r="L396" s="298"/>
      <c r="M396" s="299">
        <v>3200</v>
      </c>
      <c r="N396" s="300">
        <f t="shared" si="56"/>
        <v>200</v>
      </c>
      <c r="O396" s="484">
        <v>1</v>
      </c>
      <c r="P396" s="484">
        <v>1</v>
      </c>
      <c r="Q396" s="292">
        <f t="shared" si="57"/>
        <v>0</v>
      </c>
      <c r="R396" s="292">
        <f t="shared" si="58"/>
        <v>0</v>
      </c>
      <c r="S396" s="301">
        <f t="shared" si="53"/>
        <v>0</v>
      </c>
      <c r="T396" s="301">
        <f t="shared" si="54"/>
        <v>0</v>
      </c>
      <c r="U396" s="771" t="str">
        <f t="shared" si="55"/>
        <v>V</v>
      </c>
      <c r="V396" s="303"/>
      <c r="W396" s="304">
        <f>(Q396+R396)*'1.0-Contractblad'!$L$37</f>
        <v>0</v>
      </c>
      <c r="X396" s="304">
        <f ca="1">VLOOKUP(E396,'1.1a-Jaarprijzen'!$B$35:$Q$57,16,FALSE)*K396</f>
        <v>0</v>
      </c>
      <c r="Z396" s="773">
        <f t="shared" si="59"/>
        <v>10426.795784228554</v>
      </c>
      <c r="AA396" s="492" t="str">
        <f t="shared" si="60"/>
        <v>3200-200</v>
      </c>
    </row>
    <row r="397" spans="2:27" s="490" customFormat="1" ht="15">
      <c r="B397" s="330"/>
      <c r="C397" s="331"/>
      <c r="D397" s="295">
        <f>VLOOKUP(E397,'1.1a-Jaarprijzen'!$B$13:$G$32,6,FALSE)</f>
        <v>2</v>
      </c>
      <c r="E397" s="294" t="s">
        <v>1076</v>
      </c>
      <c r="F397" s="295" t="s">
        <v>605</v>
      </c>
      <c r="G397" s="296" t="s">
        <v>528</v>
      </c>
      <c r="H397" s="294" t="s">
        <v>387</v>
      </c>
      <c r="I397" s="297" t="str">
        <f t="shared" si="29"/>
        <v>entree, gang, hal, repro</v>
      </c>
      <c r="J397" s="295" t="s">
        <v>465</v>
      </c>
      <c r="K397" s="298">
        <v>34.16414561785966</v>
      </c>
      <c r="L397" s="298"/>
      <c r="M397" s="299">
        <v>3260</v>
      </c>
      <c r="N397" s="300">
        <f t="shared" si="56"/>
        <v>260</v>
      </c>
      <c r="O397" s="484">
        <v>1</v>
      </c>
      <c r="P397" s="484">
        <v>1</v>
      </c>
      <c r="Q397" s="292">
        <f t="shared" si="57"/>
        <v>0</v>
      </c>
      <c r="R397" s="292">
        <f t="shared" si="58"/>
        <v>0</v>
      </c>
      <c r="S397" s="301">
        <f t="shared" si="53"/>
        <v>0</v>
      </c>
      <c r="T397" s="301">
        <f t="shared" si="54"/>
        <v>0</v>
      </c>
      <c r="U397" s="771" t="str">
        <f t="shared" si="55"/>
        <v>V</v>
      </c>
      <c r="V397" s="303"/>
      <c r="W397" s="304">
        <f>(Q397+R397)*'1.0-Contractblad'!$L$37</f>
        <v>0</v>
      </c>
      <c r="X397" s="304">
        <f ca="1">VLOOKUP(E397,'1.1a-Jaarprijzen'!$B$35:$Q$57,16,FALSE)*K397</f>
        <v>0</v>
      </c>
      <c r="Z397" s="773">
        <f t="shared" si="59"/>
        <v>8882.6778606435109</v>
      </c>
      <c r="AA397" s="492" t="str">
        <f t="shared" si="60"/>
        <v>3260-260</v>
      </c>
    </row>
    <row r="398" spans="2:27" s="490" customFormat="1" ht="15">
      <c r="B398" s="330"/>
      <c r="C398" s="331"/>
      <c r="D398" s="295">
        <f>VLOOKUP(E398,'1.1a-Jaarprijzen'!$B$13:$G$32,6,FALSE)</f>
        <v>2</v>
      </c>
      <c r="E398" s="294" t="s">
        <v>1076</v>
      </c>
      <c r="F398" s="295" t="s">
        <v>605</v>
      </c>
      <c r="G398" s="296" t="s">
        <v>690</v>
      </c>
      <c r="H398" s="294" t="s">
        <v>387</v>
      </c>
      <c r="I398" s="297" t="str">
        <f t="shared" si="29"/>
        <v>entree, gang, hal, repro</v>
      </c>
      <c r="J398" s="295" t="s">
        <v>465</v>
      </c>
      <c r="K398" s="298">
        <v>40.973561277844247</v>
      </c>
      <c r="L398" s="298"/>
      <c r="M398" s="299">
        <v>3260</v>
      </c>
      <c r="N398" s="300">
        <f t="shared" si="56"/>
        <v>260</v>
      </c>
      <c r="O398" s="484">
        <v>1</v>
      </c>
      <c r="P398" s="484">
        <v>1</v>
      </c>
      <c r="Q398" s="292">
        <f t="shared" si="57"/>
        <v>0</v>
      </c>
      <c r="R398" s="292">
        <f t="shared" si="58"/>
        <v>0</v>
      </c>
      <c r="S398" s="301">
        <f t="shared" si="53"/>
        <v>0</v>
      </c>
      <c r="T398" s="301">
        <f t="shared" si="54"/>
        <v>0</v>
      </c>
      <c r="U398" s="771" t="str">
        <f t="shared" si="55"/>
        <v>V</v>
      </c>
      <c r="V398" s="303"/>
      <c r="W398" s="304">
        <f>(Q398+R398)*'1.0-Contractblad'!$L$37</f>
        <v>0</v>
      </c>
      <c r="X398" s="304">
        <f ca="1">VLOOKUP(E398,'1.1a-Jaarprijzen'!$B$35:$Q$57,16,FALSE)*K398</f>
        <v>0</v>
      </c>
      <c r="Z398" s="773">
        <f t="shared" si="59"/>
        <v>10653.125932239504</v>
      </c>
      <c r="AA398" s="492" t="str">
        <f t="shared" si="60"/>
        <v>3260-260</v>
      </c>
    </row>
    <row r="399" spans="2:27" s="490" customFormat="1" ht="15">
      <c r="B399" s="330"/>
      <c r="C399" s="331"/>
      <c r="D399" s="295">
        <f>VLOOKUP(E399,'1.1a-Jaarprijzen'!$B$13:$G$32,6,FALSE)</f>
        <v>2</v>
      </c>
      <c r="E399" s="294" t="s">
        <v>1076</v>
      </c>
      <c r="F399" s="295" t="s">
        <v>874</v>
      </c>
      <c r="G399" s="296" t="s">
        <v>529</v>
      </c>
      <c r="H399" s="294" t="s">
        <v>387</v>
      </c>
      <c r="I399" s="297" t="str">
        <f t="shared" si="29"/>
        <v>entree, gang, hal, repro</v>
      </c>
      <c r="J399" s="295" t="s">
        <v>465</v>
      </c>
      <c r="K399" s="298">
        <v>5.9653472222222224</v>
      </c>
      <c r="L399" s="298"/>
      <c r="M399" s="299">
        <v>3260</v>
      </c>
      <c r="N399" s="300">
        <f t="shared" si="56"/>
        <v>260</v>
      </c>
      <c r="O399" s="484">
        <v>1</v>
      </c>
      <c r="P399" s="484">
        <v>1</v>
      </c>
      <c r="Q399" s="292">
        <f t="shared" si="57"/>
        <v>0</v>
      </c>
      <c r="R399" s="292">
        <f t="shared" si="58"/>
        <v>0</v>
      </c>
      <c r="S399" s="301">
        <f t="shared" si="53"/>
        <v>0</v>
      </c>
      <c r="T399" s="301">
        <f t="shared" si="54"/>
        <v>0</v>
      </c>
      <c r="U399" s="771" t="str">
        <f t="shared" si="55"/>
        <v>V</v>
      </c>
      <c r="V399" s="303"/>
      <c r="W399" s="304">
        <f>(Q399+R399)*'1.0-Contractblad'!$L$37</f>
        <v>0</v>
      </c>
      <c r="X399" s="304">
        <f ca="1">VLOOKUP(E399,'1.1a-Jaarprijzen'!$B$35:$Q$57,16,FALSE)*K399</f>
        <v>0</v>
      </c>
      <c r="Z399" s="773">
        <f t="shared" si="59"/>
        <v>1550.9902777777779</v>
      </c>
      <c r="AA399" s="492" t="str">
        <f t="shared" si="60"/>
        <v>3260-260</v>
      </c>
    </row>
    <row r="400" spans="2:27" s="490" customFormat="1" ht="15">
      <c r="B400" s="330"/>
      <c r="C400" s="331"/>
      <c r="D400" s="295">
        <f>VLOOKUP(E400,'1.1a-Jaarprijzen'!$B$13:$G$32,6,FALSE)</f>
        <v>2</v>
      </c>
      <c r="E400" s="294" t="s">
        <v>1076</v>
      </c>
      <c r="F400" s="295" t="s">
        <v>605</v>
      </c>
      <c r="G400" s="296" t="s">
        <v>523</v>
      </c>
      <c r="H400" s="294" t="s">
        <v>670</v>
      </c>
      <c r="I400" s="297" t="str">
        <f t="shared" si="29"/>
        <v>entree, gang, hal, repro</v>
      </c>
      <c r="J400" s="295" t="s">
        <v>698</v>
      </c>
      <c r="K400" s="298">
        <v>18.573183843587096</v>
      </c>
      <c r="L400" s="298"/>
      <c r="M400" s="299">
        <v>3200</v>
      </c>
      <c r="N400" s="300">
        <f t="shared" si="56"/>
        <v>200</v>
      </c>
      <c r="O400" s="484">
        <v>1</v>
      </c>
      <c r="P400" s="484">
        <v>1</v>
      </c>
      <c r="Q400" s="292">
        <f t="shared" si="57"/>
        <v>0</v>
      </c>
      <c r="R400" s="292">
        <f t="shared" si="58"/>
        <v>0</v>
      </c>
      <c r="S400" s="301">
        <f t="shared" si="53"/>
        <v>0</v>
      </c>
      <c r="T400" s="301">
        <f t="shared" si="54"/>
        <v>0</v>
      </c>
      <c r="U400" s="771" t="str">
        <f t="shared" si="55"/>
        <v>V</v>
      </c>
      <c r="V400" s="303"/>
      <c r="W400" s="304">
        <f>(Q400+R400)*'1.0-Contractblad'!$L$37</f>
        <v>0</v>
      </c>
      <c r="X400" s="304">
        <f ca="1">VLOOKUP(E400,'1.1a-Jaarprijzen'!$B$35:$Q$57,16,FALSE)*K400</f>
        <v>0</v>
      </c>
      <c r="Z400" s="773">
        <f t="shared" si="59"/>
        <v>3714.6367687174193</v>
      </c>
      <c r="AA400" s="492" t="str">
        <f t="shared" si="60"/>
        <v>3200-200</v>
      </c>
    </row>
    <row r="401" spans="2:27" s="490" customFormat="1" ht="15">
      <c r="B401" s="330"/>
      <c r="C401" s="331"/>
      <c r="D401" s="295">
        <f>VLOOKUP(E401,'1.1a-Jaarprijzen'!$B$13:$G$32,6,FALSE)</f>
        <v>2</v>
      </c>
      <c r="E401" s="294" t="s">
        <v>1076</v>
      </c>
      <c r="F401" s="295" t="s">
        <v>605</v>
      </c>
      <c r="G401" s="296" t="s">
        <v>524</v>
      </c>
      <c r="H401" s="294" t="s">
        <v>670</v>
      </c>
      <c r="I401" s="297" t="str">
        <f t="shared" si="29"/>
        <v>entree, gang, hal, repro</v>
      </c>
      <c r="J401" s="295" t="s">
        <v>698</v>
      </c>
      <c r="K401" s="298">
        <v>15.570379008746354</v>
      </c>
      <c r="L401" s="298"/>
      <c r="M401" s="299">
        <v>3260</v>
      </c>
      <c r="N401" s="300">
        <f t="shared" si="56"/>
        <v>260</v>
      </c>
      <c r="O401" s="484">
        <v>1</v>
      </c>
      <c r="P401" s="484">
        <v>1</v>
      </c>
      <c r="Q401" s="292">
        <f t="shared" si="57"/>
        <v>0</v>
      </c>
      <c r="R401" s="292">
        <f t="shared" si="58"/>
        <v>0</v>
      </c>
      <c r="S401" s="301">
        <f t="shared" si="53"/>
        <v>0</v>
      </c>
      <c r="T401" s="301">
        <f t="shared" si="54"/>
        <v>0</v>
      </c>
      <c r="U401" s="771" t="str">
        <f t="shared" si="55"/>
        <v>V</v>
      </c>
      <c r="V401" s="303"/>
      <c r="W401" s="304">
        <f>(Q401+R401)*'1.0-Contractblad'!$L$37</f>
        <v>0</v>
      </c>
      <c r="X401" s="304">
        <f ca="1">VLOOKUP(E401,'1.1a-Jaarprijzen'!$B$35:$Q$57,16,FALSE)*K401</f>
        <v>0</v>
      </c>
      <c r="Z401" s="773">
        <f t="shared" si="59"/>
        <v>4048.2985422740521</v>
      </c>
      <c r="AA401" s="492" t="str">
        <f t="shared" si="60"/>
        <v>3260-260</v>
      </c>
    </row>
    <row r="402" spans="2:27" s="490" customFormat="1" ht="15">
      <c r="B402" s="330"/>
      <c r="C402" s="331"/>
      <c r="D402" s="295">
        <f>VLOOKUP(E402,'1.1a-Jaarprijzen'!$B$13:$G$32,6,FALSE)</f>
        <v>2</v>
      </c>
      <c r="E402" s="294" t="s">
        <v>1076</v>
      </c>
      <c r="F402" s="295" t="s">
        <v>605</v>
      </c>
      <c r="G402" s="296" t="s">
        <v>691</v>
      </c>
      <c r="H402" s="294" t="s">
        <v>396</v>
      </c>
      <c r="I402" s="297" t="str">
        <f t="shared" si="29"/>
        <v>aula, gemeenschappelijke ruimte, bibliotheek</v>
      </c>
      <c r="J402" s="295" t="s">
        <v>465</v>
      </c>
      <c r="K402" s="298">
        <v>74.708460063269342</v>
      </c>
      <c r="L402" s="298"/>
      <c r="M402" s="299">
        <v>2200</v>
      </c>
      <c r="N402" s="300">
        <f t="shared" si="56"/>
        <v>200</v>
      </c>
      <c r="O402" s="484">
        <v>1</v>
      </c>
      <c r="P402" s="484">
        <v>1</v>
      </c>
      <c r="Q402" s="292">
        <f t="shared" si="57"/>
        <v>0</v>
      </c>
      <c r="R402" s="292">
        <f t="shared" si="58"/>
        <v>0</v>
      </c>
      <c r="S402" s="301">
        <f t="shared" si="53"/>
        <v>0</v>
      </c>
      <c r="T402" s="301">
        <f t="shared" si="54"/>
        <v>0</v>
      </c>
      <c r="U402" s="771" t="str">
        <f t="shared" si="55"/>
        <v>V</v>
      </c>
      <c r="V402" s="303"/>
      <c r="W402" s="304">
        <f>(Q402+R402)*'1.0-Contractblad'!$L$37</f>
        <v>0</v>
      </c>
      <c r="X402" s="304">
        <f ca="1">VLOOKUP(E402,'1.1a-Jaarprijzen'!$B$35:$Q$57,16,FALSE)*K402</f>
        <v>0</v>
      </c>
      <c r="Z402" s="773">
        <f t="shared" si="59"/>
        <v>14941.692012653868</v>
      </c>
      <c r="AA402" s="492" t="str">
        <f t="shared" si="60"/>
        <v>2200-200</v>
      </c>
    </row>
    <row r="403" spans="2:27" s="490" customFormat="1" ht="15">
      <c r="B403" s="330"/>
      <c r="C403" s="331"/>
      <c r="D403" s="295">
        <f>VLOOKUP(E403,'1.1a-Jaarprijzen'!$B$13:$G$32,6,FALSE)</f>
        <v>2</v>
      </c>
      <c r="E403" s="294" t="s">
        <v>1076</v>
      </c>
      <c r="F403" s="295" t="s">
        <v>605</v>
      </c>
      <c r="G403" s="295" t="s">
        <v>692</v>
      </c>
      <c r="H403" s="710" t="s">
        <v>396</v>
      </c>
      <c r="I403" s="297" t="str">
        <f t="shared" ref="I403:I631" si="61">IF($M403="",0,VLOOKUP($M403,Kengetal,4,FALSE))</f>
        <v>aula, gemeenschappelijke ruimte, bibliotheek</v>
      </c>
      <c r="J403" s="295" t="s">
        <v>465</v>
      </c>
      <c r="K403" s="298">
        <v>84.2982245242505</v>
      </c>
      <c r="L403" s="298"/>
      <c r="M403" s="299">
        <v>2260</v>
      </c>
      <c r="N403" s="300">
        <f t="shared" si="56"/>
        <v>260</v>
      </c>
      <c r="O403" s="484">
        <v>1</v>
      </c>
      <c r="P403" s="484">
        <v>1</v>
      </c>
      <c r="Q403" s="292">
        <f t="shared" si="57"/>
        <v>0</v>
      </c>
      <c r="R403" s="292">
        <f t="shared" si="58"/>
        <v>0</v>
      </c>
      <c r="S403" s="301">
        <f t="shared" si="53"/>
        <v>0</v>
      </c>
      <c r="T403" s="301">
        <f t="shared" si="54"/>
        <v>0</v>
      </c>
      <c r="U403" s="771" t="str">
        <f t="shared" si="55"/>
        <v>V</v>
      </c>
      <c r="V403" s="303"/>
      <c r="W403" s="304">
        <f>(Q403+R403)*'1.0-Contractblad'!$L$37</f>
        <v>0</v>
      </c>
      <c r="X403" s="304">
        <f ca="1">VLOOKUP(E403,'1.1a-Jaarprijzen'!$B$35:$Q$57,16,FALSE)*K403</f>
        <v>0</v>
      </c>
      <c r="Z403" s="773">
        <f t="shared" si="59"/>
        <v>21917.538376305129</v>
      </c>
      <c r="AA403" s="492" t="str">
        <f t="shared" si="60"/>
        <v>2260-260</v>
      </c>
    </row>
    <row r="404" spans="2:27" s="490" customFormat="1" ht="15">
      <c r="B404" s="330"/>
      <c r="C404" s="331"/>
      <c r="D404" s="295">
        <f>VLOOKUP(E404,'1.1a-Jaarprijzen'!$B$13:$G$32,6,FALSE)</f>
        <v>2</v>
      </c>
      <c r="E404" s="294" t="s">
        <v>1076</v>
      </c>
      <c r="F404" s="295" t="s">
        <v>261</v>
      </c>
      <c r="G404" s="295" t="s">
        <v>868</v>
      </c>
      <c r="H404" s="710" t="s">
        <v>392</v>
      </c>
      <c r="I404" s="297" t="str">
        <f t="shared" si="61"/>
        <v>aula, gemeenschappelijke ruimte, bibliotheek</v>
      </c>
      <c r="J404" s="295" t="s">
        <v>48</v>
      </c>
      <c r="K404" s="298">
        <v>16.737011875676636</v>
      </c>
      <c r="L404" s="298"/>
      <c r="M404" s="299">
        <v>2040</v>
      </c>
      <c r="N404" s="300">
        <f t="shared" si="56"/>
        <v>40</v>
      </c>
      <c r="O404" s="484">
        <v>1</v>
      </c>
      <c r="P404" s="484">
        <v>1</v>
      </c>
      <c r="Q404" s="292">
        <f t="shared" si="57"/>
        <v>0</v>
      </c>
      <c r="R404" s="292">
        <f t="shared" si="58"/>
        <v>0</v>
      </c>
      <c r="S404" s="301">
        <f t="shared" si="53"/>
        <v>0</v>
      </c>
      <c r="T404" s="301">
        <f t="shared" si="54"/>
        <v>0</v>
      </c>
      <c r="U404" s="771" t="str">
        <f t="shared" si="55"/>
        <v>V</v>
      </c>
      <c r="V404" s="303"/>
      <c r="W404" s="304">
        <f>(Q404+R404)*'1.0-Contractblad'!$L$37</f>
        <v>0</v>
      </c>
      <c r="X404" s="304">
        <f ca="1">VLOOKUP(E404,'1.1a-Jaarprijzen'!$B$35:$Q$57,16,FALSE)*K404</f>
        <v>0</v>
      </c>
      <c r="Z404" s="773">
        <f t="shared" si="59"/>
        <v>669.48047502706549</v>
      </c>
      <c r="AA404" s="492" t="str">
        <f t="shared" si="60"/>
        <v>2040-40</v>
      </c>
    </row>
    <row r="405" spans="2:27" s="490" customFormat="1" ht="15">
      <c r="B405" s="330"/>
      <c r="C405" s="331"/>
      <c r="D405" s="295">
        <f>VLOOKUP(E405,'1.1a-Jaarprijzen'!$B$13:$G$32,6,FALSE)</f>
        <v>2</v>
      </c>
      <c r="E405" s="294" t="s">
        <v>1076</v>
      </c>
      <c r="F405" s="295" t="s">
        <v>605</v>
      </c>
      <c r="G405" s="295" t="s">
        <v>534</v>
      </c>
      <c r="H405" s="710" t="s">
        <v>674</v>
      </c>
      <c r="I405" s="297" t="str">
        <f t="shared" si="61"/>
        <v>sanitaire ruimte (toilet-/doucheruimte)</v>
      </c>
      <c r="J405" s="295" t="s">
        <v>700</v>
      </c>
      <c r="K405" s="298">
        <v>4.0943582920467074</v>
      </c>
      <c r="L405" s="298"/>
      <c r="M405" s="299">
        <v>4260</v>
      </c>
      <c r="N405" s="300">
        <f t="shared" si="56"/>
        <v>260</v>
      </c>
      <c r="O405" s="484">
        <v>1</v>
      </c>
      <c r="P405" s="484">
        <v>1</v>
      </c>
      <c r="Q405" s="292">
        <f t="shared" si="57"/>
        <v>0</v>
      </c>
      <c r="R405" s="292">
        <f t="shared" si="58"/>
        <v>0</v>
      </c>
      <c r="S405" s="301">
        <f t="shared" si="53"/>
        <v>0</v>
      </c>
      <c r="T405" s="301">
        <f t="shared" si="54"/>
        <v>0</v>
      </c>
      <c r="U405" s="771" t="str">
        <f t="shared" si="55"/>
        <v>S</v>
      </c>
      <c r="V405" s="303"/>
      <c r="W405" s="304">
        <f>(Q405+R405)*'1.0-Contractblad'!$L$37</f>
        <v>0</v>
      </c>
      <c r="X405" s="304">
        <f ca="1">VLOOKUP(E405,'1.1a-Jaarprijzen'!$B$35:$Q$57,16,FALSE)*K405</f>
        <v>0</v>
      </c>
      <c r="Z405" s="773">
        <f t="shared" si="59"/>
        <v>1064.5331559321439</v>
      </c>
      <c r="AA405" s="492" t="str">
        <f t="shared" si="60"/>
        <v>4260-260</v>
      </c>
    </row>
    <row r="406" spans="2:27" s="490" customFormat="1" ht="15">
      <c r="B406" s="330"/>
      <c r="C406" s="331"/>
      <c r="D406" s="295">
        <f>VLOOKUP(E406,'1.1a-Jaarprijzen'!$B$13:$G$32,6,FALSE)</f>
        <v>2</v>
      </c>
      <c r="E406" s="294" t="s">
        <v>1076</v>
      </c>
      <c r="F406" s="295" t="s">
        <v>605</v>
      </c>
      <c r="G406" s="295" t="s">
        <v>536</v>
      </c>
      <c r="H406" s="710" t="s">
        <v>549</v>
      </c>
      <c r="I406" s="297" t="str">
        <f t="shared" si="61"/>
        <v>sanitaire ruimte (toilet-/doucheruimte)</v>
      </c>
      <c r="J406" s="295" t="s">
        <v>700</v>
      </c>
      <c r="K406" s="298">
        <v>6.2947222222222221</v>
      </c>
      <c r="L406" s="298"/>
      <c r="M406" s="299">
        <v>4200</v>
      </c>
      <c r="N406" s="300">
        <f t="shared" si="56"/>
        <v>200</v>
      </c>
      <c r="O406" s="484">
        <v>1</v>
      </c>
      <c r="P406" s="484">
        <v>1</v>
      </c>
      <c r="Q406" s="292">
        <f t="shared" si="57"/>
        <v>0</v>
      </c>
      <c r="R406" s="292">
        <f t="shared" si="58"/>
        <v>0</v>
      </c>
      <c r="S406" s="301">
        <f t="shared" si="53"/>
        <v>0</v>
      </c>
      <c r="T406" s="301">
        <f t="shared" si="54"/>
        <v>0</v>
      </c>
      <c r="U406" s="771" t="str">
        <f t="shared" si="55"/>
        <v>S</v>
      </c>
      <c r="V406" s="303"/>
      <c r="W406" s="304">
        <f>(Q406+R406)*'1.0-Contractblad'!$L$37</f>
        <v>0</v>
      </c>
      <c r="X406" s="304">
        <f ca="1">VLOOKUP(E406,'1.1a-Jaarprijzen'!$B$35:$Q$57,16,FALSE)*K406</f>
        <v>0</v>
      </c>
      <c r="Z406" s="773">
        <f t="shared" si="59"/>
        <v>1258.9444444444443</v>
      </c>
      <c r="AA406" s="492" t="str">
        <f t="shared" si="60"/>
        <v>4200-200</v>
      </c>
    </row>
    <row r="407" spans="2:27" s="490" customFormat="1" ht="15">
      <c r="B407" s="330"/>
      <c r="C407" s="331"/>
      <c r="D407" s="295">
        <f>VLOOKUP(E407,'1.1a-Jaarprijzen'!$B$13:$G$32,6,FALSE)</f>
        <v>2</v>
      </c>
      <c r="E407" s="294" t="s">
        <v>1076</v>
      </c>
      <c r="F407" s="295" t="s">
        <v>605</v>
      </c>
      <c r="G407" s="295" t="s">
        <v>537</v>
      </c>
      <c r="H407" s="710" t="s">
        <v>540</v>
      </c>
      <c r="I407" s="297" t="str">
        <f t="shared" si="61"/>
        <v>sanitaire ruimte (toilet-/doucheruimte)</v>
      </c>
      <c r="J407" s="295" t="s">
        <v>700</v>
      </c>
      <c r="K407" s="298">
        <v>4.2302330141279034</v>
      </c>
      <c r="L407" s="298"/>
      <c r="M407" s="299">
        <v>4200</v>
      </c>
      <c r="N407" s="300">
        <f t="shared" si="56"/>
        <v>200</v>
      </c>
      <c r="O407" s="484">
        <v>1</v>
      </c>
      <c r="P407" s="484">
        <v>1</v>
      </c>
      <c r="Q407" s="292">
        <f t="shared" si="57"/>
        <v>0</v>
      </c>
      <c r="R407" s="292">
        <f t="shared" si="58"/>
        <v>0</v>
      </c>
      <c r="S407" s="301">
        <f t="shared" si="53"/>
        <v>0</v>
      </c>
      <c r="T407" s="301">
        <f t="shared" si="54"/>
        <v>0</v>
      </c>
      <c r="U407" s="771" t="str">
        <f t="shared" si="55"/>
        <v>S</v>
      </c>
      <c r="V407" s="303"/>
      <c r="W407" s="304">
        <f>(Q407+R407)*'1.0-Contractblad'!$L$37</f>
        <v>0</v>
      </c>
      <c r="X407" s="304">
        <f ca="1">VLOOKUP(E407,'1.1a-Jaarprijzen'!$B$35:$Q$57,16,FALSE)*K407</f>
        <v>0</v>
      </c>
      <c r="Z407" s="773">
        <f t="shared" si="59"/>
        <v>846.04660282558063</v>
      </c>
      <c r="AA407" s="492" t="str">
        <f t="shared" si="60"/>
        <v>4200-200</v>
      </c>
    </row>
    <row r="408" spans="2:27" s="490" customFormat="1" ht="15">
      <c r="B408" s="330"/>
      <c r="C408" s="331"/>
      <c r="D408" s="295">
        <f>VLOOKUP(E408,'1.1a-Jaarprijzen'!$B$13:$G$32,6,FALSE)</f>
        <v>2</v>
      </c>
      <c r="E408" s="294" t="s">
        <v>1076</v>
      </c>
      <c r="F408" s="295" t="s">
        <v>605</v>
      </c>
      <c r="G408" s="295" t="s">
        <v>538</v>
      </c>
      <c r="H408" s="710" t="s">
        <v>549</v>
      </c>
      <c r="I408" s="297" t="str">
        <f t="shared" si="61"/>
        <v>sanitaire ruimte (toilet-/doucheruimte)</v>
      </c>
      <c r="J408" s="295" t="s">
        <v>700</v>
      </c>
      <c r="K408" s="298">
        <v>6.3130208333333337</v>
      </c>
      <c r="L408" s="298"/>
      <c r="M408" s="299">
        <v>4200</v>
      </c>
      <c r="N408" s="300">
        <f t="shared" si="56"/>
        <v>200</v>
      </c>
      <c r="O408" s="484">
        <v>1</v>
      </c>
      <c r="P408" s="484">
        <v>1</v>
      </c>
      <c r="Q408" s="292">
        <f t="shared" si="57"/>
        <v>0</v>
      </c>
      <c r="R408" s="292">
        <f t="shared" si="58"/>
        <v>0</v>
      </c>
      <c r="S408" s="301">
        <f t="shared" si="53"/>
        <v>0</v>
      </c>
      <c r="T408" s="301">
        <f t="shared" si="54"/>
        <v>0</v>
      </c>
      <c r="U408" s="771" t="str">
        <f t="shared" si="55"/>
        <v>S</v>
      </c>
      <c r="V408" s="303"/>
      <c r="W408" s="304">
        <f>(Q408+R408)*'1.0-Contractblad'!$L$37</f>
        <v>0</v>
      </c>
      <c r="X408" s="304">
        <f ca="1">VLOOKUP(E408,'1.1a-Jaarprijzen'!$B$35:$Q$57,16,FALSE)*K408</f>
        <v>0</v>
      </c>
      <c r="Z408" s="773">
        <f t="shared" si="59"/>
        <v>1262.6041666666667</v>
      </c>
      <c r="AA408" s="492" t="str">
        <f t="shared" si="60"/>
        <v>4200-200</v>
      </c>
    </row>
    <row r="409" spans="2:27" s="490" customFormat="1" ht="15">
      <c r="B409" s="330"/>
      <c r="C409" s="331"/>
      <c r="D409" s="295">
        <f>VLOOKUP(E409,'1.1a-Jaarprijzen'!$B$13:$G$32,6,FALSE)</f>
        <v>2</v>
      </c>
      <c r="E409" s="294" t="s">
        <v>1076</v>
      </c>
      <c r="F409" s="295" t="s">
        <v>605</v>
      </c>
      <c r="G409" s="295" t="s">
        <v>539</v>
      </c>
      <c r="H409" s="710" t="s">
        <v>1055</v>
      </c>
      <c r="I409" s="297" t="str">
        <f t="shared" si="61"/>
        <v>sanitaire ruimte (toilet-/doucheruimte)</v>
      </c>
      <c r="J409" s="295" t="s">
        <v>700</v>
      </c>
      <c r="K409" s="298">
        <v>4.2392913289333167</v>
      </c>
      <c r="L409" s="298"/>
      <c r="M409" s="299">
        <v>4260</v>
      </c>
      <c r="N409" s="300">
        <f t="shared" si="56"/>
        <v>260</v>
      </c>
      <c r="O409" s="484">
        <v>1</v>
      </c>
      <c r="P409" s="484">
        <v>1</v>
      </c>
      <c r="Q409" s="292">
        <f t="shared" si="57"/>
        <v>0</v>
      </c>
      <c r="R409" s="292">
        <f t="shared" si="58"/>
        <v>0</v>
      </c>
      <c r="S409" s="301">
        <f t="shared" si="53"/>
        <v>0</v>
      </c>
      <c r="T409" s="301">
        <f t="shared" si="54"/>
        <v>0</v>
      </c>
      <c r="U409" s="771" t="str">
        <f t="shared" si="55"/>
        <v>S</v>
      </c>
      <c r="V409" s="303"/>
      <c r="W409" s="304">
        <f>(Q409+R409)*'1.0-Contractblad'!$L$37</f>
        <v>0</v>
      </c>
      <c r="X409" s="304">
        <f ca="1">VLOOKUP(E409,'1.1a-Jaarprijzen'!$B$35:$Q$57,16,FALSE)*K409</f>
        <v>0</v>
      </c>
      <c r="Z409" s="773">
        <f t="shared" si="59"/>
        <v>1102.2157455226622</v>
      </c>
      <c r="AA409" s="492" t="str">
        <f t="shared" si="60"/>
        <v>4260-260</v>
      </c>
    </row>
    <row r="410" spans="2:27" s="490" customFormat="1" ht="15">
      <c r="B410" s="330"/>
      <c r="C410" s="331"/>
      <c r="D410" s="295">
        <f>VLOOKUP(E410,'1.1a-Jaarprijzen'!$B$13:$G$32,6,FALSE)</f>
        <v>2</v>
      </c>
      <c r="E410" s="294" t="s">
        <v>1076</v>
      </c>
      <c r="F410" s="295" t="s">
        <v>605</v>
      </c>
      <c r="G410" s="295" t="s">
        <v>541</v>
      </c>
      <c r="H410" s="710" t="s">
        <v>540</v>
      </c>
      <c r="I410" s="297" t="str">
        <f t="shared" si="61"/>
        <v>sanitaire ruimte (toilet-/doucheruimte)</v>
      </c>
      <c r="J410" s="295" t="s">
        <v>700</v>
      </c>
      <c r="K410" s="298">
        <v>4.2392913289333167</v>
      </c>
      <c r="L410" s="298"/>
      <c r="M410" s="299">
        <v>4260</v>
      </c>
      <c r="N410" s="300">
        <f t="shared" si="56"/>
        <v>260</v>
      </c>
      <c r="O410" s="484">
        <v>1</v>
      </c>
      <c r="P410" s="484">
        <v>1</v>
      </c>
      <c r="Q410" s="292">
        <f t="shared" si="57"/>
        <v>0</v>
      </c>
      <c r="R410" s="292">
        <f t="shared" si="58"/>
        <v>0</v>
      </c>
      <c r="S410" s="301">
        <f t="shared" si="53"/>
        <v>0</v>
      </c>
      <c r="T410" s="301">
        <f t="shared" si="54"/>
        <v>0</v>
      </c>
      <c r="U410" s="771" t="str">
        <f t="shared" si="55"/>
        <v>S</v>
      </c>
      <c r="V410" s="303"/>
      <c r="W410" s="304">
        <f>(Q410+R410)*'1.0-Contractblad'!$L$37</f>
        <v>0</v>
      </c>
      <c r="X410" s="304">
        <f ca="1">VLOOKUP(E410,'1.1a-Jaarprijzen'!$B$35:$Q$57,16,FALSE)*K410</f>
        <v>0</v>
      </c>
      <c r="Z410" s="773">
        <f t="shared" si="59"/>
        <v>1102.2157455226622</v>
      </c>
      <c r="AA410" s="492" t="str">
        <f t="shared" si="60"/>
        <v>4260-260</v>
      </c>
    </row>
    <row r="411" spans="2:27" s="490" customFormat="1" ht="15">
      <c r="B411" s="330"/>
      <c r="C411" s="331"/>
      <c r="D411" s="295">
        <f>VLOOKUP(E411,'1.1a-Jaarprijzen'!$B$13:$G$32,6,FALSE)</f>
        <v>2</v>
      </c>
      <c r="E411" s="294" t="s">
        <v>1076</v>
      </c>
      <c r="F411" s="295" t="s">
        <v>605</v>
      </c>
      <c r="G411" s="295" t="s">
        <v>542</v>
      </c>
      <c r="H411" s="710" t="s">
        <v>540</v>
      </c>
      <c r="I411" s="297" t="str">
        <f t="shared" si="61"/>
        <v>sanitaire ruimte (toilet-/doucheruimte)</v>
      </c>
      <c r="J411" s="295" t="s">
        <v>700</v>
      </c>
      <c r="K411" s="298">
        <v>4.2302330141279034</v>
      </c>
      <c r="L411" s="298"/>
      <c r="M411" s="299">
        <v>4260</v>
      </c>
      <c r="N411" s="300">
        <f t="shared" si="56"/>
        <v>260</v>
      </c>
      <c r="O411" s="484">
        <v>1</v>
      </c>
      <c r="P411" s="484">
        <v>1</v>
      </c>
      <c r="Q411" s="292">
        <f t="shared" si="57"/>
        <v>0</v>
      </c>
      <c r="R411" s="292">
        <f t="shared" si="58"/>
        <v>0</v>
      </c>
      <c r="S411" s="301">
        <f t="shared" si="53"/>
        <v>0</v>
      </c>
      <c r="T411" s="301">
        <f t="shared" si="54"/>
        <v>0</v>
      </c>
      <c r="U411" s="771" t="str">
        <f t="shared" si="55"/>
        <v>S</v>
      </c>
      <c r="V411" s="303"/>
      <c r="W411" s="304">
        <f>(Q411+R411)*'1.0-Contractblad'!$L$37</f>
        <v>0</v>
      </c>
      <c r="X411" s="304">
        <f ca="1">VLOOKUP(E411,'1.1a-Jaarprijzen'!$B$35:$Q$57,16,FALSE)*K411</f>
        <v>0</v>
      </c>
      <c r="Z411" s="773">
        <f t="shared" si="59"/>
        <v>1099.860583673255</v>
      </c>
      <c r="AA411" s="492" t="str">
        <f t="shared" si="60"/>
        <v>4260-260</v>
      </c>
    </row>
    <row r="412" spans="2:27" s="490" customFormat="1" ht="15">
      <c r="B412" s="330"/>
      <c r="C412" s="331"/>
      <c r="D412" s="295">
        <f>VLOOKUP(E412,'1.1a-Jaarprijzen'!$B$13:$G$32,6,FALSE)</f>
        <v>2</v>
      </c>
      <c r="E412" s="294" t="s">
        <v>1076</v>
      </c>
      <c r="F412" s="295" t="s">
        <v>605</v>
      </c>
      <c r="G412" s="295" t="s">
        <v>543</v>
      </c>
      <c r="H412" s="710" t="s">
        <v>535</v>
      </c>
      <c r="I412" s="297" t="str">
        <f t="shared" si="61"/>
        <v>sanitaire ruimte (toilet-/doucheruimte)</v>
      </c>
      <c r="J412" s="295" t="s">
        <v>700</v>
      </c>
      <c r="K412" s="298">
        <v>4.2392913289333167</v>
      </c>
      <c r="L412" s="298"/>
      <c r="M412" s="299">
        <v>4260</v>
      </c>
      <c r="N412" s="300">
        <f t="shared" si="56"/>
        <v>260</v>
      </c>
      <c r="O412" s="484">
        <v>1</v>
      </c>
      <c r="P412" s="484">
        <v>1</v>
      </c>
      <c r="Q412" s="292">
        <f t="shared" si="57"/>
        <v>0</v>
      </c>
      <c r="R412" s="292">
        <f t="shared" si="58"/>
        <v>0</v>
      </c>
      <c r="S412" s="301">
        <f t="shared" si="53"/>
        <v>0</v>
      </c>
      <c r="T412" s="301">
        <f t="shared" si="54"/>
        <v>0</v>
      </c>
      <c r="U412" s="771" t="str">
        <f t="shared" si="55"/>
        <v>S</v>
      </c>
      <c r="V412" s="303"/>
      <c r="W412" s="304">
        <f>(Q412+R412)*'1.0-Contractblad'!$L$37</f>
        <v>0</v>
      </c>
      <c r="X412" s="304">
        <f ca="1">VLOOKUP(E412,'1.1a-Jaarprijzen'!$B$35:$Q$57,16,FALSE)*K412</f>
        <v>0</v>
      </c>
      <c r="Z412" s="773">
        <f t="shared" si="59"/>
        <v>1102.2157455226622</v>
      </c>
      <c r="AA412" s="492" t="str">
        <f t="shared" si="60"/>
        <v>4260-260</v>
      </c>
    </row>
    <row r="413" spans="2:27" s="490" customFormat="1" ht="15">
      <c r="B413" s="330"/>
      <c r="C413" s="331"/>
      <c r="D413" s="295">
        <f>VLOOKUP(E413,'1.1a-Jaarprijzen'!$B$13:$G$32,6,FALSE)</f>
        <v>2</v>
      </c>
      <c r="E413" s="294" t="s">
        <v>1076</v>
      </c>
      <c r="F413" s="295" t="s">
        <v>605</v>
      </c>
      <c r="G413" s="295" t="s">
        <v>557</v>
      </c>
      <c r="H413" s="710" t="s">
        <v>566</v>
      </c>
      <c r="I413" s="297" t="str">
        <f t="shared" si="61"/>
        <v>administratieve -,  vergaderruimte</v>
      </c>
      <c r="J413" s="295" t="s">
        <v>48</v>
      </c>
      <c r="K413" s="298">
        <v>10.646453395684983</v>
      </c>
      <c r="L413" s="298"/>
      <c r="M413" s="299">
        <v>1040</v>
      </c>
      <c r="N413" s="300">
        <f t="shared" si="56"/>
        <v>40</v>
      </c>
      <c r="O413" s="484">
        <v>1</v>
      </c>
      <c r="P413" s="484">
        <v>1</v>
      </c>
      <c r="Q413" s="292">
        <f t="shared" si="57"/>
        <v>0</v>
      </c>
      <c r="R413" s="292">
        <f t="shared" si="58"/>
        <v>0</v>
      </c>
      <c r="S413" s="301">
        <f t="shared" si="53"/>
        <v>0</v>
      </c>
      <c r="T413" s="301">
        <f t="shared" si="54"/>
        <v>0</v>
      </c>
      <c r="U413" s="771" t="str">
        <f t="shared" si="55"/>
        <v>V</v>
      </c>
      <c r="V413" s="303"/>
      <c r="W413" s="304">
        <f>(Q413+R413)*'1.0-Contractblad'!$L$37</f>
        <v>0</v>
      </c>
      <c r="X413" s="304">
        <f ca="1">VLOOKUP(E413,'1.1a-Jaarprijzen'!$B$35:$Q$57,16,FALSE)*K413</f>
        <v>0</v>
      </c>
      <c r="Z413" s="773">
        <f t="shared" si="59"/>
        <v>425.85813582739934</v>
      </c>
      <c r="AA413" s="492" t="str">
        <f t="shared" si="60"/>
        <v>1040-40</v>
      </c>
    </row>
    <row r="414" spans="2:27" s="490" customFormat="1" ht="15">
      <c r="B414" s="330"/>
      <c r="C414" s="331"/>
      <c r="D414" s="295">
        <f>VLOOKUP(E414,'1.1a-Jaarprijzen'!$B$13:$G$32,6,FALSE)</f>
        <v>2</v>
      </c>
      <c r="E414" s="294" t="s">
        <v>1076</v>
      </c>
      <c r="F414" s="295" t="s">
        <v>605</v>
      </c>
      <c r="G414" s="295" t="s">
        <v>559</v>
      </c>
      <c r="H414" s="710" t="s">
        <v>566</v>
      </c>
      <c r="I414" s="297" t="str">
        <f t="shared" si="61"/>
        <v>administratieve -,  vergaderruimte</v>
      </c>
      <c r="J414" s="295" t="s">
        <v>48</v>
      </c>
      <c r="K414" s="298">
        <v>31.256973889098322</v>
      </c>
      <c r="L414" s="298"/>
      <c r="M414" s="299">
        <v>1040</v>
      </c>
      <c r="N414" s="300">
        <f t="shared" si="56"/>
        <v>40</v>
      </c>
      <c r="O414" s="484">
        <v>1</v>
      </c>
      <c r="P414" s="484">
        <v>1</v>
      </c>
      <c r="Q414" s="292">
        <f t="shared" si="57"/>
        <v>0</v>
      </c>
      <c r="R414" s="292">
        <f t="shared" si="58"/>
        <v>0</v>
      </c>
      <c r="S414" s="301">
        <f t="shared" si="53"/>
        <v>0</v>
      </c>
      <c r="T414" s="301">
        <f t="shared" si="54"/>
        <v>0</v>
      </c>
      <c r="U414" s="771" t="str">
        <f t="shared" si="55"/>
        <v>V</v>
      </c>
      <c r="V414" s="303"/>
      <c r="W414" s="304">
        <f>(Q414+R414)*'1.0-Contractblad'!$L$37</f>
        <v>0</v>
      </c>
      <c r="X414" s="304">
        <f ca="1">VLOOKUP(E414,'1.1a-Jaarprijzen'!$B$35:$Q$57,16,FALSE)*K414</f>
        <v>0</v>
      </c>
      <c r="Z414" s="773">
        <f t="shared" si="59"/>
        <v>1250.2789555639329</v>
      </c>
      <c r="AA414" s="492" t="str">
        <f t="shared" si="60"/>
        <v>1040-40</v>
      </c>
    </row>
    <row r="415" spans="2:27" s="490" customFormat="1" ht="15">
      <c r="B415" s="330"/>
      <c r="C415" s="331"/>
      <c r="D415" s="295">
        <f>VLOOKUP(E415,'1.1a-Jaarprijzen'!$B$13:$G$32,6,FALSE)</f>
        <v>2</v>
      </c>
      <c r="E415" s="294" t="s">
        <v>1076</v>
      </c>
      <c r="F415" s="295" t="s">
        <v>605</v>
      </c>
      <c r="G415" s="295" t="s">
        <v>560</v>
      </c>
      <c r="H415" s="710" t="s">
        <v>561</v>
      </c>
      <c r="I415" s="297" t="str">
        <f t="shared" si="61"/>
        <v>administratieve -,  vergaderruimte</v>
      </c>
      <c r="J415" s="295" t="s">
        <v>48</v>
      </c>
      <c r="K415" s="298">
        <v>31.188684620301917</v>
      </c>
      <c r="L415" s="298"/>
      <c r="M415" s="299">
        <v>1040</v>
      </c>
      <c r="N415" s="300">
        <f t="shared" si="56"/>
        <v>40</v>
      </c>
      <c r="O415" s="484">
        <v>1</v>
      </c>
      <c r="P415" s="484">
        <v>1</v>
      </c>
      <c r="Q415" s="292">
        <f t="shared" si="57"/>
        <v>0</v>
      </c>
      <c r="R415" s="292">
        <f t="shared" si="58"/>
        <v>0</v>
      </c>
      <c r="S415" s="301">
        <f t="shared" si="53"/>
        <v>0</v>
      </c>
      <c r="T415" s="301">
        <f t="shared" si="54"/>
        <v>0</v>
      </c>
      <c r="U415" s="771" t="str">
        <f t="shared" si="55"/>
        <v>V</v>
      </c>
      <c r="V415" s="303"/>
      <c r="W415" s="304">
        <f>(Q415+R415)*'1.0-Contractblad'!$L$37</f>
        <v>0</v>
      </c>
      <c r="X415" s="304">
        <f ca="1">VLOOKUP(E415,'1.1a-Jaarprijzen'!$B$35:$Q$57,16,FALSE)*K415</f>
        <v>0</v>
      </c>
      <c r="Z415" s="773">
        <f t="shared" si="59"/>
        <v>1247.5473848120766</v>
      </c>
      <c r="AA415" s="492" t="str">
        <f t="shared" si="60"/>
        <v>1040-40</v>
      </c>
    </row>
    <row r="416" spans="2:27" s="490" customFormat="1" ht="15">
      <c r="B416" s="330"/>
      <c r="C416" s="331"/>
      <c r="D416" s="295">
        <f>VLOOKUP(E416,'1.1a-Jaarprijzen'!$B$13:$G$32,6,FALSE)</f>
        <v>2</v>
      </c>
      <c r="E416" s="294" t="s">
        <v>1076</v>
      </c>
      <c r="F416" s="295" t="s">
        <v>605</v>
      </c>
      <c r="G416" s="295" t="s">
        <v>562</v>
      </c>
      <c r="H416" s="710" t="s">
        <v>566</v>
      </c>
      <c r="I416" s="297" t="str">
        <f t="shared" si="61"/>
        <v>administratieve -,  vergaderruimte</v>
      </c>
      <c r="J416" s="295" t="s">
        <v>48</v>
      </c>
      <c r="K416" s="298">
        <v>4.221174699322491</v>
      </c>
      <c r="L416" s="298"/>
      <c r="M416" s="299">
        <v>1040</v>
      </c>
      <c r="N416" s="300">
        <f t="shared" si="56"/>
        <v>40</v>
      </c>
      <c r="O416" s="484">
        <v>1</v>
      </c>
      <c r="P416" s="484">
        <v>1</v>
      </c>
      <c r="Q416" s="292">
        <f t="shared" si="57"/>
        <v>0</v>
      </c>
      <c r="R416" s="292">
        <f t="shared" si="58"/>
        <v>0</v>
      </c>
      <c r="S416" s="301">
        <f t="shared" si="53"/>
        <v>0</v>
      </c>
      <c r="T416" s="301">
        <f t="shared" si="54"/>
        <v>0</v>
      </c>
      <c r="U416" s="771" t="str">
        <f t="shared" si="55"/>
        <v>V</v>
      </c>
      <c r="V416" s="303"/>
      <c r="W416" s="304">
        <f>(Q416+R416)*'1.0-Contractblad'!$L$37</f>
        <v>0</v>
      </c>
      <c r="X416" s="304">
        <f ca="1">VLOOKUP(E416,'1.1a-Jaarprijzen'!$B$35:$Q$57,16,FALSE)*K416</f>
        <v>0</v>
      </c>
      <c r="Z416" s="773">
        <f t="shared" si="59"/>
        <v>168.84698797289963</v>
      </c>
      <c r="AA416" s="492" t="str">
        <f t="shared" si="60"/>
        <v>1040-40</v>
      </c>
    </row>
    <row r="417" spans="2:27" s="490" customFormat="1" ht="15">
      <c r="B417" s="330"/>
      <c r="C417" s="331"/>
      <c r="D417" s="295">
        <f>VLOOKUP(E417,'1.1a-Jaarprijzen'!$B$13:$G$32,6,FALSE)</f>
        <v>2</v>
      </c>
      <c r="E417" s="294" t="s">
        <v>1076</v>
      </c>
      <c r="F417" s="295" t="s">
        <v>605</v>
      </c>
      <c r="G417" s="296" t="s">
        <v>563</v>
      </c>
      <c r="H417" s="294" t="s">
        <v>395</v>
      </c>
      <c r="I417" s="297" t="str">
        <f t="shared" si="61"/>
        <v>pantry/keuken</v>
      </c>
      <c r="J417" s="295" t="s">
        <v>465</v>
      </c>
      <c r="K417" s="298">
        <v>6.2123784722222224</v>
      </c>
      <c r="L417" s="298"/>
      <c r="M417" s="299">
        <v>5200</v>
      </c>
      <c r="N417" s="300">
        <f t="shared" si="56"/>
        <v>200</v>
      </c>
      <c r="O417" s="484">
        <v>1</v>
      </c>
      <c r="P417" s="484">
        <v>1</v>
      </c>
      <c r="Q417" s="292">
        <f t="shared" si="57"/>
        <v>0</v>
      </c>
      <c r="R417" s="292">
        <f t="shared" si="58"/>
        <v>0</v>
      </c>
      <c r="S417" s="301">
        <f t="shared" si="53"/>
        <v>0</v>
      </c>
      <c r="T417" s="301">
        <f t="shared" si="54"/>
        <v>0</v>
      </c>
      <c r="U417" s="771" t="str">
        <f t="shared" si="55"/>
        <v>V</v>
      </c>
      <c r="V417" s="303"/>
      <c r="W417" s="304">
        <f>(Q417+R417)*'1.0-Contractblad'!$L$37</f>
        <v>0</v>
      </c>
      <c r="X417" s="304">
        <f ca="1">VLOOKUP(E417,'1.1a-Jaarprijzen'!$B$35:$Q$57,16,FALSE)*K417</f>
        <v>0</v>
      </c>
      <c r="Z417" s="773">
        <f t="shared" si="59"/>
        <v>1242.4756944444446</v>
      </c>
      <c r="AA417" s="492" t="str">
        <f t="shared" si="60"/>
        <v>5200-200</v>
      </c>
    </row>
    <row r="418" spans="2:27" s="490" customFormat="1" ht="15">
      <c r="B418" s="330"/>
      <c r="C418" s="331"/>
      <c r="D418" s="295">
        <f>VLOOKUP(E418,'1.1a-Jaarprijzen'!$B$13:$G$32,6,FALSE)</f>
        <v>2</v>
      </c>
      <c r="E418" s="294" t="s">
        <v>1076</v>
      </c>
      <c r="F418" s="295" t="s">
        <v>605</v>
      </c>
      <c r="G418" s="296" t="s">
        <v>718</v>
      </c>
      <c r="H418" s="294" t="s">
        <v>875</v>
      </c>
      <c r="I418" s="297" t="str">
        <f t="shared" si="61"/>
        <v>niet van toepassing</v>
      </c>
      <c r="J418" s="295" t="s">
        <v>465</v>
      </c>
      <c r="K418" s="298">
        <v>0</v>
      </c>
      <c r="L418" s="298">
        <v>6.18</v>
      </c>
      <c r="M418" s="299" t="s">
        <v>17</v>
      </c>
      <c r="N418" s="300">
        <f t="shared" si="56"/>
        <v>0</v>
      </c>
      <c r="O418" s="484">
        <v>1</v>
      </c>
      <c r="P418" s="484">
        <v>1</v>
      </c>
      <c r="Q418" s="292">
        <f t="shared" si="57"/>
        <v>0</v>
      </c>
      <c r="R418" s="292">
        <f t="shared" si="58"/>
        <v>0</v>
      </c>
      <c r="S418" s="301">
        <f t="shared" si="53"/>
        <v>0</v>
      </c>
      <c r="T418" s="301">
        <f t="shared" si="54"/>
        <v>0</v>
      </c>
      <c r="U418" s="771">
        <f t="shared" si="55"/>
        <v>0</v>
      </c>
      <c r="V418" s="303"/>
      <c r="W418" s="304">
        <f>(Q418+R418)*'1.0-Contractblad'!$L$37</f>
        <v>0</v>
      </c>
      <c r="X418" s="304">
        <f ca="1">VLOOKUP(E418,'1.1a-Jaarprijzen'!$B$35:$Q$57,16,FALSE)*K418</f>
        <v>0</v>
      </c>
      <c r="Z418" s="773">
        <f t="shared" si="59"/>
        <v>0</v>
      </c>
      <c r="AA418" s="492" t="str">
        <f t="shared" si="60"/>
        <v>nvt-0</v>
      </c>
    </row>
    <row r="419" spans="2:27" s="490" customFormat="1" ht="15">
      <c r="B419" s="330"/>
      <c r="C419" s="331"/>
      <c r="D419" s="295">
        <f>VLOOKUP(E419,'1.1a-Jaarprijzen'!$B$13:$G$32,6,FALSE)</f>
        <v>2</v>
      </c>
      <c r="E419" s="294" t="s">
        <v>1076</v>
      </c>
      <c r="F419" s="295" t="s">
        <v>261</v>
      </c>
      <c r="G419" s="296" t="s">
        <v>565</v>
      </c>
      <c r="H419" s="294" t="s">
        <v>394</v>
      </c>
      <c r="I419" s="297" t="str">
        <f t="shared" si="61"/>
        <v>administratieve -,  vergaderruimte</v>
      </c>
      <c r="J419" s="295" t="s">
        <v>48</v>
      </c>
      <c r="K419" s="298">
        <v>11.505826686311368</v>
      </c>
      <c r="L419" s="298"/>
      <c r="M419" s="299">
        <v>1040</v>
      </c>
      <c r="N419" s="300">
        <f t="shared" si="56"/>
        <v>40</v>
      </c>
      <c r="O419" s="484">
        <v>1</v>
      </c>
      <c r="P419" s="484">
        <v>1</v>
      </c>
      <c r="Q419" s="292">
        <f t="shared" si="57"/>
        <v>0</v>
      </c>
      <c r="R419" s="292">
        <f t="shared" si="58"/>
        <v>0</v>
      </c>
      <c r="S419" s="301">
        <f t="shared" si="53"/>
        <v>0</v>
      </c>
      <c r="T419" s="301">
        <f t="shared" si="54"/>
        <v>0</v>
      </c>
      <c r="U419" s="771" t="str">
        <f t="shared" si="55"/>
        <v>V</v>
      </c>
      <c r="V419" s="303"/>
      <c r="W419" s="304">
        <f>(Q419+R419)*'1.0-Contractblad'!$L$37</f>
        <v>0</v>
      </c>
      <c r="X419" s="304">
        <f ca="1">VLOOKUP(E419,'1.1a-Jaarprijzen'!$B$35:$Q$57,16,FALSE)*K419</f>
        <v>0</v>
      </c>
      <c r="Z419" s="773">
        <f t="shared" si="59"/>
        <v>460.23306745245469</v>
      </c>
      <c r="AA419" s="492" t="str">
        <f t="shared" si="60"/>
        <v>1040-40</v>
      </c>
    </row>
    <row r="420" spans="2:27" s="490" customFormat="1" ht="15">
      <c r="B420" s="330"/>
      <c r="C420" s="331"/>
      <c r="D420" s="295">
        <f>VLOOKUP(E420,'1.1a-Jaarprijzen'!$B$13:$G$32,6,FALSE)</f>
        <v>2</v>
      </c>
      <c r="E420" s="294" t="s">
        <v>1076</v>
      </c>
      <c r="F420" s="295" t="s">
        <v>261</v>
      </c>
      <c r="G420" s="296" t="s">
        <v>567</v>
      </c>
      <c r="H420" s="294" t="s">
        <v>394</v>
      </c>
      <c r="I420" s="297" t="str">
        <f t="shared" si="61"/>
        <v>administratieve -,  vergaderruimte</v>
      </c>
      <c r="J420" s="295" t="s">
        <v>48</v>
      </c>
      <c r="K420" s="298">
        <v>6.1483333333333334</v>
      </c>
      <c r="L420" s="298"/>
      <c r="M420" s="299">
        <v>1040</v>
      </c>
      <c r="N420" s="300">
        <f t="shared" si="56"/>
        <v>40</v>
      </c>
      <c r="O420" s="484">
        <v>1</v>
      </c>
      <c r="P420" s="484">
        <v>1</v>
      </c>
      <c r="Q420" s="292">
        <f t="shared" si="57"/>
        <v>0</v>
      </c>
      <c r="R420" s="292">
        <f t="shared" si="58"/>
        <v>0</v>
      </c>
      <c r="S420" s="301">
        <f t="shared" si="53"/>
        <v>0</v>
      </c>
      <c r="T420" s="301">
        <f t="shared" si="54"/>
        <v>0</v>
      </c>
      <c r="U420" s="771" t="str">
        <f t="shared" si="55"/>
        <v>V</v>
      </c>
      <c r="V420" s="303"/>
      <c r="W420" s="304">
        <f>(Q420+R420)*'1.0-Contractblad'!$L$37</f>
        <v>0</v>
      </c>
      <c r="X420" s="304">
        <f ca="1">VLOOKUP(E420,'1.1a-Jaarprijzen'!$B$35:$Q$57,16,FALSE)*K420</f>
        <v>0</v>
      </c>
      <c r="Z420" s="773">
        <f t="shared" si="59"/>
        <v>245.93333333333334</v>
      </c>
      <c r="AA420" s="492" t="str">
        <f t="shared" si="60"/>
        <v>1040-40</v>
      </c>
    </row>
    <row r="421" spans="2:27" s="490" customFormat="1" ht="15">
      <c r="B421" s="330"/>
      <c r="C421" s="331"/>
      <c r="D421" s="295">
        <f>VLOOKUP(E421,'1.1a-Jaarprijzen'!$B$13:$G$32,6,FALSE)</f>
        <v>2</v>
      </c>
      <c r="E421" s="294" t="s">
        <v>1076</v>
      </c>
      <c r="F421" s="295" t="s">
        <v>261</v>
      </c>
      <c r="G421" s="296" t="s">
        <v>568</v>
      </c>
      <c r="H421" s="294" t="s">
        <v>394</v>
      </c>
      <c r="I421" s="297" t="str">
        <f t="shared" si="61"/>
        <v>administratieve -,  vergaderruimte</v>
      </c>
      <c r="J421" s="295" t="s">
        <v>48</v>
      </c>
      <c r="K421" s="298">
        <v>6.1025868055555552</v>
      </c>
      <c r="L421" s="298"/>
      <c r="M421" s="299">
        <v>1040</v>
      </c>
      <c r="N421" s="300">
        <f t="shared" si="56"/>
        <v>40</v>
      </c>
      <c r="O421" s="484">
        <v>1</v>
      </c>
      <c r="P421" s="484">
        <v>1</v>
      </c>
      <c r="Q421" s="292">
        <f t="shared" si="57"/>
        <v>0</v>
      </c>
      <c r="R421" s="292">
        <f t="shared" si="58"/>
        <v>0</v>
      </c>
      <c r="S421" s="301">
        <f t="shared" ref="S421:S484" si="62">IF($M421=0,0,VLOOKUP($M421,Kengetal,6,FALSE))</f>
        <v>0</v>
      </c>
      <c r="T421" s="301">
        <f t="shared" ref="T421:T484" si="63">IF($M421=0,0,VLOOKUP($M421,Kengetal,7,FALSE))</f>
        <v>0</v>
      </c>
      <c r="U421" s="771" t="str">
        <f t="shared" si="55"/>
        <v>V</v>
      </c>
      <c r="V421" s="303"/>
      <c r="W421" s="304">
        <f>(Q421+R421)*'1.0-Contractblad'!$L$37</f>
        <v>0</v>
      </c>
      <c r="X421" s="304">
        <f ca="1">VLOOKUP(E421,'1.1a-Jaarprijzen'!$B$35:$Q$57,16,FALSE)*K421</f>
        <v>0</v>
      </c>
      <c r="Z421" s="773">
        <f t="shared" si="59"/>
        <v>244.10347222222219</v>
      </c>
      <c r="AA421" s="492" t="str">
        <f t="shared" si="60"/>
        <v>1040-40</v>
      </c>
    </row>
    <row r="422" spans="2:27" s="490" customFormat="1" ht="15">
      <c r="B422" s="330"/>
      <c r="C422" s="331"/>
      <c r="D422" s="295">
        <f>VLOOKUP(E422,'1.1a-Jaarprijzen'!$B$13:$G$32,6,FALSE)</f>
        <v>2</v>
      </c>
      <c r="E422" s="294" t="s">
        <v>1076</v>
      </c>
      <c r="F422" s="295" t="s">
        <v>261</v>
      </c>
      <c r="G422" s="296" t="s">
        <v>569</v>
      </c>
      <c r="H422" s="294" t="s">
        <v>394</v>
      </c>
      <c r="I422" s="297" t="str">
        <f t="shared" si="61"/>
        <v>administratieve -,  vergaderruimte</v>
      </c>
      <c r="J422" s="295" t="s">
        <v>48</v>
      </c>
      <c r="K422" s="298">
        <v>9.9528850488354621</v>
      </c>
      <c r="L422" s="298"/>
      <c r="M422" s="299">
        <v>1040</v>
      </c>
      <c r="N422" s="300">
        <f t="shared" si="56"/>
        <v>40</v>
      </c>
      <c r="O422" s="484">
        <v>1</v>
      </c>
      <c r="P422" s="484">
        <v>1</v>
      </c>
      <c r="Q422" s="292">
        <f t="shared" si="57"/>
        <v>0</v>
      </c>
      <c r="R422" s="292">
        <f t="shared" si="58"/>
        <v>0</v>
      </c>
      <c r="S422" s="301">
        <f t="shared" si="62"/>
        <v>0</v>
      </c>
      <c r="T422" s="301">
        <f t="shared" si="63"/>
        <v>0</v>
      </c>
      <c r="U422" s="771" t="str">
        <f t="shared" si="55"/>
        <v>V</v>
      </c>
      <c r="V422" s="303"/>
      <c r="W422" s="304">
        <f>(Q422+R422)*'1.0-Contractblad'!$L$37</f>
        <v>0</v>
      </c>
      <c r="X422" s="304">
        <f ca="1">VLOOKUP(E422,'1.1a-Jaarprijzen'!$B$35:$Q$57,16,FALSE)*K422</f>
        <v>0</v>
      </c>
      <c r="Z422" s="773">
        <f t="shared" si="59"/>
        <v>398.11540195341848</v>
      </c>
      <c r="AA422" s="492" t="str">
        <f t="shared" si="60"/>
        <v>1040-40</v>
      </c>
    </row>
    <row r="423" spans="2:27" s="490" customFormat="1" ht="15">
      <c r="B423" s="330"/>
      <c r="C423" s="331"/>
      <c r="D423" s="295">
        <f>VLOOKUP(E423,'1.1a-Jaarprijzen'!$B$13:$G$32,6,FALSE)</f>
        <v>2</v>
      </c>
      <c r="E423" s="294" t="s">
        <v>1076</v>
      </c>
      <c r="F423" s="295" t="s">
        <v>605</v>
      </c>
      <c r="G423" s="296" t="s">
        <v>570</v>
      </c>
      <c r="H423" s="294" t="s">
        <v>658</v>
      </c>
      <c r="I423" s="297" t="str">
        <f t="shared" si="61"/>
        <v>niet van toepassing</v>
      </c>
      <c r="J423" s="295" t="s">
        <v>17</v>
      </c>
      <c r="K423" s="298">
        <v>0</v>
      </c>
      <c r="L423" s="298">
        <v>2.4</v>
      </c>
      <c r="M423" s="299" t="s">
        <v>17</v>
      </c>
      <c r="N423" s="300">
        <f t="shared" si="56"/>
        <v>0</v>
      </c>
      <c r="O423" s="484">
        <v>1</v>
      </c>
      <c r="P423" s="484">
        <v>1</v>
      </c>
      <c r="Q423" s="292">
        <f t="shared" si="57"/>
        <v>0</v>
      </c>
      <c r="R423" s="292">
        <f t="shared" si="58"/>
        <v>0</v>
      </c>
      <c r="S423" s="301">
        <f t="shared" si="62"/>
        <v>0</v>
      </c>
      <c r="T423" s="301">
        <f t="shared" si="63"/>
        <v>0</v>
      </c>
      <c r="U423" s="771">
        <f t="shared" si="55"/>
        <v>0</v>
      </c>
      <c r="V423" s="303"/>
      <c r="W423" s="304">
        <f>(Q423+R423)*'1.0-Contractblad'!$L$37</f>
        <v>0</v>
      </c>
      <c r="X423" s="304">
        <f ca="1">VLOOKUP(E423,'1.1a-Jaarprijzen'!$B$35:$Q$57,16,FALSE)*K423</f>
        <v>0</v>
      </c>
      <c r="Z423" s="773">
        <f t="shared" si="59"/>
        <v>0</v>
      </c>
      <c r="AA423" s="492" t="str">
        <f t="shared" si="60"/>
        <v>nvt-0</v>
      </c>
    </row>
    <row r="424" spans="2:27" s="490" customFormat="1" ht="15">
      <c r="B424" s="330"/>
      <c r="C424" s="331"/>
      <c r="D424" s="295">
        <f>VLOOKUP(E424,'1.1a-Jaarprijzen'!$B$13:$G$32,6,FALSE)</f>
        <v>2</v>
      </c>
      <c r="E424" s="294" t="s">
        <v>1076</v>
      </c>
      <c r="F424" s="295" t="s">
        <v>605</v>
      </c>
      <c r="G424" s="296" t="s">
        <v>580</v>
      </c>
      <c r="H424" s="294" t="s">
        <v>388</v>
      </c>
      <c r="I424" s="297" t="str">
        <f t="shared" si="61"/>
        <v>niet van toepassing</v>
      </c>
      <c r="J424" s="295" t="s">
        <v>17</v>
      </c>
      <c r="K424" s="298">
        <v>0</v>
      </c>
      <c r="L424" s="298">
        <v>3.44</v>
      </c>
      <c r="M424" s="299" t="s">
        <v>17</v>
      </c>
      <c r="N424" s="300">
        <f t="shared" si="56"/>
        <v>0</v>
      </c>
      <c r="O424" s="484">
        <v>1</v>
      </c>
      <c r="P424" s="484">
        <v>1</v>
      </c>
      <c r="Q424" s="292">
        <f t="shared" si="57"/>
        <v>0</v>
      </c>
      <c r="R424" s="292">
        <f t="shared" si="58"/>
        <v>0</v>
      </c>
      <c r="S424" s="301">
        <f t="shared" si="62"/>
        <v>0</v>
      </c>
      <c r="T424" s="301">
        <f t="shared" si="63"/>
        <v>0</v>
      </c>
      <c r="U424" s="771">
        <f t="shared" si="55"/>
        <v>0</v>
      </c>
      <c r="V424" s="303"/>
      <c r="W424" s="304">
        <f>(Q424+R424)*'1.0-Contractblad'!$L$37</f>
        <v>0</v>
      </c>
      <c r="X424" s="304">
        <f ca="1">VLOOKUP(E424,'1.1a-Jaarprijzen'!$B$35:$Q$57,16,FALSE)*K424</f>
        <v>0</v>
      </c>
      <c r="Z424" s="773">
        <f t="shared" si="59"/>
        <v>0</v>
      </c>
      <c r="AA424" s="492" t="str">
        <f t="shared" si="60"/>
        <v>nvt-0</v>
      </c>
    </row>
    <row r="425" spans="2:27" s="490" customFormat="1" ht="15">
      <c r="B425" s="330"/>
      <c r="C425" s="331"/>
      <c r="D425" s="295">
        <f>VLOOKUP(E425,'1.1a-Jaarprijzen'!$B$13:$G$32,6,FALSE)</f>
        <v>2</v>
      </c>
      <c r="E425" s="294" t="s">
        <v>1076</v>
      </c>
      <c r="F425" s="295" t="s">
        <v>605</v>
      </c>
      <c r="G425" s="296" t="s">
        <v>587</v>
      </c>
      <c r="H425" s="294" t="s">
        <v>695</v>
      </c>
      <c r="I425" s="297" t="str">
        <f t="shared" si="61"/>
        <v>niet van toepassing</v>
      </c>
      <c r="J425" s="295" t="s">
        <v>17</v>
      </c>
      <c r="K425" s="298">
        <v>0</v>
      </c>
      <c r="L425" s="298">
        <v>2.4</v>
      </c>
      <c r="M425" s="299" t="s">
        <v>17</v>
      </c>
      <c r="N425" s="300">
        <f t="shared" si="56"/>
        <v>0</v>
      </c>
      <c r="O425" s="484">
        <v>1</v>
      </c>
      <c r="P425" s="484">
        <v>1</v>
      </c>
      <c r="Q425" s="292">
        <f t="shared" si="57"/>
        <v>0</v>
      </c>
      <c r="R425" s="292">
        <f t="shared" si="58"/>
        <v>0</v>
      </c>
      <c r="S425" s="301">
        <f t="shared" si="62"/>
        <v>0</v>
      </c>
      <c r="T425" s="301">
        <f t="shared" si="63"/>
        <v>0</v>
      </c>
      <c r="U425" s="771">
        <f t="shared" si="55"/>
        <v>0</v>
      </c>
      <c r="V425" s="303"/>
      <c r="W425" s="304">
        <f>(Q425+R425)*'1.0-Contractblad'!$L$37</f>
        <v>0</v>
      </c>
      <c r="X425" s="304">
        <f ca="1">VLOOKUP(E425,'1.1a-Jaarprijzen'!$B$35:$Q$57,16,FALSE)*K425</f>
        <v>0</v>
      </c>
      <c r="Z425" s="773">
        <f t="shared" si="59"/>
        <v>0</v>
      </c>
      <c r="AA425" s="492" t="str">
        <f t="shared" si="60"/>
        <v>nvt-0</v>
      </c>
    </row>
    <row r="426" spans="2:27" s="490" customFormat="1" ht="15">
      <c r="B426" s="330"/>
      <c r="C426" s="331"/>
      <c r="D426" s="295">
        <f>VLOOKUP(E426,'1.1a-Jaarprijzen'!$B$13:$G$32,6,FALSE)</f>
        <v>2</v>
      </c>
      <c r="E426" s="294" t="s">
        <v>1076</v>
      </c>
      <c r="F426" s="295" t="s">
        <v>605</v>
      </c>
      <c r="G426" s="296" t="s">
        <v>876</v>
      </c>
      <c r="H426" s="294" t="s">
        <v>391</v>
      </c>
      <c r="I426" s="297" t="str">
        <f t="shared" si="61"/>
        <v>niet van toepassing</v>
      </c>
      <c r="J426" s="295" t="s">
        <v>17</v>
      </c>
      <c r="K426" s="298">
        <v>0</v>
      </c>
      <c r="L426" s="298">
        <v>4.58</v>
      </c>
      <c r="M426" s="299" t="s">
        <v>17</v>
      </c>
      <c r="N426" s="300">
        <f t="shared" si="56"/>
        <v>0</v>
      </c>
      <c r="O426" s="484">
        <v>1</v>
      </c>
      <c r="P426" s="484">
        <v>1</v>
      </c>
      <c r="Q426" s="292">
        <f t="shared" si="57"/>
        <v>0</v>
      </c>
      <c r="R426" s="292">
        <f t="shared" si="58"/>
        <v>0</v>
      </c>
      <c r="S426" s="301">
        <f t="shared" si="62"/>
        <v>0</v>
      </c>
      <c r="T426" s="301">
        <f t="shared" si="63"/>
        <v>0</v>
      </c>
      <c r="U426" s="771">
        <f t="shared" si="55"/>
        <v>0</v>
      </c>
      <c r="V426" s="303"/>
      <c r="W426" s="304">
        <f>(Q426+R426)*'1.0-Contractblad'!$L$37</f>
        <v>0</v>
      </c>
      <c r="X426" s="304">
        <f ca="1">VLOOKUP(E426,'1.1a-Jaarprijzen'!$B$35:$Q$57,16,FALSE)*K426</f>
        <v>0</v>
      </c>
      <c r="Z426" s="773">
        <f t="shared" si="59"/>
        <v>0</v>
      </c>
      <c r="AA426" s="492" t="str">
        <f t="shared" si="60"/>
        <v>nvt-0</v>
      </c>
    </row>
    <row r="427" spans="2:27" s="490" customFormat="1" ht="15">
      <c r="B427" s="330"/>
      <c r="C427" s="331"/>
      <c r="D427" s="295">
        <f>VLOOKUP(E427,'1.1a-Jaarprijzen'!$B$13:$G$32,6,FALSE)</f>
        <v>2</v>
      </c>
      <c r="E427" s="294" t="s">
        <v>1076</v>
      </c>
      <c r="F427" s="295" t="s">
        <v>605</v>
      </c>
      <c r="G427" s="296" t="s">
        <v>877</v>
      </c>
      <c r="H427" s="294" t="s">
        <v>878</v>
      </c>
      <c r="I427" s="297" t="str">
        <f t="shared" si="61"/>
        <v>niet van toepassing</v>
      </c>
      <c r="J427" s="295" t="s">
        <v>17</v>
      </c>
      <c r="K427" s="298">
        <v>0</v>
      </c>
      <c r="L427" s="298">
        <v>4.93</v>
      </c>
      <c r="M427" s="299" t="s">
        <v>17</v>
      </c>
      <c r="N427" s="300">
        <f t="shared" si="56"/>
        <v>0</v>
      </c>
      <c r="O427" s="484">
        <v>1</v>
      </c>
      <c r="P427" s="484">
        <v>1</v>
      </c>
      <c r="Q427" s="292">
        <f t="shared" si="57"/>
        <v>0</v>
      </c>
      <c r="R427" s="292">
        <f t="shared" si="58"/>
        <v>0</v>
      </c>
      <c r="S427" s="301">
        <f t="shared" si="62"/>
        <v>0</v>
      </c>
      <c r="T427" s="301">
        <f t="shared" si="63"/>
        <v>0</v>
      </c>
      <c r="U427" s="771">
        <f t="shared" si="55"/>
        <v>0</v>
      </c>
      <c r="V427" s="303"/>
      <c r="W427" s="304">
        <f>(Q427+R427)*'1.0-Contractblad'!$L$37</f>
        <v>0</v>
      </c>
      <c r="X427" s="304">
        <f ca="1">VLOOKUP(E427,'1.1a-Jaarprijzen'!$B$35:$Q$57,16,FALSE)*K427</f>
        <v>0</v>
      </c>
      <c r="Z427" s="773">
        <f t="shared" si="59"/>
        <v>0</v>
      </c>
      <c r="AA427" s="492" t="str">
        <f t="shared" si="60"/>
        <v>nvt-0</v>
      </c>
    </row>
    <row r="428" spans="2:27" s="490" customFormat="1" ht="15">
      <c r="B428" s="330"/>
      <c r="C428" s="331"/>
      <c r="D428" s="295">
        <f>VLOOKUP(E428,'1.1a-Jaarprijzen'!$B$13:$G$32,6,FALSE)</f>
        <v>2</v>
      </c>
      <c r="E428" s="294" t="s">
        <v>1076</v>
      </c>
      <c r="F428" s="295" t="s">
        <v>605</v>
      </c>
      <c r="G428" s="296" t="s">
        <v>879</v>
      </c>
      <c r="H428" s="294" t="s">
        <v>391</v>
      </c>
      <c r="I428" s="297" t="str">
        <f t="shared" si="61"/>
        <v>niet van toepassing</v>
      </c>
      <c r="J428" s="295" t="s">
        <v>17</v>
      </c>
      <c r="K428" s="298">
        <v>0</v>
      </c>
      <c r="L428" s="298">
        <v>6.23</v>
      </c>
      <c r="M428" s="299" t="s">
        <v>17</v>
      </c>
      <c r="N428" s="300">
        <f t="shared" si="56"/>
        <v>0</v>
      </c>
      <c r="O428" s="484">
        <v>1</v>
      </c>
      <c r="P428" s="484">
        <v>1</v>
      </c>
      <c r="Q428" s="292">
        <f t="shared" si="57"/>
        <v>0</v>
      </c>
      <c r="R428" s="292">
        <f t="shared" si="58"/>
        <v>0</v>
      </c>
      <c r="S428" s="301">
        <f t="shared" si="62"/>
        <v>0</v>
      </c>
      <c r="T428" s="301">
        <f t="shared" si="63"/>
        <v>0</v>
      </c>
      <c r="U428" s="771">
        <f t="shared" ref="U428:U491" si="64">IF(M428="","",VLOOKUP(M428,Kengetal,14,FALSE))</f>
        <v>0</v>
      </c>
      <c r="V428" s="303"/>
      <c r="W428" s="304">
        <f>(Q428+R428)*'1.0-Contractblad'!$L$37</f>
        <v>0</v>
      </c>
      <c r="X428" s="304">
        <f ca="1">VLOOKUP(E428,'1.1a-Jaarprijzen'!$B$35:$Q$57,16,FALSE)*K428</f>
        <v>0</v>
      </c>
      <c r="Z428" s="773">
        <f t="shared" si="59"/>
        <v>0</v>
      </c>
      <c r="AA428" s="492" t="str">
        <f t="shared" si="60"/>
        <v>nvt-0</v>
      </c>
    </row>
    <row r="429" spans="2:27" s="490" customFormat="1" ht="15">
      <c r="B429" s="330"/>
      <c r="C429" s="331"/>
      <c r="D429" s="295">
        <f>VLOOKUP(E429,'1.1a-Jaarprijzen'!$B$13:$G$32,6,FALSE)</f>
        <v>2</v>
      </c>
      <c r="E429" s="294" t="s">
        <v>1076</v>
      </c>
      <c r="F429" s="295" t="s">
        <v>605</v>
      </c>
      <c r="G429" s="296" t="s">
        <v>880</v>
      </c>
      <c r="H429" s="294" t="s">
        <v>391</v>
      </c>
      <c r="I429" s="297" t="str">
        <f t="shared" si="61"/>
        <v>niet van toepassing</v>
      </c>
      <c r="J429" s="295" t="s">
        <v>17</v>
      </c>
      <c r="K429" s="298">
        <v>0</v>
      </c>
      <c r="L429" s="298">
        <v>6.19</v>
      </c>
      <c r="M429" s="299" t="s">
        <v>17</v>
      </c>
      <c r="N429" s="300">
        <f t="shared" ref="N429:N492" si="65">VLOOKUP(M429,Kengetal,3,FALSE)</f>
        <v>0</v>
      </c>
      <c r="O429" s="484">
        <v>1</v>
      </c>
      <c r="P429" s="484">
        <v>1</v>
      </c>
      <c r="Q429" s="292">
        <f t="shared" ref="Q429:Q492" si="66">S429*K429*O429</f>
        <v>0</v>
      </c>
      <c r="R429" s="292">
        <f t="shared" ref="R429:R492" si="67">T429*K429*P429</f>
        <v>0</v>
      </c>
      <c r="S429" s="301">
        <f t="shared" si="62"/>
        <v>0</v>
      </c>
      <c r="T429" s="301">
        <f t="shared" si="63"/>
        <v>0</v>
      </c>
      <c r="U429" s="771">
        <f t="shared" si="64"/>
        <v>0</v>
      </c>
      <c r="V429" s="303"/>
      <c r="W429" s="304">
        <f>(Q429+R429)*'1.0-Contractblad'!$L$37</f>
        <v>0</v>
      </c>
      <c r="X429" s="304">
        <f ca="1">VLOOKUP(E429,'1.1a-Jaarprijzen'!$B$35:$Q$57,16,FALSE)*K429</f>
        <v>0</v>
      </c>
      <c r="Z429" s="773">
        <f t="shared" ref="Z429:Z492" si="68">K429*N429</f>
        <v>0</v>
      </c>
      <c r="AA429" s="492" t="str">
        <f t="shared" ref="AA429:AA492" si="69">CONCATENATE(M429,"-",N429)</f>
        <v>nvt-0</v>
      </c>
    </row>
    <row r="430" spans="2:27" s="490" customFormat="1" ht="15">
      <c r="B430" s="330"/>
      <c r="C430" s="331"/>
      <c r="D430" s="295">
        <f>VLOOKUP(E430,'1.1a-Jaarprijzen'!$B$13:$G$32,6,FALSE)</f>
        <v>2</v>
      </c>
      <c r="E430" s="294" t="s">
        <v>1076</v>
      </c>
      <c r="F430" s="295" t="s">
        <v>261</v>
      </c>
      <c r="G430" s="296" t="s">
        <v>881</v>
      </c>
      <c r="H430" s="294" t="s">
        <v>391</v>
      </c>
      <c r="I430" s="297" t="str">
        <f t="shared" si="61"/>
        <v>niet van toepassing</v>
      </c>
      <c r="J430" s="295" t="s">
        <v>17</v>
      </c>
      <c r="K430" s="298">
        <v>0</v>
      </c>
      <c r="L430" s="298">
        <v>14.8</v>
      </c>
      <c r="M430" s="299" t="s">
        <v>17</v>
      </c>
      <c r="N430" s="300">
        <f t="shared" si="65"/>
        <v>0</v>
      </c>
      <c r="O430" s="484">
        <v>1</v>
      </c>
      <c r="P430" s="484">
        <v>1</v>
      </c>
      <c r="Q430" s="292">
        <f t="shared" si="66"/>
        <v>0</v>
      </c>
      <c r="R430" s="292">
        <f t="shared" si="67"/>
        <v>0</v>
      </c>
      <c r="S430" s="301">
        <f t="shared" si="62"/>
        <v>0</v>
      </c>
      <c r="T430" s="301">
        <f t="shared" si="63"/>
        <v>0</v>
      </c>
      <c r="U430" s="771">
        <f t="shared" si="64"/>
        <v>0</v>
      </c>
      <c r="V430" s="303"/>
      <c r="W430" s="304">
        <f>(Q430+R430)*'1.0-Contractblad'!$L$37</f>
        <v>0</v>
      </c>
      <c r="X430" s="304">
        <f ca="1">VLOOKUP(E430,'1.1a-Jaarprijzen'!$B$35:$Q$57,16,FALSE)*K430</f>
        <v>0</v>
      </c>
      <c r="Z430" s="773">
        <f t="shared" si="68"/>
        <v>0</v>
      </c>
      <c r="AA430" s="492" t="str">
        <f t="shared" si="69"/>
        <v>nvt-0</v>
      </c>
    </row>
    <row r="431" spans="2:27" s="490" customFormat="1" ht="15">
      <c r="B431" s="330"/>
      <c r="C431" s="331"/>
      <c r="D431" s="295">
        <f>VLOOKUP(E431,'1.1a-Jaarprijzen'!$B$13:$G$32,6,FALSE)</f>
        <v>2</v>
      </c>
      <c r="E431" s="294" t="s">
        <v>1076</v>
      </c>
      <c r="F431" s="295" t="s">
        <v>261</v>
      </c>
      <c r="G431" s="296" t="s">
        <v>882</v>
      </c>
      <c r="H431" s="294" t="s">
        <v>391</v>
      </c>
      <c r="I431" s="297" t="str">
        <f t="shared" si="61"/>
        <v>niet van toepassing</v>
      </c>
      <c r="J431" s="295" t="s">
        <v>17</v>
      </c>
      <c r="K431" s="298">
        <v>0</v>
      </c>
      <c r="L431" s="298">
        <v>2.29</v>
      </c>
      <c r="M431" s="299" t="s">
        <v>17</v>
      </c>
      <c r="N431" s="300">
        <f t="shared" si="65"/>
        <v>0</v>
      </c>
      <c r="O431" s="484">
        <v>1</v>
      </c>
      <c r="P431" s="484">
        <v>1</v>
      </c>
      <c r="Q431" s="292">
        <f t="shared" si="66"/>
        <v>0</v>
      </c>
      <c r="R431" s="292">
        <f t="shared" si="67"/>
        <v>0</v>
      </c>
      <c r="S431" s="301">
        <f t="shared" si="62"/>
        <v>0</v>
      </c>
      <c r="T431" s="301">
        <f t="shared" si="63"/>
        <v>0</v>
      </c>
      <c r="U431" s="771">
        <f t="shared" si="64"/>
        <v>0</v>
      </c>
      <c r="V431" s="303"/>
      <c r="W431" s="304">
        <f>(Q431+R431)*'1.0-Contractblad'!$L$37</f>
        <v>0</v>
      </c>
      <c r="X431" s="304">
        <f ca="1">VLOOKUP(E431,'1.1a-Jaarprijzen'!$B$35:$Q$57,16,FALSE)*K431</f>
        <v>0</v>
      </c>
      <c r="Z431" s="773">
        <f t="shared" si="68"/>
        <v>0</v>
      </c>
      <c r="AA431" s="492" t="str">
        <f t="shared" si="69"/>
        <v>nvt-0</v>
      </c>
    </row>
    <row r="432" spans="2:27" s="490" customFormat="1" ht="15">
      <c r="B432" s="330"/>
      <c r="C432" s="331"/>
      <c r="D432" s="295">
        <f>VLOOKUP(E432,'1.1a-Jaarprijzen'!$B$13:$G$32,6,FALSE)</f>
        <v>2</v>
      </c>
      <c r="E432" s="294" t="s">
        <v>1076</v>
      </c>
      <c r="F432" s="295" t="s">
        <v>605</v>
      </c>
      <c r="G432" s="296" t="s">
        <v>572</v>
      </c>
      <c r="H432" s="294" t="s">
        <v>391</v>
      </c>
      <c r="I432" s="297" t="str">
        <f t="shared" si="61"/>
        <v>niet van toepassing</v>
      </c>
      <c r="J432" s="295" t="s">
        <v>17</v>
      </c>
      <c r="K432" s="298">
        <v>0</v>
      </c>
      <c r="L432" s="298">
        <v>3.44</v>
      </c>
      <c r="M432" s="299" t="s">
        <v>17</v>
      </c>
      <c r="N432" s="300">
        <f t="shared" si="65"/>
        <v>0</v>
      </c>
      <c r="O432" s="484">
        <v>1</v>
      </c>
      <c r="P432" s="484">
        <v>1</v>
      </c>
      <c r="Q432" s="292">
        <f t="shared" si="66"/>
        <v>0</v>
      </c>
      <c r="R432" s="292">
        <f t="shared" si="67"/>
        <v>0</v>
      </c>
      <c r="S432" s="301">
        <f t="shared" si="62"/>
        <v>0</v>
      </c>
      <c r="T432" s="301">
        <f t="shared" si="63"/>
        <v>0</v>
      </c>
      <c r="U432" s="771">
        <f t="shared" si="64"/>
        <v>0</v>
      </c>
      <c r="V432" s="303"/>
      <c r="W432" s="304">
        <f>(Q432+R432)*'1.0-Contractblad'!$L$37</f>
        <v>0</v>
      </c>
      <c r="X432" s="304">
        <f ca="1">VLOOKUP(E432,'1.1a-Jaarprijzen'!$B$35:$Q$57,16,FALSE)*K432</f>
        <v>0</v>
      </c>
      <c r="Z432" s="773">
        <f t="shared" si="68"/>
        <v>0</v>
      </c>
      <c r="AA432" s="492" t="str">
        <f t="shared" si="69"/>
        <v>nvt-0</v>
      </c>
    </row>
    <row r="433" spans="2:27" s="490" customFormat="1" ht="15">
      <c r="B433" s="330"/>
      <c r="C433" s="331"/>
      <c r="D433" s="295">
        <f>VLOOKUP(E433,'1.1a-Jaarprijzen'!$B$13:$G$32,6,FALSE)</f>
        <v>2</v>
      </c>
      <c r="E433" s="294" t="s">
        <v>1076</v>
      </c>
      <c r="F433" s="295" t="s">
        <v>605</v>
      </c>
      <c r="G433" s="296" t="s">
        <v>574</v>
      </c>
      <c r="H433" s="294" t="s">
        <v>391</v>
      </c>
      <c r="I433" s="297" t="str">
        <f t="shared" si="61"/>
        <v>niet van toepassing</v>
      </c>
      <c r="J433" s="295" t="s">
        <v>17</v>
      </c>
      <c r="K433" s="298">
        <v>0</v>
      </c>
      <c r="L433" s="298">
        <v>3.44</v>
      </c>
      <c r="M433" s="299" t="s">
        <v>17</v>
      </c>
      <c r="N433" s="300">
        <f t="shared" si="65"/>
        <v>0</v>
      </c>
      <c r="O433" s="484">
        <v>1</v>
      </c>
      <c r="P433" s="484">
        <v>1</v>
      </c>
      <c r="Q433" s="292">
        <f t="shared" si="66"/>
        <v>0</v>
      </c>
      <c r="R433" s="292">
        <f t="shared" si="67"/>
        <v>0</v>
      </c>
      <c r="S433" s="301">
        <f t="shared" si="62"/>
        <v>0</v>
      </c>
      <c r="T433" s="301">
        <f t="shared" si="63"/>
        <v>0</v>
      </c>
      <c r="U433" s="771">
        <f t="shared" si="64"/>
        <v>0</v>
      </c>
      <c r="V433" s="303"/>
      <c r="W433" s="304">
        <f>(Q433+R433)*'1.0-Contractblad'!$L$37</f>
        <v>0</v>
      </c>
      <c r="X433" s="304">
        <f ca="1">VLOOKUP(E433,'1.1a-Jaarprijzen'!$B$35:$Q$57,16,FALSE)*K433</f>
        <v>0</v>
      </c>
      <c r="Z433" s="773">
        <f t="shared" si="68"/>
        <v>0</v>
      </c>
      <c r="AA433" s="492" t="str">
        <f t="shared" si="69"/>
        <v>nvt-0</v>
      </c>
    </row>
    <row r="434" spans="2:27" s="490" customFormat="1" ht="15">
      <c r="B434" s="330"/>
      <c r="C434" s="331"/>
      <c r="D434" s="295">
        <f>VLOOKUP(E434,'1.1a-Jaarprijzen'!$B$13:$G$32,6,FALSE)</f>
        <v>2</v>
      </c>
      <c r="E434" s="294" t="s">
        <v>1076</v>
      </c>
      <c r="F434" s="295" t="s">
        <v>605</v>
      </c>
      <c r="G434" s="296" t="s">
        <v>579</v>
      </c>
      <c r="H434" s="294" t="s">
        <v>398</v>
      </c>
      <c r="I434" s="297" t="str">
        <f t="shared" si="61"/>
        <v>niet van toepassing</v>
      </c>
      <c r="J434" s="295" t="s">
        <v>17</v>
      </c>
      <c r="K434" s="298">
        <v>0</v>
      </c>
      <c r="L434" s="298">
        <v>9.3800000000000008</v>
      </c>
      <c r="M434" s="299" t="s">
        <v>17</v>
      </c>
      <c r="N434" s="300">
        <f t="shared" si="65"/>
        <v>0</v>
      </c>
      <c r="O434" s="484">
        <v>1</v>
      </c>
      <c r="P434" s="484">
        <v>1</v>
      </c>
      <c r="Q434" s="292">
        <f t="shared" si="66"/>
        <v>0</v>
      </c>
      <c r="R434" s="292">
        <f t="shared" si="67"/>
        <v>0</v>
      </c>
      <c r="S434" s="301">
        <f t="shared" si="62"/>
        <v>0</v>
      </c>
      <c r="T434" s="301">
        <f t="shared" si="63"/>
        <v>0</v>
      </c>
      <c r="U434" s="771">
        <f t="shared" si="64"/>
        <v>0</v>
      </c>
      <c r="V434" s="303"/>
      <c r="W434" s="304">
        <f>(Q434+R434)*'1.0-Contractblad'!$L$37</f>
        <v>0</v>
      </c>
      <c r="X434" s="304">
        <f ca="1">VLOOKUP(E434,'1.1a-Jaarprijzen'!$B$35:$Q$57,16,FALSE)*K434</f>
        <v>0</v>
      </c>
      <c r="Z434" s="773">
        <f t="shared" si="68"/>
        <v>0</v>
      </c>
      <c r="AA434" s="492" t="str">
        <f t="shared" si="69"/>
        <v>nvt-0</v>
      </c>
    </row>
    <row r="435" spans="2:27" s="490" customFormat="1" ht="15">
      <c r="B435" s="330"/>
      <c r="C435" s="331"/>
      <c r="D435" s="295">
        <f>VLOOKUP(E435,'1.1a-Jaarprijzen'!$B$13:$G$32,6,FALSE)</f>
        <v>2</v>
      </c>
      <c r="E435" s="294" t="s">
        <v>1076</v>
      </c>
      <c r="F435" s="295" t="s">
        <v>605</v>
      </c>
      <c r="G435" s="296" t="s">
        <v>586</v>
      </c>
      <c r="H435" s="294" t="s">
        <v>391</v>
      </c>
      <c r="I435" s="297" t="str">
        <f t="shared" si="61"/>
        <v>niet van toepassing</v>
      </c>
      <c r="J435" s="295" t="s">
        <v>17</v>
      </c>
      <c r="K435" s="298">
        <v>0</v>
      </c>
      <c r="L435" s="298">
        <v>3.44</v>
      </c>
      <c r="M435" s="299" t="s">
        <v>17</v>
      </c>
      <c r="N435" s="300">
        <f t="shared" si="65"/>
        <v>0</v>
      </c>
      <c r="O435" s="484">
        <v>1</v>
      </c>
      <c r="P435" s="484">
        <v>1</v>
      </c>
      <c r="Q435" s="292">
        <f t="shared" si="66"/>
        <v>0</v>
      </c>
      <c r="R435" s="292">
        <f t="shared" si="67"/>
        <v>0</v>
      </c>
      <c r="S435" s="301">
        <f t="shared" si="62"/>
        <v>0</v>
      </c>
      <c r="T435" s="301">
        <f t="shared" si="63"/>
        <v>0</v>
      </c>
      <c r="U435" s="771">
        <f t="shared" si="64"/>
        <v>0</v>
      </c>
      <c r="V435" s="303"/>
      <c r="W435" s="304">
        <f>(Q435+R435)*'1.0-Contractblad'!$L$37</f>
        <v>0</v>
      </c>
      <c r="X435" s="304">
        <f ca="1">VLOOKUP(E435,'1.1a-Jaarprijzen'!$B$35:$Q$57,16,FALSE)*K435</f>
        <v>0</v>
      </c>
      <c r="Z435" s="773">
        <f t="shared" si="68"/>
        <v>0</v>
      </c>
      <c r="AA435" s="492" t="str">
        <f t="shared" si="69"/>
        <v>nvt-0</v>
      </c>
    </row>
    <row r="436" spans="2:27" s="490" customFormat="1" ht="15">
      <c r="B436" s="330"/>
      <c r="C436" s="331"/>
      <c r="D436" s="295">
        <f>VLOOKUP(E436,'1.1a-Jaarprijzen'!$B$13:$G$32,6,FALSE)</f>
        <v>2</v>
      </c>
      <c r="E436" s="294" t="s">
        <v>883</v>
      </c>
      <c r="F436" s="295" t="s">
        <v>605</v>
      </c>
      <c r="G436" s="296" t="s">
        <v>655</v>
      </c>
      <c r="H436" s="294" t="s">
        <v>389</v>
      </c>
      <c r="I436" s="297" t="str">
        <f t="shared" si="61"/>
        <v>administratieve -,  vergaderruimte</v>
      </c>
      <c r="J436" s="295" t="s">
        <v>48</v>
      </c>
      <c r="K436" s="298">
        <v>9</v>
      </c>
      <c r="L436" s="298"/>
      <c r="M436" s="299">
        <v>1040</v>
      </c>
      <c r="N436" s="300">
        <f t="shared" si="65"/>
        <v>40</v>
      </c>
      <c r="O436" s="484">
        <v>1</v>
      </c>
      <c r="P436" s="484">
        <v>1</v>
      </c>
      <c r="Q436" s="292">
        <f t="shared" si="66"/>
        <v>0</v>
      </c>
      <c r="R436" s="292">
        <f t="shared" si="67"/>
        <v>0</v>
      </c>
      <c r="S436" s="301">
        <f t="shared" si="62"/>
        <v>0</v>
      </c>
      <c r="T436" s="301">
        <f t="shared" si="63"/>
        <v>0</v>
      </c>
      <c r="U436" s="771" t="str">
        <f t="shared" si="64"/>
        <v>V</v>
      </c>
      <c r="V436" s="303"/>
      <c r="W436" s="304">
        <f>(Q436+R436)*'1.0-Contractblad'!$L$37</f>
        <v>0</v>
      </c>
      <c r="X436" s="304">
        <f ca="1">VLOOKUP(E436,'1.1a-Jaarprijzen'!$B$35:$Q$57,16,FALSE)*K436</f>
        <v>0</v>
      </c>
      <c r="Z436" s="773">
        <f t="shared" si="68"/>
        <v>360</v>
      </c>
      <c r="AA436" s="492" t="str">
        <f t="shared" si="69"/>
        <v>1040-40</v>
      </c>
    </row>
    <row r="437" spans="2:27" s="490" customFormat="1" ht="15">
      <c r="B437" s="330"/>
      <c r="C437" s="331"/>
      <c r="D437" s="295">
        <f>VLOOKUP(E437,'1.1a-Jaarprijzen'!$B$13:$G$32,6,FALSE)</f>
        <v>2</v>
      </c>
      <c r="E437" s="294" t="s">
        <v>883</v>
      </c>
      <c r="F437" s="295" t="s">
        <v>605</v>
      </c>
      <c r="G437" s="296" t="s">
        <v>643</v>
      </c>
      <c r="H437" s="294" t="s">
        <v>393</v>
      </c>
      <c r="I437" s="297" t="str">
        <f t="shared" si="61"/>
        <v>entree, gang, hal, repro</v>
      </c>
      <c r="J437" s="295" t="s">
        <v>698</v>
      </c>
      <c r="K437" s="298">
        <v>5</v>
      </c>
      <c r="L437" s="298"/>
      <c r="M437" s="299">
        <v>3200</v>
      </c>
      <c r="N437" s="300">
        <f t="shared" si="65"/>
        <v>200</v>
      </c>
      <c r="O437" s="484">
        <v>1</v>
      </c>
      <c r="P437" s="484">
        <v>1</v>
      </c>
      <c r="Q437" s="292">
        <f t="shared" si="66"/>
        <v>0</v>
      </c>
      <c r="R437" s="292">
        <f t="shared" si="67"/>
        <v>0</v>
      </c>
      <c r="S437" s="301">
        <f t="shared" si="62"/>
        <v>0</v>
      </c>
      <c r="T437" s="301">
        <f t="shared" si="63"/>
        <v>0</v>
      </c>
      <c r="U437" s="771" t="str">
        <f t="shared" si="64"/>
        <v>V</v>
      </c>
      <c r="V437" s="303"/>
      <c r="W437" s="304">
        <f>(Q437+R437)*'1.0-Contractblad'!$L$37</f>
        <v>0</v>
      </c>
      <c r="X437" s="304">
        <f ca="1">VLOOKUP(E437,'1.1a-Jaarprijzen'!$B$35:$Q$57,16,FALSE)*K437</f>
        <v>0</v>
      </c>
      <c r="Z437" s="773">
        <f t="shared" si="68"/>
        <v>1000</v>
      </c>
      <c r="AA437" s="492" t="str">
        <f t="shared" si="69"/>
        <v>3200-200</v>
      </c>
    </row>
    <row r="438" spans="2:27" s="490" customFormat="1" ht="15">
      <c r="B438" s="330"/>
      <c r="C438" s="331"/>
      <c r="D438" s="295">
        <f>VLOOKUP(E438,'1.1a-Jaarprijzen'!$B$13:$G$32,6,FALSE)</f>
        <v>2</v>
      </c>
      <c r="E438" s="294" t="s">
        <v>883</v>
      </c>
      <c r="F438" s="295" t="s">
        <v>605</v>
      </c>
      <c r="G438" s="296" t="s">
        <v>644</v>
      </c>
      <c r="H438" s="294" t="s">
        <v>393</v>
      </c>
      <c r="I438" s="297" t="str">
        <f t="shared" si="61"/>
        <v>entree, gang, hal, repro</v>
      </c>
      <c r="J438" s="295" t="s">
        <v>698</v>
      </c>
      <c r="K438" s="298">
        <v>6</v>
      </c>
      <c r="L438" s="298"/>
      <c r="M438" s="299">
        <v>3200</v>
      </c>
      <c r="N438" s="300">
        <f t="shared" si="65"/>
        <v>200</v>
      </c>
      <c r="O438" s="484">
        <v>1</v>
      </c>
      <c r="P438" s="484">
        <v>1</v>
      </c>
      <c r="Q438" s="292">
        <f t="shared" si="66"/>
        <v>0</v>
      </c>
      <c r="R438" s="292">
        <f t="shared" si="67"/>
        <v>0</v>
      </c>
      <c r="S438" s="301">
        <f t="shared" si="62"/>
        <v>0</v>
      </c>
      <c r="T438" s="301">
        <f t="shared" si="63"/>
        <v>0</v>
      </c>
      <c r="U438" s="771" t="str">
        <f t="shared" si="64"/>
        <v>V</v>
      </c>
      <c r="V438" s="303"/>
      <c r="W438" s="304">
        <f>(Q438+R438)*'1.0-Contractblad'!$L$37</f>
        <v>0</v>
      </c>
      <c r="X438" s="304">
        <f ca="1">VLOOKUP(E438,'1.1a-Jaarprijzen'!$B$35:$Q$57,16,FALSE)*K438</f>
        <v>0</v>
      </c>
      <c r="Z438" s="773">
        <f t="shared" si="68"/>
        <v>1200</v>
      </c>
      <c r="AA438" s="492" t="str">
        <f t="shared" si="69"/>
        <v>3200-200</v>
      </c>
    </row>
    <row r="439" spans="2:27" s="490" customFormat="1" ht="15">
      <c r="B439" s="330"/>
      <c r="C439" s="331"/>
      <c r="D439" s="295">
        <f>VLOOKUP(E439,'1.1a-Jaarprijzen'!$B$13:$G$32,6,FALSE)</f>
        <v>2</v>
      </c>
      <c r="E439" s="294" t="s">
        <v>883</v>
      </c>
      <c r="F439" s="295" t="s">
        <v>605</v>
      </c>
      <c r="G439" s="296" t="s">
        <v>645</v>
      </c>
      <c r="H439" s="294" t="s">
        <v>387</v>
      </c>
      <c r="I439" s="297" t="str">
        <f t="shared" si="61"/>
        <v>entree, gang, hal, repro</v>
      </c>
      <c r="J439" s="295" t="s">
        <v>699</v>
      </c>
      <c r="K439" s="298">
        <v>13</v>
      </c>
      <c r="L439" s="298"/>
      <c r="M439" s="299">
        <v>3200</v>
      </c>
      <c r="N439" s="300">
        <f t="shared" si="65"/>
        <v>200</v>
      </c>
      <c r="O439" s="484">
        <v>1</v>
      </c>
      <c r="P439" s="484">
        <v>1</v>
      </c>
      <c r="Q439" s="292">
        <f t="shared" si="66"/>
        <v>0</v>
      </c>
      <c r="R439" s="292">
        <f t="shared" si="67"/>
        <v>0</v>
      </c>
      <c r="S439" s="301">
        <f t="shared" si="62"/>
        <v>0</v>
      </c>
      <c r="T439" s="301">
        <f t="shared" si="63"/>
        <v>0</v>
      </c>
      <c r="U439" s="771" t="str">
        <f t="shared" si="64"/>
        <v>V</v>
      </c>
      <c r="V439" s="303"/>
      <c r="W439" s="304">
        <f>(Q439+R439)*'1.0-Contractblad'!$L$37</f>
        <v>0</v>
      </c>
      <c r="X439" s="304">
        <f ca="1">VLOOKUP(E439,'1.1a-Jaarprijzen'!$B$35:$Q$57,16,FALSE)*K439</f>
        <v>0</v>
      </c>
      <c r="Z439" s="773">
        <f t="shared" si="68"/>
        <v>2600</v>
      </c>
      <c r="AA439" s="492" t="str">
        <f t="shared" si="69"/>
        <v>3200-200</v>
      </c>
    </row>
    <row r="440" spans="2:27" s="490" customFormat="1" ht="15">
      <c r="B440" s="330"/>
      <c r="C440" s="331"/>
      <c r="D440" s="295">
        <f>VLOOKUP(E440,'1.1a-Jaarprijzen'!$B$13:$G$32,6,FALSE)</f>
        <v>2</v>
      </c>
      <c r="E440" s="294" t="s">
        <v>883</v>
      </c>
      <c r="F440" s="295" t="s">
        <v>605</v>
      </c>
      <c r="G440" s="296" t="s">
        <v>646</v>
      </c>
      <c r="H440" s="294" t="s">
        <v>387</v>
      </c>
      <c r="I440" s="297" t="str">
        <f t="shared" si="61"/>
        <v>entree, gang, hal, repro</v>
      </c>
      <c r="J440" s="295" t="s">
        <v>699</v>
      </c>
      <c r="K440" s="298">
        <v>29</v>
      </c>
      <c r="L440" s="298"/>
      <c r="M440" s="299">
        <v>3200</v>
      </c>
      <c r="N440" s="300">
        <f t="shared" si="65"/>
        <v>200</v>
      </c>
      <c r="O440" s="484">
        <v>1</v>
      </c>
      <c r="P440" s="484">
        <v>1</v>
      </c>
      <c r="Q440" s="292">
        <f t="shared" si="66"/>
        <v>0</v>
      </c>
      <c r="R440" s="292">
        <f t="shared" si="67"/>
        <v>0</v>
      </c>
      <c r="S440" s="301">
        <f t="shared" si="62"/>
        <v>0</v>
      </c>
      <c r="T440" s="301">
        <f t="shared" si="63"/>
        <v>0</v>
      </c>
      <c r="U440" s="771" t="str">
        <f t="shared" si="64"/>
        <v>V</v>
      </c>
      <c r="V440" s="303"/>
      <c r="W440" s="304">
        <f>(Q440+R440)*'1.0-Contractblad'!$L$37</f>
        <v>0</v>
      </c>
      <c r="X440" s="304">
        <f ca="1">VLOOKUP(E440,'1.1a-Jaarprijzen'!$B$35:$Q$57,16,FALSE)*K440</f>
        <v>0</v>
      </c>
      <c r="Z440" s="773">
        <f t="shared" si="68"/>
        <v>5800</v>
      </c>
      <c r="AA440" s="492" t="str">
        <f t="shared" si="69"/>
        <v>3200-200</v>
      </c>
    </row>
    <row r="441" spans="2:27" s="490" customFormat="1" ht="15">
      <c r="B441" s="330"/>
      <c r="C441" s="331"/>
      <c r="D441" s="295">
        <f>VLOOKUP(E441,'1.1a-Jaarprijzen'!$B$13:$G$32,6,FALSE)</f>
        <v>2</v>
      </c>
      <c r="E441" s="294" t="s">
        <v>883</v>
      </c>
      <c r="F441" s="295" t="s">
        <v>605</v>
      </c>
      <c r="G441" s="296" t="s">
        <v>638</v>
      </c>
      <c r="H441" s="294" t="s">
        <v>685</v>
      </c>
      <c r="I441" s="297" t="str">
        <f t="shared" si="61"/>
        <v>leslokaal/leerplein groep 4 t/m 8</v>
      </c>
      <c r="J441" s="295" t="s">
        <v>699</v>
      </c>
      <c r="K441" s="298">
        <v>53</v>
      </c>
      <c r="L441" s="298"/>
      <c r="M441" s="299">
        <v>18200</v>
      </c>
      <c r="N441" s="300">
        <f t="shared" si="65"/>
        <v>200</v>
      </c>
      <c r="O441" s="484">
        <v>1</v>
      </c>
      <c r="P441" s="484">
        <v>1</v>
      </c>
      <c r="Q441" s="292">
        <f t="shared" si="66"/>
        <v>0</v>
      </c>
      <c r="R441" s="292">
        <f t="shared" si="67"/>
        <v>0</v>
      </c>
      <c r="S441" s="301">
        <f t="shared" si="62"/>
        <v>0</v>
      </c>
      <c r="T441" s="301">
        <f t="shared" si="63"/>
        <v>0</v>
      </c>
      <c r="U441" s="771" t="str">
        <f t="shared" si="64"/>
        <v>L</v>
      </c>
      <c r="V441" s="303"/>
      <c r="W441" s="304">
        <f>(Q441+R441)*'1.0-Contractblad'!$L$37</f>
        <v>0</v>
      </c>
      <c r="X441" s="304">
        <f ca="1">VLOOKUP(E441,'1.1a-Jaarprijzen'!$B$35:$Q$57,16,FALSE)*K441</f>
        <v>0</v>
      </c>
      <c r="Z441" s="773">
        <f t="shared" si="68"/>
        <v>10600</v>
      </c>
      <c r="AA441" s="492" t="str">
        <f t="shared" si="69"/>
        <v>18200-200</v>
      </c>
    </row>
    <row r="442" spans="2:27" s="490" customFormat="1" ht="15">
      <c r="B442" s="330"/>
      <c r="C442" s="331"/>
      <c r="D442" s="295">
        <f>VLOOKUP(E442,'1.1a-Jaarprijzen'!$B$13:$G$32,6,FALSE)</f>
        <v>2</v>
      </c>
      <c r="E442" s="294" t="s">
        <v>883</v>
      </c>
      <c r="F442" s="295" t="s">
        <v>605</v>
      </c>
      <c r="G442" s="296" t="s">
        <v>639</v>
      </c>
      <c r="H442" s="294" t="s">
        <v>685</v>
      </c>
      <c r="I442" s="297" t="str">
        <f t="shared" si="61"/>
        <v>leslokaal/leerplein groep 4 t/m 8</v>
      </c>
      <c r="J442" s="295" t="s">
        <v>699</v>
      </c>
      <c r="K442" s="298">
        <v>56</v>
      </c>
      <c r="L442" s="298"/>
      <c r="M442" s="299">
        <v>18200</v>
      </c>
      <c r="N442" s="300">
        <f t="shared" si="65"/>
        <v>200</v>
      </c>
      <c r="O442" s="484">
        <v>1</v>
      </c>
      <c r="P442" s="484">
        <v>1</v>
      </c>
      <c r="Q442" s="292">
        <f t="shared" si="66"/>
        <v>0</v>
      </c>
      <c r="R442" s="292">
        <f t="shared" si="67"/>
        <v>0</v>
      </c>
      <c r="S442" s="301">
        <f t="shared" si="62"/>
        <v>0</v>
      </c>
      <c r="T442" s="301">
        <f t="shared" si="63"/>
        <v>0</v>
      </c>
      <c r="U442" s="771" t="str">
        <f t="shared" si="64"/>
        <v>L</v>
      </c>
      <c r="V442" s="303"/>
      <c r="W442" s="304">
        <f>(Q442+R442)*'1.0-Contractblad'!$L$37</f>
        <v>0</v>
      </c>
      <c r="X442" s="304">
        <f ca="1">VLOOKUP(E442,'1.1a-Jaarprijzen'!$B$35:$Q$57,16,FALSE)*K442</f>
        <v>0</v>
      </c>
      <c r="Z442" s="773">
        <f t="shared" si="68"/>
        <v>11200</v>
      </c>
      <c r="AA442" s="492" t="str">
        <f t="shared" si="69"/>
        <v>18200-200</v>
      </c>
    </row>
    <row r="443" spans="2:27" s="490" customFormat="1" ht="15">
      <c r="B443" s="330"/>
      <c r="C443" s="331"/>
      <c r="D443" s="295">
        <f>VLOOKUP(E443,'1.1a-Jaarprijzen'!$B$13:$G$32,6,FALSE)</f>
        <v>2</v>
      </c>
      <c r="E443" s="294" t="s">
        <v>883</v>
      </c>
      <c r="F443" s="295" t="s">
        <v>605</v>
      </c>
      <c r="G443" s="295" t="s">
        <v>640</v>
      </c>
      <c r="H443" s="294" t="s">
        <v>685</v>
      </c>
      <c r="I443" s="297" t="str">
        <f t="shared" si="61"/>
        <v>leslokaal/leerplein groep 4 t/m 8</v>
      </c>
      <c r="J443" s="295" t="s">
        <v>699</v>
      </c>
      <c r="K443" s="298">
        <v>56</v>
      </c>
      <c r="L443" s="298"/>
      <c r="M443" s="299">
        <v>18200</v>
      </c>
      <c r="N443" s="300">
        <f t="shared" si="65"/>
        <v>200</v>
      </c>
      <c r="O443" s="484">
        <v>1</v>
      </c>
      <c r="P443" s="484">
        <v>1</v>
      </c>
      <c r="Q443" s="292">
        <f t="shared" si="66"/>
        <v>0</v>
      </c>
      <c r="R443" s="292">
        <f t="shared" si="67"/>
        <v>0</v>
      </c>
      <c r="S443" s="301">
        <f t="shared" si="62"/>
        <v>0</v>
      </c>
      <c r="T443" s="301">
        <f t="shared" si="63"/>
        <v>0</v>
      </c>
      <c r="U443" s="771" t="str">
        <f t="shared" si="64"/>
        <v>L</v>
      </c>
      <c r="V443" s="303"/>
      <c r="W443" s="304">
        <f>(Q443+R443)*'1.0-Contractblad'!$L$37</f>
        <v>0</v>
      </c>
      <c r="X443" s="304">
        <f ca="1">VLOOKUP(E443,'1.1a-Jaarprijzen'!$B$35:$Q$57,16,FALSE)*K443</f>
        <v>0</v>
      </c>
      <c r="Z443" s="773">
        <f t="shared" si="68"/>
        <v>11200</v>
      </c>
      <c r="AA443" s="492" t="str">
        <f t="shared" si="69"/>
        <v>18200-200</v>
      </c>
    </row>
    <row r="444" spans="2:27" s="490" customFormat="1" ht="15">
      <c r="B444" s="330"/>
      <c r="C444" s="331"/>
      <c r="D444" s="295">
        <f>VLOOKUP(E444,'1.1a-Jaarprijzen'!$B$13:$G$32,6,FALSE)</f>
        <v>2</v>
      </c>
      <c r="E444" s="294" t="s">
        <v>883</v>
      </c>
      <c r="F444" s="295" t="s">
        <v>605</v>
      </c>
      <c r="G444" s="295" t="s">
        <v>661</v>
      </c>
      <c r="H444" s="294" t="s">
        <v>685</v>
      </c>
      <c r="I444" s="297" t="str">
        <f t="shared" si="61"/>
        <v>leslokaal/leerplein groep 4 t/m 8</v>
      </c>
      <c r="J444" s="295" t="s">
        <v>699</v>
      </c>
      <c r="K444" s="298">
        <v>41</v>
      </c>
      <c r="L444" s="298"/>
      <c r="M444" s="299">
        <v>18200</v>
      </c>
      <c r="N444" s="300">
        <f t="shared" si="65"/>
        <v>200</v>
      </c>
      <c r="O444" s="484">
        <v>1</v>
      </c>
      <c r="P444" s="484">
        <v>1</v>
      </c>
      <c r="Q444" s="292">
        <f t="shared" si="66"/>
        <v>0</v>
      </c>
      <c r="R444" s="292">
        <f t="shared" si="67"/>
        <v>0</v>
      </c>
      <c r="S444" s="301">
        <f t="shared" si="62"/>
        <v>0</v>
      </c>
      <c r="T444" s="301">
        <f t="shared" si="63"/>
        <v>0</v>
      </c>
      <c r="U444" s="771" t="str">
        <f t="shared" si="64"/>
        <v>L</v>
      </c>
      <c r="V444" s="303"/>
      <c r="W444" s="304">
        <f>(Q444+R444)*'1.0-Contractblad'!$L$37</f>
        <v>0</v>
      </c>
      <c r="X444" s="304">
        <f ca="1">VLOOKUP(E444,'1.1a-Jaarprijzen'!$B$35:$Q$57,16,FALSE)*K444</f>
        <v>0</v>
      </c>
      <c r="Z444" s="773">
        <f t="shared" si="68"/>
        <v>8200</v>
      </c>
      <c r="AA444" s="492" t="str">
        <f t="shared" si="69"/>
        <v>18200-200</v>
      </c>
    </row>
    <row r="445" spans="2:27" s="490" customFormat="1" ht="15">
      <c r="B445" s="330"/>
      <c r="C445" s="331"/>
      <c r="D445" s="295">
        <f>VLOOKUP(E445,'1.1a-Jaarprijzen'!$B$13:$G$32,6,FALSE)</f>
        <v>2</v>
      </c>
      <c r="E445" s="294" t="s">
        <v>883</v>
      </c>
      <c r="F445" s="295" t="s">
        <v>605</v>
      </c>
      <c r="G445" s="296" t="s">
        <v>662</v>
      </c>
      <c r="H445" s="294" t="s">
        <v>685</v>
      </c>
      <c r="I445" s="297" t="str">
        <f t="shared" si="61"/>
        <v>leslokaal/leerplein groep 4 t/m 8</v>
      </c>
      <c r="J445" s="295" t="s">
        <v>699</v>
      </c>
      <c r="K445" s="298">
        <v>53</v>
      </c>
      <c r="L445" s="298"/>
      <c r="M445" s="299">
        <v>18200</v>
      </c>
      <c r="N445" s="300">
        <f t="shared" si="65"/>
        <v>200</v>
      </c>
      <c r="O445" s="484">
        <v>1</v>
      </c>
      <c r="P445" s="484">
        <v>1</v>
      </c>
      <c r="Q445" s="292">
        <f t="shared" si="66"/>
        <v>0</v>
      </c>
      <c r="R445" s="292">
        <f t="shared" si="67"/>
        <v>0</v>
      </c>
      <c r="S445" s="301">
        <f t="shared" si="62"/>
        <v>0</v>
      </c>
      <c r="T445" s="301">
        <f t="shared" si="63"/>
        <v>0</v>
      </c>
      <c r="U445" s="771" t="str">
        <f t="shared" si="64"/>
        <v>L</v>
      </c>
      <c r="V445" s="303"/>
      <c r="W445" s="304">
        <f>(Q445+R445)*'1.0-Contractblad'!$L$37</f>
        <v>0</v>
      </c>
      <c r="X445" s="304">
        <f ca="1">VLOOKUP(E445,'1.1a-Jaarprijzen'!$B$35:$Q$57,16,FALSE)*K445</f>
        <v>0</v>
      </c>
      <c r="Z445" s="773">
        <f t="shared" si="68"/>
        <v>10600</v>
      </c>
      <c r="AA445" s="492" t="str">
        <f t="shared" si="69"/>
        <v>18200-200</v>
      </c>
    </row>
    <row r="446" spans="2:27" s="490" customFormat="1" ht="15">
      <c r="B446" s="330"/>
      <c r="C446" s="331"/>
      <c r="D446" s="295">
        <f>VLOOKUP(E446,'1.1a-Jaarprijzen'!$B$13:$G$32,6,FALSE)</f>
        <v>2</v>
      </c>
      <c r="E446" s="294" t="s">
        <v>883</v>
      </c>
      <c r="F446" s="295" t="s">
        <v>605</v>
      </c>
      <c r="G446" s="296" t="s">
        <v>663</v>
      </c>
      <c r="H446" s="294" t="s">
        <v>685</v>
      </c>
      <c r="I446" s="297" t="str">
        <f t="shared" si="61"/>
        <v>leslokaal groep 1 t/m 3</v>
      </c>
      <c r="J446" s="295" t="s">
        <v>699</v>
      </c>
      <c r="K446" s="298">
        <v>56</v>
      </c>
      <c r="L446" s="298"/>
      <c r="M446" s="299">
        <v>7200</v>
      </c>
      <c r="N446" s="300">
        <f t="shared" si="65"/>
        <v>200</v>
      </c>
      <c r="O446" s="484">
        <v>1</v>
      </c>
      <c r="P446" s="484">
        <v>1</v>
      </c>
      <c r="Q446" s="292">
        <f t="shared" si="66"/>
        <v>0</v>
      </c>
      <c r="R446" s="292">
        <f t="shared" si="67"/>
        <v>0</v>
      </c>
      <c r="S446" s="301">
        <f t="shared" si="62"/>
        <v>0</v>
      </c>
      <c r="T446" s="301">
        <f t="shared" si="63"/>
        <v>0</v>
      </c>
      <c r="U446" s="771" t="str">
        <f t="shared" si="64"/>
        <v>L</v>
      </c>
      <c r="V446" s="303"/>
      <c r="W446" s="304">
        <f>(Q446+R446)*'1.0-Contractblad'!$L$37</f>
        <v>0</v>
      </c>
      <c r="X446" s="304">
        <f ca="1">VLOOKUP(E446,'1.1a-Jaarprijzen'!$B$35:$Q$57,16,FALSE)*K446</f>
        <v>0</v>
      </c>
      <c r="Z446" s="773">
        <f t="shared" si="68"/>
        <v>11200</v>
      </c>
      <c r="AA446" s="492" t="str">
        <f t="shared" si="69"/>
        <v>7200-200</v>
      </c>
    </row>
    <row r="447" spans="2:27" s="490" customFormat="1" ht="15">
      <c r="B447" s="330"/>
      <c r="C447" s="331"/>
      <c r="D447" s="295">
        <f>VLOOKUP(E447,'1.1a-Jaarprijzen'!$B$13:$G$32,6,FALSE)</f>
        <v>2</v>
      </c>
      <c r="E447" s="294" t="s">
        <v>883</v>
      </c>
      <c r="F447" s="295" t="s">
        <v>605</v>
      </c>
      <c r="G447" s="296" t="s">
        <v>664</v>
      </c>
      <c r="H447" s="294" t="s">
        <v>685</v>
      </c>
      <c r="I447" s="297" t="str">
        <f t="shared" si="61"/>
        <v>leslokaal groep 1 t/m 3</v>
      </c>
      <c r="J447" s="295" t="s">
        <v>699</v>
      </c>
      <c r="K447" s="298">
        <v>60</v>
      </c>
      <c r="L447" s="298"/>
      <c r="M447" s="299">
        <v>7200</v>
      </c>
      <c r="N447" s="300">
        <f t="shared" si="65"/>
        <v>200</v>
      </c>
      <c r="O447" s="484">
        <v>1</v>
      </c>
      <c r="P447" s="484">
        <v>1</v>
      </c>
      <c r="Q447" s="292">
        <f t="shared" si="66"/>
        <v>0</v>
      </c>
      <c r="R447" s="292">
        <f t="shared" si="67"/>
        <v>0</v>
      </c>
      <c r="S447" s="301">
        <f t="shared" si="62"/>
        <v>0</v>
      </c>
      <c r="T447" s="301">
        <f t="shared" si="63"/>
        <v>0</v>
      </c>
      <c r="U447" s="771" t="str">
        <f t="shared" si="64"/>
        <v>L</v>
      </c>
      <c r="V447" s="303"/>
      <c r="W447" s="304">
        <f>(Q447+R447)*'1.0-Contractblad'!$L$37</f>
        <v>0</v>
      </c>
      <c r="X447" s="304">
        <f ca="1">VLOOKUP(E447,'1.1a-Jaarprijzen'!$B$35:$Q$57,16,FALSE)*K447</f>
        <v>0</v>
      </c>
      <c r="Z447" s="773">
        <f t="shared" si="68"/>
        <v>12000</v>
      </c>
      <c r="AA447" s="492" t="str">
        <f t="shared" si="69"/>
        <v>7200-200</v>
      </c>
    </row>
    <row r="448" spans="2:27" s="490" customFormat="1" ht="15">
      <c r="B448" s="330"/>
      <c r="C448" s="331"/>
      <c r="D448" s="295">
        <f>VLOOKUP(E448,'1.1a-Jaarprijzen'!$B$13:$G$32,6,FALSE)</f>
        <v>2</v>
      </c>
      <c r="E448" s="294" t="s">
        <v>883</v>
      </c>
      <c r="F448" s="295" t="s">
        <v>605</v>
      </c>
      <c r="G448" s="296" t="s">
        <v>668</v>
      </c>
      <c r="H448" s="294" t="s">
        <v>685</v>
      </c>
      <c r="I448" s="297" t="str">
        <f t="shared" si="61"/>
        <v>leslokaal groep 1 t/m 3</v>
      </c>
      <c r="J448" s="295" t="s">
        <v>699</v>
      </c>
      <c r="K448" s="298">
        <v>56</v>
      </c>
      <c r="L448" s="298"/>
      <c r="M448" s="299">
        <v>7200</v>
      </c>
      <c r="N448" s="300">
        <f t="shared" si="65"/>
        <v>200</v>
      </c>
      <c r="O448" s="484">
        <v>1</v>
      </c>
      <c r="P448" s="484">
        <v>1</v>
      </c>
      <c r="Q448" s="292">
        <f t="shared" si="66"/>
        <v>0</v>
      </c>
      <c r="R448" s="292">
        <f t="shared" si="67"/>
        <v>0</v>
      </c>
      <c r="S448" s="301">
        <f t="shared" si="62"/>
        <v>0</v>
      </c>
      <c r="T448" s="301">
        <f t="shared" si="63"/>
        <v>0</v>
      </c>
      <c r="U448" s="771" t="str">
        <f t="shared" si="64"/>
        <v>L</v>
      </c>
      <c r="V448" s="303"/>
      <c r="W448" s="304">
        <f>(Q448+R448)*'1.0-Contractblad'!$L$37</f>
        <v>0</v>
      </c>
      <c r="X448" s="304">
        <f ca="1">VLOOKUP(E448,'1.1a-Jaarprijzen'!$B$35:$Q$57,16,FALSE)*K448</f>
        <v>0</v>
      </c>
      <c r="Z448" s="773">
        <f t="shared" si="68"/>
        <v>11200</v>
      </c>
      <c r="AA448" s="492" t="str">
        <f t="shared" si="69"/>
        <v>7200-200</v>
      </c>
    </row>
    <row r="449" spans="2:27" s="490" customFormat="1" ht="15">
      <c r="B449" s="330"/>
      <c r="C449" s="331"/>
      <c r="D449" s="295">
        <f>VLOOKUP(E449,'1.1a-Jaarprijzen'!$B$13:$G$32,6,FALSE)</f>
        <v>2</v>
      </c>
      <c r="E449" s="294" t="s">
        <v>883</v>
      </c>
      <c r="F449" s="295" t="s">
        <v>605</v>
      </c>
      <c r="G449" s="296" t="s">
        <v>669</v>
      </c>
      <c r="H449" s="294" t="s">
        <v>685</v>
      </c>
      <c r="I449" s="297" t="str">
        <f t="shared" si="61"/>
        <v>leslokaal/bevo/handvaardigheid</v>
      </c>
      <c r="J449" s="295" t="s">
        <v>699</v>
      </c>
      <c r="K449" s="298">
        <v>56</v>
      </c>
      <c r="L449" s="298"/>
      <c r="M449" s="299">
        <v>7040</v>
      </c>
      <c r="N449" s="300">
        <f t="shared" si="65"/>
        <v>40</v>
      </c>
      <c r="O449" s="484">
        <v>1</v>
      </c>
      <c r="P449" s="484">
        <v>1</v>
      </c>
      <c r="Q449" s="292">
        <f t="shared" si="66"/>
        <v>0</v>
      </c>
      <c r="R449" s="292">
        <f t="shared" si="67"/>
        <v>0</v>
      </c>
      <c r="S449" s="301">
        <f t="shared" si="62"/>
        <v>0</v>
      </c>
      <c r="T449" s="301">
        <f t="shared" si="63"/>
        <v>0</v>
      </c>
      <c r="U449" s="771" t="str">
        <f t="shared" si="64"/>
        <v>L</v>
      </c>
      <c r="V449" s="303"/>
      <c r="W449" s="304">
        <f>(Q449+R449)*'1.0-Contractblad'!$L$37</f>
        <v>0</v>
      </c>
      <c r="X449" s="304">
        <f ca="1">VLOOKUP(E449,'1.1a-Jaarprijzen'!$B$35:$Q$57,16,FALSE)*K449</f>
        <v>0</v>
      </c>
      <c r="Z449" s="773">
        <f t="shared" si="68"/>
        <v>2240</v>
      </c>
      <c r="AA449" s="492" t="str">
        <f t="shared" si="69"/>
        <v>7040-40</v>
      </c>
    </row>
    <row r="450" spans="2:27" s="490" customFormat="1" ht="15">
      <c r="B450" s="330"/>
      <c r="C450" s="331"/>
      <c r="D450" s="295">
        <f>VLOOKUP(E450,'1.1a-Jaarprijzen'!$B$13:$G$32,6,FALSE)</f>
        <v>2</v>
      </c>
      <c r="E450" s="294" t="s">
        <v>883</v>
      </c>
      <c r="F450" s="295" t="s">
        <v>605</v>
      </c>
      <c r="G450" s="296" t="s">
        <v>641</v>
      </c>
      <c r="H450" s="294" t="s">
        <v>390</v>
      </c>
      <c r="I450" s="297" t="str">
        <f t="shared" si="61"/>
        <v>speellokaal</v>
      </c>
      <c r="J450" s="295" t="s">
        <v>462</v>
      </c>
      <c r="K450" s="298">
        <v>90</v>
      </c>
      <c r="L450" s="298"/>
      <c r="M450" s="299">
        <v>8200</v>
      </c>
      <c r="N450" s="300">
        <f t="shared" si="65"/>
        <v>200</v>
      </c>
      <c r="O450" s="484">
        <v>1</v>
      </c>
      <c r="P450" s="484">
        <v>1</v>
      </c>
      <c r="Q450" s="292">
        <f t="shared" si="66"/>
        <v>0</v>
      </c>
      <c r="R450" s="292">
        <f t="shared" si="67"/>
        <v>0</v>
      </c>
      <c r="S450" s="301">
        <f t="shared" si="62"/>
        <v>0</v>
      </c>
      <c r="T450" s="301">
        <f t="shared" si="63"/>
        <v>0</v>
      </c>
      <c r="U450" s="771" t="str">
        <f t="shared" si="64"/>
        <v>L</v>
      </c>
      <c r="V450" s="303"/>
      <c r="W450" s="304">
        <f>(Q450+R450)*'1.0-Contractblad'!$L$37</f>
        <v>0</v>
      </c>
      <c r="X450" s="304">
        <f ca="1">VLOOKUP(E450,'1.1a-Jaarprijzen'!$B$35:$Q$57,16,FALSE)*K450</f>
        <v>0</v>
      </c>
      <c r="Z450" s="773">
        <f t="shared" si="68"/>
        <v>18000</v>
      </c>
      <c r="AA450" s="492" t="str">
        <f t="shared" si="69"/>
        <v>8200-200</v>
      </c>
    </row>
    <row r="451" spans="2:27" s="490" customFormat="1" ht="15">
      <c r="B451" s="330"/>
      <c r="C451" s="331"/>
      <c r="D451" s="295">
        <f>VLOOKUP(E451,'1.1a-Jaarprijzen'!$B$13:$G$32,6,FALSE)</f>
        <v>2</v>
      </c>
      <c r="E451" s="294" t="s">
        <v>883</v>
      </c>
      <c r="F451" s="295" t="s">
        <v>605</v>
      </c>
      <c r="G451" s="296" t="s">
        <v>884</v>
      </c>
      <c r="H451" s="294" t="s">
        <v>1053</v>
      </c>
      <c r="I451" s="297" t="str">
        <f t="shared" si="61"/>
        <v>leslokaal/bevo/handvaardigheid</v>
      </c>
      <c r="J451" s="295" t="s">
        <v>699</v>
      </c>
      <c r="K451" s="298">
        <v>25</v>
      </c>
      <c r="L451" s="298"/>
      <c r="M451" s="299">
        <v>7040</v>
      </c>
      <c r="N451" s="300">
        <f t="shared" si="65"/>
        <v>40</v>
      </c>
      <c r="O451" s="484">
        <v>1</v>
      </c>
      <c r="P451" s="484">
        <v>1</v>
      </c>
      <c r="Q451" s="292">
        <f t="shared" si="66"/>
        <v>0</v>
      </c>
      <c r="R451" s="292">
        <f t="shared" si="67"/>
        <v>0</v>
      </c>
      <c r="S451" s="301">
        <f t="shared" si="62"/>
        <v>0</v>
      </c>
      <c r="T451" s="301">
        <f t="shared" si="63"/>
        <v>0</v>
      </c>
      <c r="U451" s="771" t="str">
        <f t="shared" si="64"/>
        <v>L</v>
      </c>
      <c r="V451" s="303"/>
      <c r="W451" s="304">
        <f>(Q451+R451)*'1.0-Contractblad'!$L$37</f>
        <v>0</v>
      </c>
      <c r="X451" s="304">
        <f ca="1">VLOOKUP(E451,'1.1a-Jaarprijzen'!$B$35:$Q$57,16,FALSE)*K451</f>
        <v>0</v>
      </c>
      <c r="Z451" s="773">
        <f t="shared" si="68"/>
        <v>1000</v>
      </c>
      <c r="AA451" s="492" t="str">
        <f t="shared" si="69"/>
        <v>7040-40</v>
      </c>
    </row>
    <row r="452" spans="2:27" s="490" customFormat="1" ht="15">
      <c r="B452" s="330"/>
      <c r="C452" s="331"/>
      <c r="D452" s="295">
        <f>VLOOKUP(E452,'1.1a-Jaarprijzen'!$B$13:$G$32,6,FALSE)</f>
        <v>2</v>
      </c>
      <c r="E452" s="294" t="s">
        <v>883</v>
      </c>
      <c r="F452" s="295" t="s">
        <v>605</v>
      </c>
      <c r="G452" s="296" t="s">
        <v>647</v>
      </c>
      <c r="H452" s="294" t="s">
        <v>396</v>
      </c>
      <c r="I452" s="297" t="str">
        <f t="shared" si="61"/>
        <v>aula, gemeenschappelijke ruimte, bibliotheek</v>
      </c>
      <c r="J452" s="295" t="s">
        <v>699</v>
      </c>
      <c r="K452" s="298">
        <v>95</v>
      </c>
      <c r="L452" s="298"/>
      <c r="M452" s="299">
        <v>2200</v>
      </c>
      <c r="N452" s="300">
        <f t="shared" si="65"/>
        <v>200</v>
      </c>
      <c r="O452" s="484">
        <v>1</v>
      </c>
      <c r="P452" s="484">
        <v>1</v>
      </c>
      <c r="Q452" s="292">
        <f t="shared" si="66"/>
        <v>0</v>
      </c>
      <c r="R452" s="292">
        <f t="shared" si="67"/>
        <v>0</v>
      </c>
      <c r="S452" s="301">
        <f t="shared" si="62"/>
        <v>0</v>
      </c>
      <c r="T452" s="301">
        <f t="shared" si="63"/>
        <v>0</v>
      </c>
      <c r="U452" s="771" t="str">
        <f t="shared" si="64"/>
        <v>V</v>
      </c>
      <c r="V452" s="303"/>
      <c r="W452" s="304">
        <f>(Q452+R452)*'1.0-Contractblad'!$L$37</f>
        <v>0</v>
      </c>
      <c r="X452" s="304">
        <f ca="1">VLOOKUP(E452,'1.1a-Jaarprijzen'!$B$35:$Q$57,16,FALSE)*K452</f>
        <v>0</v>
      </c>
      <c r="Z452" s="773">
        <f t="shared" si="68"/>
        <v>19000</v>
      </c>
      <c r="AA452" s="492" t="str">
        <f t="shared" si="69"/>
        <v>2200-200</v>
      </c>
    </row>
    <row r="453" spans="2:27" s="490" customFormat="1" ht="15">
      <c r="B453" s="330"/>
      <c r="C453" s="331"/>
      <c r="D453" s="295">
        <f>VLOOKUP(E453,'1.1a-Jaarprijzen'!$B$13:$G$32,6,FALSE)</f>
        <v>2</v>
      </c>
      <c r="E453" s="294" t="s">
        <v>883</v>
      </c>
      <c r="F453" s="295" t="s">
        <v>605</v>
      </c>
      <c r="G453" s="296" t="s">
        <v>704</v>
      </c>
      <c r="H453" s="294" t="s">
        <v>396</v>
      </c>
      <c r="I453" s="297" t="str">
        <f t="shared" si="61"/>
        <v>aula, gemeenschappelijke ruimte, bibliotheek</v>
      </c>
      <c r="J453" s="295" t="s">
        <v>699</v>
      </c>
      <c r="K453" s="298">
        <v>97</v>
      </c>
      <c r="L453" s="298"/>
      <c r="M453" s="299">
        <v>2200</v>
      </c>
      <c r="N453" s="300">
        <f t="shared" si="65"/>
        <v>200</v>
      </c>
      <c r="O453" s="484">
        <v>1</v>
      </c>
      <c r="P453" s="484">
        <v>1</v>
      </c>
      <c r="Q453" s="292">
        <f t="shared" si="66"/>
        <v>0</v>
      </c>
      <c r="R453" s="292">
        <f t="shared" si="67"/>
        <v>0</v>
      </c>
      <c r="S453" s="301">
        <f t="shared" si="62"/>
        <v>0</v>
      </c>
      <c r="T453" s="301">
        <f t="shared" si="63"/>
        <v>0</v>
      </c>
      <c r="U453" s="771" t="str">
        <f t="shared" si="64"/>
        <v>V</v>
      </c>
      <c r="V453" s="303"/>
      <c r="W453" s="304">
        <f>(Q453+R453)*'1.0-Contractblad'!$L$37</f>
        <v>0</v>
      </c>
      <c r="X453" s="304">
        <f ca="1">VLOOKUP(E453,'1.1a-Jaarprijzen'!$B$35:$Q$57,16,FALSE)*K453</f>
        <v>0</v>
      </c>
      <c r="Z453" s="773">
        <f t="shared" si="68"/>
        <v>19400</v>
      </c>
      <c r="AA453" s="492" t="str">
        <f t="shared" si="69"/>
        <v>2200-200</v>
      </c>
    </row>
    <row r="454" spans="2:27" s="490" customFormat="1" ht="15">
      <c r="B454" s="330"/>
      <c r="C454" s="331"/>
      <c r="D454" s="295">
        <f>VLOOKUP(E454,'1.1a-Jaarprijzen'!$B$13:$G$32,6,FALSE)</f>
        <v>2</v>
      </c>
      <c r="E454" s="294" t="s">
        <v>883</v>
      </c>
      <c r="F454" s="295" t="s">
        <v>605</v>
      </c>
      <c r="G454" s="296" t="s">
        <v>653</v>
      </c>
      <c r="H454" s="294" t="s">
        <v>389</v>
      </c>
      <c r="I454" s="297" t="str">
        <f t="shared" si="61"/>
        <v>administratieve -,  vergaderruimte</v>
      </c>
      <c r="J454" s="295" t="s">
        <v>48</v>
      </c>
      <c r="K454" s="298">
        <v>21</v>
      </c>
      <c r="L454" s="298"/>
      <c r="M454" s="299">
        <v>1040</v>
      </c>
      <c r="N454" s="300">
        <f t="shared" si="65"/>
        <v>40</v>
      </c>
      <c r="O454" s="484">
        <v>1</v>
      </c>
      <c r="P454" s="484">
        <v>1</v>
      </c>
      <c r="Q454" s="292">
        <f t="shared" si="66"/>
        <v>0</v>
      </c>
      <c r="R454" s="292">
        <f t="shared" si="67"/>
        <v>0</v>
      </c>
      <c r="S454" s="301">
        <f t="shared" si="62"/>
        <v>0</v>
      </c>
      <c r="T454" s="301">
        <f t="shared" si="63"/>
        <v>0</v>
      </c>
      <c r="U454" s="771" t="str">
        <f t="shared" si="64"/>
        <v>V</v>
      </c>
      <c r="V454" s="303"/>
      <c r="W454" s="304">
        <f>(Q454+R454)*'1.0-Contractblad'!$L$37</f>
        <v>0</v>
      </c>
      <c r="X454" s="304">
        <f ca="1">VLOOKUP(E454,'1.1a-Jaarprijzen'!$B$35:$Q$57,16,FALSE)*K454</f>
        <v>0</v>
      </c>
      <c r="Z454" s="773">
        <f t="shared" si="68"/>
        <v>840</v>
      </c>
      <c r="AA454" s="492" t="str">
        <f t="shared" si="69"/>
        <v>1040-40</v>
      </c>
    </row>
    <row r="455" spans="2:27" s="490" customFormat="1" ht="15">
      <c r="B455" s="330"/>
      <c r="C455" s="331"/>
      <c r="D455" s="295">
        <f>VLOOKUP(E455,'1.1a-Jaarprijzen'!$B$13:$G$32,6,FALSE)</f>
        <v>2</v>
      </c>
      <c r="E455" s="294" t="s">
        <v>883</v>
      </c>
      <c r="F455" s="295" t="s">
        <v>605</v>
      </c>
      <c r="G455" s="296" t="s">
        <v>654</v>
      </c>
      <c r="H455" s="294" t="s">
        <v>389</v>
      </c>
      <c r="I455" s="297" t="str">
        <f t="shared" si="61"/>
        <v>administratieve -,  vergaderruimte</v>
      </c>
      <c r="J455" s="298" t="s">
        <v>48</v>
      </c>
      <c r="K455" s="298">
        <v>9</v>
      </c>
      <c r="L455" s="298"/>
      <c r="M455" s="299">
        <v>1040</v>
      </c>
      <c r="N455" s="300">
        <f t="shared" si="65"/>
        <v>40</v>
      </c>
      <c r="O455" s="484">
        <v>1</v>
      </c>
      <c r="P455" s="484">
        <v>1</v>
      </c>
      <c r="Q455" s="292">
        <f t="shared" si="66"/>
        <v>0</v>
      </c>
      <c r="R455" s="292">
        <f t="shared" si="67"/>
        <v>0</v>
      </c>
      <c r="S455" s="301">
        <f t="shared" si="62"/>
        <v>0</v>
      </c>
      <c r="T455" s="301">
        <f t="shared" si="63"/>
        <v>0</v>
      </c>
      <c r="U455" s="771" t="str">
        <f t="shared" si="64"/>
        <v>V</v>
      </c>
      <c r="V455" s="303"/>
      <c r="W455" s="304">
        <f>(Q455+R455)*'1.0-Contractblad'!$L$37</f>
        <v>0</v>
      </c>
      <c r="X455" s="304">
        <f ca="1">VLOOKUP(E455,'1.1a-Jaarprijzen'!$B$35:$Q$57,16,FALSE)*K455</f>
        <v>0</v>
      </c>
      <c r="Z455" s="773">
        <f t="shared" si="68"/>
        <v>360</v>
      </c>
      <c r="AA455" s="492" t="str">
        <f t="shared" si="69"/>
        <v>1040-40</v>
      </c>
    </row>
    <row r="456" spans="2:27" s="490" customFormat="1" ht="15">
      <c r="B456" s="330"/>
      <c r="C456" s="331"/>
      <c r="D456" s="295">
        <f>VLOOKUP(E456,'1.1a-Jaarprijzen'!$B$13:$G$32,6,FALSE)</f>
        <v>2</v>
      </c>
      <c r="E456" s="294" t="s">
        <v>883</v>
      </c>
      <c r="F456" s="295" t="s">
        <v>605</v>
      </c>
      <c r="G456" s="296" t="s">
        <v>648</v>
      </c>
      <c r="H456" s="294" t="s">
        <v>477</v>
      </c>
      <c r="I456" s="297" t="str">
        <f t="shared" si="61"/>
        <v>sanitaire ruimte (toilet-/doucheruimte)</v>
      </c>
      <c r="J456" s="295" t="s">
        <v>700</v>
      </c>
      <c r="K456" s="298">
        <v>5</v>
      </c>
      <c r="L456" s="298"/>
      <c r="M456" s="299">
        <v>4200</v>
      </c>
      <c r="N456" s="300">
        <f t="shared" si="65"/>
        <v>200</v>
      </c>
      <c r="O456" s="484">
        <v>1</v>
      </c>
      <c r="P456" s="484">
        <v>1</v>
      </c>
      <c r="Q456" s="292">
        <f t="shared" si="66"/>
        <v>0</v>
      </c>
      <c r="R456" s="292">
        <f t="shared" si="67"/>
        <v>0</v>
      </c>
      <c r="S456" s="301">
        <f t="shared" si="62"/>
        <v>0</v>
      </c>
      <c r="T456" s="301">
        <f t="shared" si="63"/>
        <v>0</v>
      </c>
      <c r="U456" s="771" t="str">
        <f t="shared" si="64"/>
        <v>S</v>
      </c>
      <c r="V456" s="303"/>
      <c r="W456" s="304">
        <f>(Q456+R456)*'1.0-Contractblad'!$L$37</f>
        <v>0</v>
      </c>
      <c r="X456" s="304">
        <f ca="1">VLOOKUP(E456,'1.1a-Jaarprijzen'!$B$35:$Q$57,16,FALSE)*K456</f>
        <v>0</v>
      </c>
      <c r="Z456" s="773">
        <f t="shared" si="68"/>
        <v>1000</v>
      </c>
      <c r="AA456" s="492" t="str">
        <f t="shared" si="69"/>
        <v>4200-200</v>
      </c>
    </row>
    <row r="457" spans="2:27" s="490" customFormat="1" ht="15">
      <c r="B457" s="330"/>
      <c r="C457" s="331"/>
      <c r="D457" s="295">
        <f>VLOOKUP(E457,'1.1a-Jaarprijzen'!$B$13:$G$32,6,FALSE)</f>
        <v>2</v>
      </c>
      <c r="E457" s="294" t="s">
        <v>883</v>
      </c>
      <c r="F457" s="295" t="s">
        <v>605</v>
      </c>
      <c r="G457" s="296" t="s">
        <v>649</v>
      </c>
      <c r="H457" s="294" t="s">
        <v>477</v>
      </c>
      <c r="I457" s="297" t="str">
        <f t="shared" si="61"/>
        <v>sanitaire ruimte (toilet-/doucheruimte)</v>
      </c>
      <c r="J457" s="295" t="s">
        <v>700</v>
      </c>
      <c r="K457" s="298">
        <v>4</v>
      </c>
      <c r="L457" s="298"/>
      <c r="M457" s="299">
        <v>4200</v>
      </c>
      <c r="N457" s="300">
        <f t="shared" si="65"/>
        <v>200</v>
      </c>
      <c r="O457" s="484">
        <v>1</v>
      </c>
      <c r="P457" s="484">
        <v>1</v>
      </c>
      <c r="Q457" s="292">
        <f t="shared" si="66"/>
        <v>0</v>
      </c>
      <c r="R457" s="292">
        <f t="shared" si="67"/>
        <v>0</v>
      </c>
      <c r="S457" s="301">
        <f t="shared" si="62"/>
        <v>0</v>
      </c>
      <c r="T457" s="301">
        <f t="shared" si="63"/>
        <v>0</v>
      </c>
      <c r="U457" s="771" t="str">
        <f t="shared" si="64"/>
        <v>S</v>
      </c>
      <c r="V457" s="303"/>
      <c r="W457" s="304">
        <f>(Q457+R457)*'1.0-Contractblad'!$L$37</f>
        <v>0</v>
      </c>
      <c r="X457" s="304">
        <f ca="1">VLOOKUP(E457,'1.1a-Jaarprijzen'!$B$35:$Q$57,16,FALSE)*K457</f>
        <v>0</v>
      </c>
      <c r="Z457" s="773">
        <f t="shared" si="68"/>
        <v>800</v>
      </c>
      <c r="AA457" s="492" t="str">
        <f t="shared" si="69"/>
        <v>4200-200</v>
      </c>
    </row>
    <row r="458" spans="2:27" s="490" customFormat="1" ht="15">
      <c r="B458" s="330"/>
      <c r="C458" s="331"/>
      <c r="D458" s="295">
        <f>VLOOKUP(E458,'1.1a-Jaarprijzen'!$B$13:$G$32,6,FALSE)</f>
        <v>2</v>
      </c>
      <c r="E458" s="294" t="s">
        <v>883</v>
      </c>
      <c r="F458" s="295" t="s">
        <v>605</v>
      </c>
      <c r="G458" s="296" t="s">
        <v>650</v>
      </c>
      <c r="H458" s="294" t="s">
        <v>477</v>
      </c>
      <c r="I458" s="297" t="str">
        <f t="shared" si="61"/>
        <v>sanitaire ruimte (toilet-/doucheruimte)</v>
      </c>
      <c r="J458" s="295" t="s">
        <v>700</v>
      </c>
      <c r="K458" s="298">
        <v>6</v>
      </c>
      <c r="L458" s="298"/>
      <c r="M458" s="299">
        <v>4200</v>
      </c>
      <c r="N458" s="300">
        <f t="shared" si="65"/>
        <v>200</v>
      </c>
      <c r="O458" s="484">
        <v>1</v>
      </c>
      <c r="P458" s="484">
        <v>1</v>
      </c>
      <c r="Q458" s="292">
        <f t="shared" si="66"/>
        <v>0</v>
      </c>
      <c r="R458" s="292">
        <f t="shared" si="67"/>
        <v>0</v>
      </c>
      <c r="S458" s="301">
        <f t="shared" si="62"/>
        <v>0</v>
      </c>
      <c r="T458" s="301">
        <f t="shared" si="63"/>
        <v>0</v>
      </c>
      <c r="U458" s="771" t="str">
        <f t="shared" si="64"/>
        <v>S</v>
      </c>
      <c r="V458" s="303"/>
      <c r="W458" s="304">
        <f>(Q458+R458)*'1.0-Contractblad'!$L$37</f>
        <v>0</v>
      </c>
      <c r="X458" s="304">
        <f ca="1">VLOOKUP(E458,'1.1a-Jaarprijzen'!$B$35:$Q$57,16,FALSE)*K458</f>
        <v>0</v>
      </c>
      <c r="Z458" s="773">
        <f t="shared" si="68"/>
        <v>1200</v>
      </c>
      <c r="AA458" s="492" t="str">
        <f t="shared" si="69"/>
        <v>4200-200</v>
      </c>
    </row>
    <row r="459" spans="2:27" s="490" customFormat="1" ht="15">
      <c r="B459" s="330"/>
      <c r="C459" s="331"/>
      <c r="D459" s="295">
        <f>VLOOKUP(E459,'1.1a-Jaarprijzen'!$B$13:$G$32,6,FALSE)</f>
        <v>2</v>
      </c>
      <c r="E459" s="294" t="s">
        <v>883</v>
      </c>
      <c r="F459" s="295" t="s">
        <v>605</v>
      </c>
      <c r="G459" s="296" t="s">
        <v>651</v>
      </c>
      <c r="H459" s="294" t="s">
        <v>477</v>
      </c>
      <c r="I459" s="297" t="str">
        <f t="shared" si="61"/>
        <v>sanitaire ruimte (toilet-/doucheruimte)</v>
      </c>
      <c r="J459" s="295" t="s">
        <v>700</v>
      </c>
      <c r="K459" s="298">
        <v>5</v>
      </c>
      <c r="L459" s="298"/>
      <c r="M459" s="299">
        <v>4200</v>
      </c>
      <c r="N459" s="300">
        <f t="shared" si="65"/>
        <v>200</v>
      </c>
      <c r="O459" s="484">
        <v>1</v>
      </c>
      <c r="P459" s="484">
        <v>1</v>
      </c>
      <c r="Q459" s="292">
        <f t="shared" si="66"/>
        <v>0</v>
      </c>
      <c r="R459" s="292">
        <f t="shared" si="67"/>
        <v>0</v>
      </c>
      <c r="S459" s="301">
        <f t="shared" si="62"/>
        <v>0</v>
      </c>
      <c r="T459" s="301">
        <f t="shared" si="63"/>
        <v>0</v>
      </c>
      <c r="U459" s="771" t="str">
        <f t="shared" si="64"/>
        <v>S</v>
      </c>
      <c r="V459" s="303"/>
      <c r="W459" s="304">
        <f>(Q459+R459)*'1.0-Contractblad'!$L$37</f>
        <v>0</v>
      </c>
      <c r="X459" s="304">
        <f ca="1">VLOOKUP(E459,'1.1a-Jaarprijzen'!$B$35:$Q$57,16,FALSE)*K459</f>
        <v>0</v>
      </c>
      <c r="Z459" s="773">
        <f t="shared" si="68"/>
        <v>1000</v>
      </c>
      <c r="AA459" s="492" t="str">
        <f t="shared" si="69"/>
        <v>4200-200</v>
      </c>
    </row>
    <row r="460" spans="2:27" s="490" customFormat="1" ht="15">
      <c r="B460" s="330"/>
      <c r="C460" s="331"/>
      <c r="D460" s="295">
        <f>VLOOKUP(E460,'1.1a-Jaarprijzen'!$B$13:$G$32,6,FALSE)</f>
        <v>2</v>
      </c>
      <c r="E460" s="294" t="s">
        <v>883</v>
      </c>
      <c r="F460" s="295" t="s">
        <v>605</v>
      </c>
      <c r="G460" s="296" t="s">
        <v>652</v>
      </c>
      <c r="H460" s="294" t="s">
        <v>477</v>
      </c>
      <c r="I460" s="297" t="str">
        <f t="shared" si="61"/>
        <v>sanitaire ruimte (toilet-/doucheruimte)</v>
      </c>
      <c r="J460" s="298" t="s">
        <v>700</v>
      </c>
      <c r="K460" s="298">
        <v>1</v>
      </c>
      <c r="L460" s="298"/>
      <c r="M460" s="299">
        <v>4200</v>
      </c>
      <c r="N460" s="300">
        <f t="shared" si="65"/>
        <v>200</v>
      </c>
      <c r="O460" s="484">
        <v>1</v>
      </c>
      <c r="P460" s="484">
        <v>1</v>
      </c>
      <c r="Q460" s="292">
        <f t="shared" si="66"/>
        <v>0</v>
      </c>
      <c r="R460" s="292">
        <f t="shared" si="67"/>
        <v>0</v>
      </c>
      <c r="S460" s="301">
        <f t="shared" si="62"/>
        <v>0</v>
      </c>
      <c r="T460" s="301">
        <f t="shared" si="63"/>
        <v>0</v>
      </c>
      <c r="U460" s="771" t="str">
        <f t="shared" si="64"/>
        <v>S</v>
      </c>
      <c r="V460" s="303"/>
      <c r="W460" s="304">
        <f>(Q460+R460)*'1.0-Contractblad'!$L$37</f>
        <v>0</v>
      </c>
      <c r="X460" s="304">
        <f ca="1">VLOOKUP(E460,'1.1a-Jaarprijzen'!$B$35:$Q$57,16,FALSE)*K460</f>
        <v>0</v>
      </c>
      <c r="Z460" s="773">
        <f t="shared" si="68"/>
        <v>200</v>
      </c>
      <c r="AA460" s="492" t="str">
        <f t="shared" si="69"/>
        <v>4200-200</v>
      </c>
    </row>
    <row r="461" spans="2:27" s="490" customFormat="1" ht="15">
      <c r="B461" s="330"/>
      <c r="C461" s="331"/>
      <c r="D461" s="295">
        <f>VLOOKUP(E461,'1.1a-Jaarprijzen'!$B$13:$G$32,6,FALSE)</f>
        <v>2</v>
      </c>
      <c r="E461" s="294" t="s">
        <v>883</v>
      </c>
      <c r="F461" s="295" t="s">
        <v>605</v>
      </c>
      <c r="G461" s="296" t="s">
        <v>665</v>
      </c>
      <c r="H461" s="294" t="s">
        <v>477</v>
      </c>
      <c r="I461" s="297" t="str">
        <f t="shared" si="61"/>
        <v>sanitaire ruimte (toilet-/doucheruimte)</v>
      </c>
      <c r="J461" s="298" t="s">
        <v>700</v>
      </c>
      <c r="K461" s="298">
        <v>5</v>
      </c>
      <c r="L461" s="298"/>
      <c r="M461" s="299">
        <v>4200</v>
      </c>
      <c r="N461" s="300">
        <f t="shared" si="65"/>
        <v>200</v>
      </c>
      <c r="O461" s="484">
        <v>1</v>
      </c>
      <c r="P461" s="484">
        <v>1</v>
      </c>
      <c r="Q461" s="292">
        <f t="shared" si="66"/>
        <v>0</v>
      </c>
      <c r="R461" s="292">
        <f t="shared" si="67"/>
        <v>0</v>
      </c>
      <c r="S461" s="301">
        <f t="shared" si="62"/>
        <v>0</v>
      </c>
      <c r="T461" s="301">
        <f t="shared" si="63"/>
        <v>0</v>
      </c>
      <c r="U461" s="771" t="str">
        <f t="shared" si="64"/>
        <v>S</v>
      </c>
      <c r="V461" s="303"/>
      <c r="W461" s="304">
        <f>(Q461+R461)*'1.0-Contractblad'!$L$37</f>
        <v>0</v>
      </c>
      <c r="X461" s="304">
        <f ca="1">VLOOKUP(E461,'1.1a-Jaarprijzen'!$B$35:$Q$57,16,FALSE)*K461</f>
        <v>0</v>
      </c>
      <c r="Z461" s="773">
        <f t="shared" si="68"/>
        <v>1000</v>
      </c>
      <c r="AA461" s="492" t="str">
        <f t="shared" si="69"/>
        <v>4200-200</v>
      </c>
    </row>
    <row r="462" spans="2:27" s="490" customFormat="1" ht="15">
      <c r="B462" s="330"/>
      <c r="C462" s="331"/>
      <c r="D462" s="295">
        <f>VLOOKUP(E462,'1.1a-Jaarprijzen'!$B$13:$G$32,6,FALSE)</f>
        <v>2</v>
      </c>
      <c r="E462" s="294" t="s">
        <v>883</v>
      </c>
      <c r="F462" s="295" t="s">
        <v>605</v>
      </c>
      <c r="G462" s="296" t="s">
        <v>666</v>
      </c>
      <c r="H462" s="294" t="s">
        <v>477</v>
      </c>
      <c r="I462" s="297" t="str">
        <f t="shared" si="61"/>
        <v>sanitaire ruimte (toilet-/doucheruimte)</v>
      </c>
      <c r="J462" s="298" t="s">
        <v>700</v>
      </c>
      <c r="K462" s="298">
        <v>5</v>
      </c>
      <c r="L462" s="298"/>
      <c r="M462" s="299">
        <v>4200</v>
      </c>
      <c r="N462" s="300">
        <f t="shared" si="65"/>
        <v>200</v>
      </c>
      <c r="O462" s="484">
        <v>1</v>
      </c>
      <c r="P462" s="484">
        <v>1</v>
      </c>
      <c r="Q462" s="292">
        <f t="shared" si="66"/>
        <v>0</v>
      </c>
      <c r="R462" s="292">
        <f t="shared" si="67"/>
        <v>0</v>
      </c>
      <c r="S462" s="301">
        <f t="shared" si="62"/>
        <v>0</v>
      </c>
      <c r="T462" s="301">
        <f t="shared" si="63"/>
        <v>0</v>
      </c>
      <c r="U462" s="771" t="str">
        <f t="shared" si="64"/>
        <v>S</v>
      </c>
      <c r="V462" s="303"/>
      <c r="W462" s="304">
        <f>(Q462+R462)*'1.0-Contractblad'!$L$37</f>
        <v>0</v>
      </c>
      <c r="X462" s="304">
        <f ca="1">VLOOKUP(E462,'1.1a-Jaarprijzen'!$B$35:$Q$57,16,FALSE)*K462</f>
        <v>0</v>
      </c>
      <c r="Z462" s="773">
        <f t="shared" si="68"/>
        <v>1000</v>
      </c>
      <c r="AA462" s="492" t="str">
        <f t="shared" si="69"/>
        <v>4200-200</v>
      </c>
    </row>
    <row r="463" spans="2:27" s="490" customFormat="1" ht="15">
      <c r="B463" s="330"/>
      <c r="C463" s="331"/>
      <c r="D463" s="295">
        <f>VLOOKUP(E463,'1.1a-Jaarprijzen'!$B$13:$G$32,6,FALSE)</f>
        <v>2</v>
      </c>
      <c r="E463" s="294" t="s">
        <v>883</v>
      </c>
      <c r="F463" s="295" t="s">
        <v>605</v>
      </c>
      <c r="G463" s="296" t="s">
        <v>667</v>
      </c>
      <c r="H463" s="294" t="s">
        <v>477</v>
      </c>
      <c r="I463" s="297" t="str">
        <f t="shared" si="61"/>
        <v>sanitaire ruimte (toilet-/doucheruimte)</v>
      </c>
      <c r="J463" s="295" t="s">
        <v>700</v>
      </c>
      <c r="K463" s="298">
        <v>8</v>
      </c>
      <c r="L463" s="298"/>
      <c r="M463" s="299">
        <v>4200</v>
      </c>
      <c r="N463" s="300">
        <f t="shared" si="65"/>
        <v>200</v>
      </c>
      <c r="O463" s="484">
        <v>1</v>
      </c>
      <c r="P463" s="484">
        <v>1</v>
      </c>
      <c r="Q463" s="292">
        <f t="shared" si="66"/>
        <v>0</v>
      </c>
      <c r="R463" s="292">
        <f t="shared" si="67"/>
        <v>0</v>
      </c>
      <c r="S463" s="301">
        <f t="shared" si="62"/>
        <v>0</v>
      </c>
      <c r="T463" s="301">
        <f t="shared" si="63"/>
        <v>0</v>
      </c>
      <c r="U463" s="771" t="str">
        <f t="shared" si="64"/>
        <v>S</v>
      </c>
      <c r="V463" s="303"/>
      <c r="W463" s="304">
        <f>(Q463+R463)*'1.0-Contractblad'!$L$37</f>
        <v>0</v>
      </c>
      <c r="X463" s="304">
        <f ca="1">VLOOKUP(E463,'1.1a-Jaarprijzen'!$B$35:$Q$57,16,FALSE)*K463</f>
        <v>0</v>
      </c>
      <c r="Z463" s="773">
        <f t="shared" si="68"/>
        <v>1600</v>
      </c>
      <c r="AA463" s="492" t="str">
        <f t="shared" si="69"/>
        <v>4200-200</v>
      </c>
    </row>
    <row r="464" spans="2:27" s="490" customFormat="1" ht="15">
      <c r="B464" s="330"/>
      <c r="C464" s="331"/>
      <c r="D464" s="295">
        <f>VLOOKUP(E464,'1.1a-Jaarprijzen'!$B$13:$G$32,6,FALSE)</f>
        <v>2</v>
      </c>
      <c r="E464" s="294" t="s">
        <v>883</v>
      </c>
      <c r="F464" s="295" t="s">
        <v>605</v>
      </c>
      <c r="G464" s="296" t="s">
        <v>885</v>
      </c>
      <c r="H464" s="294" t="s">
        <v>1056</v>
      </c>
      <c r="I464" s="297" t="str">
        <f t="shared" si="61"/>
        <v>leslokaal/leerplein groep 4 t/m 8</v>
      </c>
      <c r="J464" s="295" t="s">
        <v>699</v>
      </c>
      <c r="K464" s="298">
        <v>7</v>
      </c>
      <c r="L464" s="298"/>
      <c r="M464" s="299">
        <v>18200</v>
      </c>
      <c r="N464" s="300">
        <f t="shared" si="65"/>
        <v>200</v>
      </c>
      <c r="O464" s="484">
        <v>1</v>
      </c>
      <c r="P464" s="484">
        <v>1</v>
      </c>
      <c r="Q464" s="292">
        <f t="shared" si="66"/>
        <v>0</v>
      </c>
      <c r="R464" s="292">
        <f t="shared" si="67"/>
        <v>0</v>
      </c>
      <c r="S464" s="301">
        <f t="shared" si="62"/>
        <v>0</v>
      </c>
      <c r="T464" s="301">
        <f t="shared" si="63"/>
        <v>0</v>
      </c>
      <c r="U464" s="771" t="str">
        <f t="shared" si="64"/>
        <v>L</v>
      </c>
      <c r="V464" s="303"/>
      <c r="W464" s="304">
        <f>(Q464+R464)*'1.0-Contractblad'!$L$37</f>
        <v>0</v>
      </c>
      <c r="X464" s="304">
        <f ca="1">VLOOKUP(E464,'1.1a-Jaarprijzen'!$B$35:$Q$57,16,FALSE)*K464</f>
        <v>0</v>
      </c>
      <c r="Z464" s="773">
        <f t="shared" si="68"/>
        <v>1400</v>
      </c>
      <c r="AA464" s="492" t="str">
        <f t="shared" si="69"/>
        <v>18200-200</v>
      </c>
    </row>
    <row r="465" spans="2:27" s="490" customFormat="1" ht="15">
      <c r="B465" s="330"/>
      <c r="C465" s="331"/>
      <c r="D465" s="295">
        <f>VLOOKUP(E465,'1.1a-Jaarprijzen'!$B$13:$G$32,6,FALSE)</f>
        <v>2</v>
      </c>
      <c r="E465" s="294" t="s">
        <v>883</v>
      </c>
      <c r="F465" s="295" t="s">
        <v>605</v>
      </c>
      <c r="G465" s="296" t="s">
        <v>886</v>
      </c>
      <c r="H465" s="294" t="s">
        <v>1056</v>
      </c>
      <c r="I465" s="297" t="str">
        <f t="shared" si="61"/>
        <v>leslokaal/leerplein groep 4 t/m 8</v>
      </c>
      <c r="J465" s="295" t="s">
        <v>699</v>
      </c>
      <c r="K465" s="298">
        <v>8</v>
      </c>
      <c r="L465" s="298"/>
      <c r="M465" s="299">
        <v>18200</v>
      </c>
      <c r="N465" s="300">
        <f t="shared" si="65"/>
        <v>200</v>
      </c>
      <c r="O465" s="484">
        <v>1</v>
      </c>
      <c r="P465" s="484">
        <v>1</v>
      </c>
      <c r="Q465" s="292">
        <f t="shared" si="66"/>
        <v>0</v>
      </c>
      <c r="R465" s="292">
        <f t="shared" si="67"/>
        <v>0</v>
      </c>
      <c r="S465" s="301">
        <f t="shared" si="62"/>
        <v>0</v>
      </c>
      <c r="T465" s="301">
        <f t="shared" si="63"/>
        <v>0</v>
      </c>
      <c r="U465" s="771" t="str">
        <f t="shared" si="64"/>
        <v>L</v>
      </c>
      <c r="V465" s="303"/>
      <c r="W465" s="304">
        <f>(Q465+R465)*'1.0-Contractblad'!$L$37</f>
        <v>0</v>
      </c>
      <c r="X465" s="304">
        <f ca="1">VLOOKUP(E465,'1.1a-Jaarprijzen'!$B$35:$Q$57,16,FALSE)*K465</f>
        <v>0</v>
      </c>
      <c r="Z465" s="773">
        <f t="shared" si="68"/>
        <v>1600</v>
      </c>
      <c r="AA465" s="492" t="str">
        <f t="shared" si="69"/>
        <v>18200-200</v>
      </c>
    </row>
    <row r="466" spans="2:27" s="490" customFormat="1" ht="15">
      <c r="B466" s="330"/>
      <c r="C466" s="331"/>
      <c r="D466" s="295">
        <f>VLOOKUP(E466,'1.1a-Jaarprijzen'!$B$13:$G$32,6,FALSE)</f>
        <v>2</v>
      </c>
      <c r="E466" s="294" t="s">
        <v>883</v>
      </c>
      <c r="F466" s="295" t="s">
        <v>605</v>
      </c>
      <c r="G466" s="296" t="s">
        <v>887</v>
      </c>
      <c r="H466" s="294" t="s">
        <v>1056</v>
      </c>
      <c r="I466" s="297" t="str">
        <f t="shared" si="61"/>
        <v>leslokaal/leerplein groep 4 t/m 8</v>
      </c>
      <c r="J466" s="295" t="s">
        <v>699</v>
      </c>
      <c r="K466" s="298">
        <v>8</v>
      </c>
      <c r="L466" s="298"/>
      <c r="M466" s="299">
        <v>18200</v>
      </c>
      <c r="N466" s="300">
        <f t="shared" si="65"/>
        <v>200</v>
      </c>
      <c r="O466" s="484">
        <v>1</v>
      </c>
      <c r="P466" s="484">
        <v>1</v>
      </c>
      <c r="Q466" s="292">
        <f t="shared" si="66"/>
        <v>0</v>
      </c>
      <c r="R466" s="292">
        <f t="shared" si="67"/>
        <v>0</v>
      </c>
      <c r="S466" s="301">
        <f t="shared" si="62"/>
        <v>0</v>
      </c>
      <c r="T466" s="301">
        <f t="shared" si="63"/>
        <v>0</v>
      </c>
      <c r="U466" s="771" t="str">
        <f t="shared" si="64"/>
        <v>L</v>
      </c>
      <c r="V466" s="303"/>
      <c r="W466" s="304">
        <f>(Q466+R466)*'1.0-Contractblad'!$L$37</f>
        <v>0</v>
      </c>
      <c r="X466" s="304">
        <f ca="1">VLOOKUP(E466,'1.1a-Jaarprijzen'!$B$35:$Q$57,16,FALSE)*K466</f>
        <v>0</v>
      </c>
      <c r="Z466" s="773">
        <f t="shared" si="68"/>
        <v>1600</v>
      </c>
      <c r="AA466" s="492" t="str">
        <f t="shared" si="69"/>
        <v>18200-200</v>
      </c>
    </row>
    <row r="467" spans="2:27" s="490" customFormat="1" ht="15">
      <c r="B467" s="330"/>
      <c r="C467" s="331"/>
      <c r="D467" s="295">
        <f>VLOOKUP(E467,'1.1a-Jaarprijzen'!$B$13:$G$32,6,FALSE)</f>
        <v>2</v>
      </c>
      <c r="E467" s="294" t="s">
        <v>883</v>
      </c>
      <c r="F467" s="295" t="s">
        <v>605</v>
      </c>
      <c r="G467" s="296" t="s">
        <v>888</v>
      </c>
      <c r="H467" s="294" t="s">
        <v>796</v>
      </c>
      <c r="I467" s="297" t="str">
        <f t="shared" si="61"/>
        <v>aula, gemeenschappelijke ruimte, bibliotheek</v>
      </c>
      <c r="J467" s="295" t="s">
        <v>696</v>
      </c>
      <c r="K467" s="298">
        <v>22</v>
      </c>
      <c r="L467" s="298"/>
      <c r="M467" s="299">
        <v>2200</v>
      </c>
      <c r="N467" s="300">
        <f t="shared" si="65"/>
        <v>200</v>
      </c>
      <c r="O467" s="484">
        <v>1</v>
      </c>
      <c r="P467" s="484">
        <v>1</v>
      </c>
      <c r="Q467" s="292">
        <f t="shared" si="66"/>
        <v>0</v>
      </c>
      <c r="R467" s="292">
        <f t="shared" si="67"/>
        <v>0</v>
      </c>
      <c r="S467" s="301">
        <f t="shared" si="62"/>
        <v>0</v>
      </c>
      <c r="T467" s="301">
        <f t="shared" si="63"/>
        <v>0</v>
      </c>
      <c r="U467" s="771" t="str">
        <f t="shared" si="64"/>
        <v>V</v>
      </c>
      <c r="V467" s="303"/>
      <c r="W467" s="304">
        <f>(Q467+R467)*'1.0-Contractblad'!$L$37</f>
        <v>0</v>
      </c>
      <c r="X467" s="304">
        <f ca="1">VLOOKUP(E467,'1.1a-Jaarprijzen'!$B$35:$Q$57,16,FALSE)*K467</f>
        <v>0</v>
      </c>
      <c r="Z467" s="773">
        <f t="shared" si="68"/>
        <v>4400</v>
      </c>
      <c r="AA467" s="492" t="str">
        <f t="shared" si="69"/>
        <v>2200-200</v>
      </c>
    </row>
    <row r="468" spans="2:27" s="490" customFormat="1" ht="15">
      <c r="B468" s="330"/>
      <c r="C468" s="331"/>
      <c r="D468" s="295">
        <f>VLOOKUP(E468,'1.1a-Jaarprijzen'!$B$13:$G$32,6,FALSE)</f>
        <v>2</v>
      </c>
      <c r="E468" s="294" t="s">
        <v>883</v>
      </c>
      <c r="F468" s="295" t="s">
        <v>605</v>
      </c>
      <c r="G468" s="296" t="s">
        <v>659</v>
      </c>
      <c r="H468" s="294" t="s">
        <v>1057</v>
      </c>
      <c r="I468" s="297" t="str">
        <f t="shared" si="61"/>
        <v>niet van toepassing</v>
      </c>
      <c r="J468" s="295" t="s">
        <v>700</v>
      </c>
      <c r="K468" s="298"/>
      <c r="L468" s="298">
        <v>5</v>
      </c>
      <c r="M468" s="299" t="s">
        <v>17</v>
      </c>
      <c r="N468" s="300">
        <f t="shared" si="65"/>
        <v>0</v>
      </c>
      <c r="O468" s="484">
        <v>1</v>
      </c>
      <c r="P468" s="484">
        <v>1</v>
      </c>
      <c r="Q468" s="292">
        <f t="shared" si="66"/>
        <v>0</v>
      </c>
      <c r="R468" s="292">
        <f t="shared" si="67"/>
        <v>0</v>
      </c>
      <c r="S468" s="301">
        <f t="shared" si="62"/>
        <v>0</v>
      </c>
      <c r="T468" s="301">
        <f t="shared" si="63"/>
        <v>0</v>
      </c>
      <c r="U468" s="771">
        <f t="shared" si="64"/>
        <v>0</v>
      </c>
      <c r="V468" s="303"/>
      <c r="W468" s="304">
        <f>(Q468+R468)*'1.0-Contractblad'!$L$37</f>
        <v>0</v>
      </c>
      <c r="X468" s="304">
        <f ca="1">VLOOKUP(E468,'1.1a-Jaarprijzen'!$B$35:$Q$57,16,FALSE)*K468</f>
        <v>0</v>
      </c>
      <c r="Z468" s="773">
        <f t="shared" si="68"/>
        <v>0</v>
      </c>
      <c r="AA468" s="492" t="str">
        <f t="shared" si="69"/>
        <v>nvt-0</v>
      </c>
    </row>
    <row r="469" spans="2:27" s="490" customFormat="1" ht="15">
      <c r="B469" s="330"/>
      <c r="C469" s="331"/>
      <c r="D469" s="295">
        <f>VLOOKUP(E469,'1.1a-Jaarprijzen'!$B$13:$G$32,6,FALSE)</f>
        <v>2</v>
      </c>
      <c r="E469" s="294" t="s">
        <v>883</v>
      </c>
      <c r="F469" s="295" t="s">
        <v>605</v>
      </c>
      <c r="G469" s="296" t="s">
        <v>660</v>
      </c>
      <c r="H469" s="294" t="s">
        <v>1057</v>
      </c>
      <c r="I469" s="297" t="str">
        <f t="shared" si="61"/>
        <v>niet van toepassing</v>
      </c>
      <c r="J469" s="295" t="s">
        <v>17</v>
      </c>
      <c r="K469" s="298"/>
      <c r="L469" s="298">
        <v>10</v>
      </c>
      <c r="M469" s="299" t="s">
        <v>17</v>
      </c>
      <c r="N469" s="300">
        <f t="shared" si="65"/>
        <v>0</v>
      </c>
      <c r="O469" s="484">
        <v>1</v>
      </c>
      <c r="P469" s="484">
        <v>1</v>
      </c>
      <c r="Q469" s="292">
        <f t="shared" si="66"/>
        <v>0</v>
      </c>
      <c r="R469" s="292">
        <f t="shared" si="67"/>
        <v>0</v>
      </c>
      <c r="S469" s="301">
        <f t="shared" si="62"/>
        <v>0</v>
      </c>
      <c r="T469" s="301">
        <f t="shared" si="63"/>
        <v>0</v>
      </c>
      <c r="U469" s="771">
        <f t="shared" si="64"/>
        <v>0</v>
      </c>
      <c r="V469" s="303"/>
      <c r="W469" s="304">
        <f>(Q469+R469)*'1.0-Contractblad'!$L$37</f>
        <v>0</v>
      </c>
      <c r="X469" s="304">
        <f ca="1">VLOOKUP(E469,'1.1a-Jaarprijzen'!$B$35:$Q$57,16,FALSE)*K469</f>
        <v>0</v>
      </c>
      <c r="Z469" s="773">
        <f t="shared" si="68"/>
        <v>0</v>
      </c>
      <c r="AA469" s="492" t="str">
        <f t="shared" si="69"/>
        <v>nvt-0</v>
      </c>
    </row>
    <row r="470" spans="2:27" s="490" customFormat="1" ht="15">
      <c r="B470" s="330"/>
      <c r="C470" s="331"/>
      <c r="D470" s="295">
        <f>VLOOKUP(E470,'1.1a-Jaarprijzen'!$B$13:$G$32,6,FALSE)</f>
        <v>2</v>
      </c>
      <c r="E470" s="294" t="s">
        <v>889</v>
      </c>
      <c r="F470" s="295" t="s">
        <v>605</v>
      </c>
      <c r="G470" s="296" t="s">
        <v>489</v>
      </c>
      <c r="H470" s="294" t="s">
        <v>403</v>
      </c>
      <c r="I470" s="297" t="str">
        <f t="shared" si="61"/>
        <v>leslokaal groep 1 t/m 3</v>
      </c>
      <c r="J470" s="295" t="s">
        <v>699</v>
      </c>
      <c r="K470" s="298">
        <v>56.923983346719332</v>
      </c>
      <c r="L470" s="298"/>
      <c r="M470" s="299">
        <v>7200</v>
      </c>
      <c r="N470" s="300">
        <f t="shared" si="65"/>
        <v>200</v>
      </c>
      <c r="O470" s="484">
        <v>1</v>
      </c>
      <c r="P470" s="484">
        <v>1</v>
      </c>
      <c r="Q470" s="292">
        <f t="shared" si="66"/>
        <v>0</v>
      </c>
      <c r="R470" s="292">
        <f t="shared" si="67"/>
        <v>0</v>
      </c>
      <c r="S470" s="301">
        <f t="shared" si="62"/>
        <v>0</v>
      </c>
      <c r="T470" s="301">
        <f t="shared" si="63"/>
        <v>0</v>
      </c>
      <c r="U470" s="771" t="str">
        <f t="shared" si="64"/>
        <v>L</v>
      </c>
      <c r="V470" s="303"/>
      <c r="W470" s="304">
        <f>(Q470+R470)*'1.0-Contractblad'!$L$37</f>
        <v>0</v>
      </c>
      <c r="X470" s="304">
        <f ca="1">VLOOKUP(E470,'1.1a-Jaarprijzen'!$B$35:$Q$57,16,FALSE)*K470</f>
        <v>0</v>
      </c>
      <c r="Z470" s="773">
        <f t="shared" si="68"/>
        <v>11384.796669343867</v>
      </c>
      <c r="AA470" s="492" t="str">
        <f t="shared" si="69"/>
        <v>7200-200</v>
      </c>
    </row>
    <row r="471" spans="2:27" s="490" customFormat="1" ht="15">
      <c r="B471" s="330"/>
      <c r="C471" s="331"/>
      <c r="D471" s="295">
        <f>VLOOKUP(E471,'1.1a-Jaarprijzen'!$B$13:$G$32,6,FALSE)</f>
        <v>2</v>
      </c>
      <c r="E471" s="294" t="s">
        <v>889</v>
      </c>
      <c r="F471" s="295" t="s">
        <v>605</v>
      </c>
      <c r="G471" s="296" t="s">
        <v>490</v>
      </c>
      <c r="H471" s="294" t="s">
        <v>403</v>
      </c>
      <c r="I471" s="297" t="str">
        <f t="shared" si="61"/>
        <v>leslokaal groep 1 t/m 3</v>
      </c>
      <c r="J471" s="295" t="s">
        <v>699</v>
      </c>
      <c r="K471" s="298">
        <v>56.923983346719332</v>
      </c>
      <c r="L471" s="298"/>
      <c r="M471" s="299">
        <v>7200</v>
      </c>
      <c r="N471" s="300">
        <f t="shared" si="65"/>
        <v>200</v>
      </c>
      <c r="O471" s="484">
        <v>1</v>
      </c>
      <c r="P471" s="484">
        <v>1</v>
      </c>
      <c r="Q471" s="292">
        <f t="shared" si="66"/>
        <v>0</v>
      </c>
      <c r="R471" s="292">
        <f t="shared" si="67"/>
        <v>0</v>
      </c>
      <c r="S471" s="301">
        <f t="shared" si="62"/>
        <v>0</v>
      </c>
      <c r="T471" s="301">
        <f t="shared" si="63"/>
        <v>0</v>
      </c>
      <c r="U471" s="771" t="str">
        <f t="shared" si="64"/>
        <v>L</v>
      </c>
      <c r="V471" s="303"/>
      <c r="W471" s="304">
        <f>(Q471+R471)*'1.0-Contractblad'!$L$37</f>
        <v>0</v>
      </c>
      <c r="X471" s="304">
        <f ca="1">VLOOKUP(E471,'1.1a-Jaarprijzen'!$B$35:$Q$57,16,FALSE)*K471</f>
        <v>0</v>
      </c>
      <c r="Z471" s="773">
        <f t="shared" si="68"/>
        <v>11384.796669343867</v>
      </c>
      <c r="AA471" s="492" t="str">
        <f t="shared" si="69"/>
        <v>7200-200</v>
      </c>
    </row>
    <row r="472" spans="2:27" s="490" customFormat="1" ht="15">
      <c r="B472" s="330"/>
      <c r="C472" s="331"/>
      <c r="D472" s="295">
        <f>VLOOKUP(E472,'1.1a-Jaarprijzen'!$B$13:$G$32,6,FALSE)</f>
        <v>2</v>
      </c>
      <c r="E472" s="294" t="s">
        <v>889</v>
      </c>
      <c r="F472" s="295" t="s">
        <v>605</v>
      </c>
      <c r="G472" s="296" t="s">
        <v>491</v>
      </c>
      <c r="H472" s="294" t="s">
        <v>403</v>
      </c>
      <c r="I472" s="297" t="str">
        <f t="shared" si="61"/>
        <v>leslokaal groep 1 t/m 3</v>
      </c>
      <c r="J472" s="295" t="s">
        <v>699</v>
      </c>
      <c r="K472" s="298">
        <v>66.913727810650883</v>
      </c>
      <c r="L472" s="298"/>
      <c r="M472" s="299">
        <v>7200</v>
      </c>
      <c r="N472" s="300">
        <f t="shared" si="65"/>
        <v>200</v>
      </c>
      <c r="O472" s="484">
        <v>1</v>
      </c>
      <c r="P472" s="484">
        <v>1</v>
      </c>
      <c r="Q472" s="292">
        <f t="shared" si="66"/>
        <v>0</v>
      </c>
      <c r="R472" s="292">
        <f t="shared" si="67"/>
        <v>0</v>
      </c>
      <c r="S472" s="301">
        <f t="shared" si="62"/>
        <v>0</v>
      </c>
      <c r="T472" s="301">
        <f t="shared" si="63"/>
        <v>0</v>
      </c>
      <c r="U472" s="771" t="str">
        <f t="shared" si="64"/>
        <v>L</v>
      </c>
      <c r="V472" s="303"/>
      <c r="W472" s="304">
        <f>(Q472+R472)*'1.0-Contractblad'!$L$37</f>
        <v>0</v>
      </c>
      <c r="X472" s="304">
        <f ca="1">VLOOKUP(E472,'1.1a-Jaarprijzen'!$B$35:$Q$57,16,FALSE)*K472</f>
        <v>0</v>
      </c>
      <c r="Z472" s="773">
        <f t="shared" si="68"/>
        <v>13382.745562130176</v>
      </c>
      <c r="AA472" s="492" t="str">
        <f t="shared" si="69"/>
        <v>7200-200</v>
      </c>
    </row>
    <row r="473" spans="2:27" s="490" customFormat="1" ht="15">
      <c r="B473" s="330"/>
      <c r="C473" s="331"/>
      <c r="D473" s="295">
        <f>VLOOKUP(E473,'1.1a-Jaarprijzen'!$B$13:$G$32,6,FALSE)</f>
        <v>2</v>
      </c>
      <c r="E473" s="686" t="s">
        <v>889</v>
      </c>
      <c r="F473" s="295" t="s">
        <v>605</v>
      </c>
      <c r="G473" s="296" t="s">
        <v>492</v>
      </c>
      <c r="H473" s="294" t="s">
        <v>1058</v>
      </c>
      <c r="I473" s="297" t="str">
        <f t="shared" si="61"/>
        <v>speellokaal</v>
      </c>
      <c r="J473" s="295" t="s">
        <v>699</v>
      </c>
      <c r="K473" s="298">
        <v>63.704132177219741</v>
      </c>
      <c r="L473" s="298"/>
      <c r="M473" s="299">
        <v>8200</v>
      </c>
      <c r="N473" s="300">
        <f t="shared" si="65"/>
        <v>200</v>
      </c>
      <c r="O473" s="484">
        <v>1</v>
      </c>
      <c r="P473" s="484">
        <v>1</v>
      </c>
      <c r="Q473" s="292">
        <f t="shared" si="66"/>
        <v>0</v>
      </c>
      <c r="R473" s="292">
        <f t="shared" si="67"/>
        <v>0</v>
      </c>
      <c r="S473" s="301">
        <f t="shared" si="62"/>
        <v>0</v>
      </c>
      <c r="T473" s="301">
        <f t="shared" si="63"/>
        <v>0</v>
      </c>
      <c r="U473" s="771" t="str">
        <f t="shared" si="64"/>
        <v>L</v>
      </c>
      <c r="V473" s="303" t="s">
        <v>1071</v>
      </c>
      <c r="W473" s="304">
        <f>(Q473+R473)*'1.0-Contractblad'!$L$37</f>
        <v>0</v>
      </c>
      <c r="X473" s="304">
        <f ca="1">VLOOKUP(E473,'1.1a-Jaarprijzen'!$B$35:$Q$57,16,FALSE)*K473</f>
        <v>0</v>
      </c>
      <c r="Z473" s="773">
        <f t="shared" si="68"/>
        <v>12740.826435443949</v>
      </c>
      <c r="AA473" s="492" t="str">
        <f t="shared" si="69"/>
        <v>8200-200</v>
      </c>
    </row>
    <row r="474" spans="2:27" s="490" customFormat="1" ht="15">
      <c r="B474" s="330"/>
      <c r="C474" s="331"/>
      <c r="D474" s="295">
        <f>VLOOKUP(E474,'1.1a-Jaarprijzen'!$B$13:$G$32,6,FALSE)</f>
        <v>2</v>
      </c>
      <c r="E474" s="294" t="s">
        <v>889</v>
      </c>
      <c r="F474" s="295" t="s">
        <v>605</v>
      </c>
      <c r="G474" s="296" t="s">
        <v>493</v>
      </c>
      <c r="H474" s="294" t="s">
        <v>403</v>
      </c>
      <c r="I474" s="297" t="str">
        <f t="shared" si="61"/>
        <v>leslokaal/leerplein groep 4 t/m 8</v>
      </c>
      <c r="J474" s="295" t="s">
        <v>699</v>
      </c>
      <c r="K474" s="298">
        <v>53.646098444491791</v>
      </c>
      <c r="L474" s="298"/>
      <c r="M474" s="299">
        <v>18200</v>
      </c>
      <c r="N474" s="300">
        <f t="shared" si="65"/>
        <v>200</v>
      </c>
      <c r="O474" s="484">
        <v>1</v>
      </c>
      <c r="P474" s="484">
        <v>1</v>
      </c>
      <c r="Q474" s="292">
        <f t="shared" si="66"/>
        <v>0</v>
      </c>
      <c r="R474" s="292">
        <f t="shared" si="67"/>
        <v>0</v>
      </c>
      <c r="S474" s="301">
        <f t="shared" si="62"/>
        <v>0</v>
      </c>
      <c r="T474" s="301">
        <f t="shared" si="63"/>
        <v>0</v>
      </c>
      <c r="U474" s="771" t="str">
        <f t="shared" si="64"/>
        <v>L</v>
      </c>
      <c r="V474" s="303"/>
      <c r="W474" s="304">
        <f>(Q474+R474)*'1.0-Contractblad'!$L$37</f>
        <v>0</v>
      </c>
      <c r="X474" s="304">
        <f ca="1">VLOOKUP(E474,'1.1a-Jaarprijzen'!$B$35:$Q$57,16,FALSE)*K474</f>
        <v>0</v>
      </c>
      <c r="Z474" s="773">
        <f t="shared" si="68"/>
        <v>10729.219688898358</v>
      </c>
      <c r="AA474" s="492" t="str">
        <f t="shared" si="69"/>
        <v>18200-200</v>
      </c>
    </row>
    <row r="475" spans="2:27" s="490" customFormat="1" ht="15">
      <c r="B475" s="330"/>
      <c r="C475" s="331"/>
      <c r="D475" s="295">
        <f>VLOOKUP(E475,'1.1a-Jaarprijzen'!$B$13:$G$32,6,FALSE)</f>
        <v>2</v>
      </c>
      <c r="E475" s="294" t="s">
        <v>889</v>
      </c>
      <c r="F475" s="295" t="s">
        <v>605</v>
      </c>
      <c r="G475" s="296" t="s">
        <v>494</v>
      </c>
      <c r="H475" s="294" t="s">
        <v>403</v>
      </c>
      <c r="I475" s="297" t="str">
        <f t="shared" si="61"/>
        <v>leslokaal/leerplein groep 4 t/m 8</v>
      </c>
      <c r="J475" s="295" t="s">
        <v>699</v>
      </c>
      <c r="K475" s="298">
        <v>57.402008228294179</v>
      </c>
      <c r="L475" s="298"/>
      <c r="M475" s="299">
        <v>18200</v>
      </c>
      <c r="N475" s="300">
        <f t="shared" si="65"/>
        <v>200</v>
      </c>
      <c r="O475" s="484">
        <v>1</v>
      </c>
      <c r="P475" s="484">
        <v>1</v>
      </c>
      <c r="Q475" s="292">
        <f t="shared" si="66"/>
        <v>0</v>
      </c>
      <c r="R475" s="292">
        <f t="shared" si="67"/>
        <v>0</v>
      </c>
      <c r="S475" s="301">
        <f t="shared" si="62"/>
        <v>0</v>
      </c>
      <c r="T475" s="301">
        <f t="shared" si="63"/>
        <v>0</v>
      </c>
      <c r="U475" s="771" t="str">
        <f t="shared" si="64"/>
        <v>L</v>
      </c>
      <c r="V475" s="303"/>
      <c r="W475" s="304">
        <f>(Q475+R475)*'1.0-Contractblad'!$L$37</f>
        <v>0</v>
      </c>
      <c r="X475" s="304">
        <f ca="1">VLOOKUP(E475,'1.1a-Jaarprijzen'!$B$35:$Q$57,16,FALSE)*K475</f>
        <v>0</v>
      </c>
      <c r="Z475" s="773">
        <f t="shared" si="68"/>
        <v>11480.401645658836</v>
      </c>
      <c r="AA475" s="492" t="str">
        <f t="shared" si="69"/>
        <v>18200-200</v>
      </c>
    </row>
    <row r="476" spans="2:27" s="490" customFormat="1" ht="15">
      <c r="B476" s="330"/>
      <c r="C476" s="331"/>
      <c r="D476" s="295">
        <f>VLOOKUP(E476,'1.1a-Jaarprijzen'!$B$13:$G$32,6,FALSE)</f>
        <v>2</v>
      </c>
      <c r="E476" s="294" t="s">
        <v>889</v>
      </c>
      <c r="F476" s="295" t="s">
        <v>605</v>
      </c>
      <c r="G476" s="296" t="s">
        <v>495</v>
      </c>
      <c r="H476" s="294" t="s">
        <v>403</v>
      </c>
      <c r="I476" s="297" t="str">
        <f t="shared" si="61"/>
        <v>leslokaal/leerplein groep 4 t/m 8</v>
      </c>
      <c r="J476" s="295" t="s">
        <v>699</v>
      </c>
      <c r="K476" s="298">
        <v>57.597120424855341</v>
      </c>
      <c r="L476" s="298"/>
      <c r="M476" s="299">
        <v>18200</v>
      </c>
      <c r="N476" s="300">
        <f t="shared" si="65"/>
        <v>200</v>
      </c>
      <c r="O476" s="484">
        <v>1</v>
      </c>
      <c r="P476" s="484">
        <v>1</v>
      </c>
      <c r="Q476" s="292">
        <f t="shared" si="66"/>
        <v>0</v>
      </c>
      <c r="R476" s="292">
        <f t="shared" si="67"/>
        <v>0</v>
      </c>
      <c r="S476" s="301">
        <f t="shared" si="62"/>
        <v>0</v>
      </c>
      <c r="T476" s="301">
        <f t="shared" si="63"/>
        <v>0</v>
      </c>
      <c r="U476" s="771" t="str">
        <f t="shared" si="64"/>
        <v>L</v>
      </c>
      <c r="V476" s="303"/>
      <c r="W476" s="304">
        <f>(Q476+R476)*'1.0-Contractblad'!$L$37</f>
        <v>0</v>
      </c>
      <c r="X476" s="304">
        <f ca="1">VLOOKUP(E476,'1.1a-Jaarprijzen'!$B$35:$Q$57,16,FALSE)*K476</f>
        <v>0</v>
      </c>
      <c r="Z476" s="773">
        <f t="shared" si="68"/>
        <v>11519.424084971068</v>
      </c>
      <c r="AA476" s="492" t="str">
        <f t="shared" si="69"/>
        <v>18200-200</v>
      </c>
    </row>
    <row r="477" spans="2:27" s="490" customFormat="1" ht="15">
      <c r="B477" s="330"/>
      <c r="C477" s="331"/>
      <c r="D477" s="295">
        <f>VLOOKUP(E477,'1.1a-Jaarprijzen'!$B$13:$G$32,6,FALSE)</f>
        <v>2</v>
      </c>
      <c r="E477" s="294" t="s">
        <v>889</v>
      </c>
      <c r="F477" s="295" t="s">
        <v>605</v>
      </c>
      <c r="G477" s="296" t="s">
        <v>496</v>
      </c>
      <c r="H477" s="294" t="s">
        <v>403</v>
      </c>
      <c r="I477" s="297" t="str">
        <f t="shared" si="61"/>
        <v>leslokaal/leerplein groep 4 t/m 8</v>
      </c>
      <c r="J477" s="295" t="s">
        <v>699</v>
      </c>
      <c r="K477" s="298">
        <v>57.489808716746701</v>
      </c>
      <c r="L477" s="298"/>
      <c r="M477" s="299">
        <v>18200</v>
      </c>
      <c r="N477" s="300">
        <f t="shared" si="65"/>
        <v>200</v>
      </c>
      <c r="O477" s="484">
        <v>1</v>
      </c>
      <c r="P477" s="484">
        <v>1</v>
      </c>
      <c r="Q477" s="292">
        <f t="shared" si="66"/>
        <v>0</v>
      </c>
      <c r="R477" s="292">
        <f t="shared" si="67"/>
        <v>0</v>
      </c>
      <c r="S477" s="301">
        <f t="shared" si="62"/>
        <v>0</v>
      </c>
      <c r="T477" s="301">
        <f t="shared" si="63"/>
        <v>0</v>
      </c>
      <c r="U477" s="771" t="str">
        <f t="shared" si="64"/>
        <v>L</v>
      </c>
      <c r="V477" s="303"/>
      <c r="W477" s="304">
        <f>(Q477+R477)*'1.0-Contractblad'!$L$37</f>
        <v>0</v>
      </c>
      <c r="X477" s="304">
        <f ca="1">VLOOKUP(E477,'1.1a-Jaarprijzen'!$B$35:$Q$57,16,FALSE)*K477</f>
        <v>0</v>
      </c>
      <c r="Z477" s="773">
        <f t="shared" si="68"/>
        <v>11497.96174334934</v>
      </c>
      <c r="AA477" s="492" t="str">
        <f t="shared" si="69"/>
        <v>18200-200</v>
      </c>
    </row>
    <row r="478" spans="2:27" s="490" customFormat="1" ht="15">
      <c r="B478" s="330"/>
      <c r="C478" s="331"/>
      <c r="D478" s="295">
        <f>VLOOKUP(E478,'1.1a-Jaarprijzen'!$B$13:$G$32,6,FALSE)</f>
        <v>2</v>
      </c>
      <c r="E478" s="294" t="s">
        <v>889</v>
      </c>
      <c r="F478" s="295" t="s">
        <v>605</v>
      </c>
      <c r="G478" s="296" t="s">
        <v>510</v>
      </c>
      <c r="H478" s="294" t="s">
        <v>390</v>
      </c>
      <c r="I478" s="297" t="str">
        <f t="shared" si="61"/>
        <v>speellokaal</v>
      </c>
      <c r="J478" s="295" t="s">
        <v>462</v>
      </c>
      <c r="K478" s="298">
        <v>111.14566277106655</v>
      </c>
      <c r="L478" s="298"/>
      <c r="M478" s="299">
        <v>8200</v>
      </c>
      <c r="N478" s="300">
        <f t="shared" si="65"/>
        <v>200</v>
      </c>
      <c r="O478" s="484">
        <v>1</v>
      </c>
      <c r="P478" s="484">
        <v>1</v>
      </c>
      <c r="Q478" s="292">
        <f t="shared" si="66"/>
        <v>0</v>
      </c>
      <c r="R478" s="292">
        <f t="shared" si="67"/>
        <v>0</v>
      </c>
      <c r="S478" s="301">
        <f t="shared" si="62"/>
        <v>0</v>
      </c>
      <c r="T478" s="301">
        <f t="shared" si="63"/>
        <v>0</v>
      </c>
      <c r="U478" s="771" t="str">
        <f t="shared" si="64"/>
        <v>L</v>
      </c>
      <c r="V478" s="303"/>
      <c r="W478" s="304">
        <f>(Q478+R478)*'1.0-Contractblad'!$L$37</f>
        <v>0</v>
      </c>
      <c r="X478" s="304">
        <f ca="1">VLOOKUP(E478,'1.1a-Jaarprijzen'!$B$35:$Q$57,16,FALSE)*K478</f>
        <v>0</v>
      </c>
      <c r="Z478" s="773">
        <f t="shared" si="68"/>
        <v>22229.132554213313</v>
      </c>
      <c r="AA478" s="492" t="str">
        <f t="shared" si="69"/>
        <v>8200-200</v>
      </c>
    </row>
    <row r="479" spans="2:27" s="490" customFormat="1" ht="15">
      <c r="B479" s="330"/>
      <c r="C479" s="331"/>
      <c r="D479" s="295">
        <f>VLOOKUP(E479,'1.1a-Jaarprijzen'!$B$13:$G$32,6,FALSE)</f>
        <v>2</v>
      </c>
      <c r="E479" s="686" t="s">
        <v>889</v>
      </c>
      <c r="F479" s="295" t="s">
        <v>605</v>
      </c>
      <c r="G479" s="296" t="s">
        <v>890</v>
      </c>
      <c r="H479" s="294" t="s">
        <v>891</v>
      </c>
      <c r="I479" s="297" t="str">
        <f t="shared" si="61"/>
        <v>entree, gang, hal, repro</v>
      </c>
      <c r="J479" s="295" t="s">
        <v>699</v>
      </c>
      <c r="K479" s="298">
        <v>2.2774083751147498</v>
      </c>
      <c r="L479" s="298"/>
      <c r="M479" s="299">
        <v>3200</v>
      </c>
      <c r="N479" s="300">
        <f t="shared" si="65"/>
        <v>200</v>
      </c>
      <c r="O479" s="484">
        <v>1</v>
      </c>
      <c r="P479" s="484">
        <v>1</v>
      </c>
      <c r="Q479" s="292">
        <f t="shared" si="66"/>
        <v>0</v>
      </c>
      <c r="R479" s="292">
        <f t="shared" si="67"/>
        <v>0</v>
      </c>
      <c r="S479" s="301">
        <f t="shared" si="62"/>
        <v>0</v>
      </c>
      <c r="T479" s="301">
        <f t="shared" si="63"/>
        <v>0</v>
      </c>
      <c r="U479" s="771" t="str">
        <f t="shared" si="64"/>
        <v>V</v>
      </c>
      <c r="V479" s="303" t="s">
        <v>1071</v>
      </c>
      <c r="W479" s="304">
        <f>(Q479+R479)*'1.0-Contractblad'!$L$37</f>
        <v>0</v>
      </c>
      <c r="X479" s="304">
        <f ca="1">VLOOKUP(E479,'1.1a-Jaarprijzen'!$B$35:$Q$57,16,FALSE)*K479</f>
        <v>0</v>
      </c>
      <c r="Z479" s="773">
        <f t="shared" si="68"/>
        <v>455.48167502294996</v>
      </c>
      <c r="AA479" s="492" t="str">
        <f t="shared" si="69"/>
        <v>3200-200</v>
      </c>
    </row>
    <row r="480" spans="2:27" s="490" customFormat="1" ht="15">
      <c r="B480" s="330"/>
      <c r="C480" s="331"/>
      <c r="D480" s="295">
        <f>VLOOKUP(E480,'1.1a-Jaarprijzen'!$B$13:$G$32,6,FALSE)</f>
        <v>2</v>
      </c>
      <c r="E480" s="294" t="s">
        <v>889</v>
      </c>
      <c r="F480" s="295" t="s">
        <v>605</v>
      </c>
      <c r="G480" s="296" t="s">
        <v>526</v>
      </c>
      <c r="H480" s="294" t="s">
        <v>387</v>
      </c>
      <c r="I480" s="297" t="str">
        <f t="shared" si="61"/>
        <v>entree, gang, hal, repro</v>
      </c>
      <c r="J480" s="295" t="s">
        <v>699</v>
      </c>
      <c r="K480" s="298">
        <v>62.533458997852762</v>
      </c>
      <c r="L480" s="298"/>
      <c r="M480" s="299">
        <v>3200</v>
      </c>
      <c r="N480" s="300">
        <f t="shared" si="65"/>
        <v>200</v>
      </c>
      <c r="O480" s="484">
        <v>1</v>
      </c>
      <c r="P480" s="484">
        <v>1</v>
      </c>
      <c r="Q480" s="292">
        <f t="shared" si="66"/>
        <v>0</v>
      </c>
      <c r="R480" s="292">
        <f t="shared" si="67"/>
        <v>0</v>
      </c>
      <c r="S480" s="301">
        <f t="shared" si="62"/>
        <v>0</v>
      </c>
      <c r="T480" s="301">
        <f t="shared" si="63"/>
        <v>0</v>
      </c>
      <c r="U480" s="771" t="str">
        <f t="shared" si="64"/>
        <v>V</v>
      </c>
      <c r="V480" s="303"/>
      <c r="W480" s="304">
        <f>(Q480+R480)*'1.0-Contractblad'!$L$37</f>
        <v>0</v>
      </c>
      <c r="X480" s="304">
        <f ca="1">VLOOKUP(E480,'1.1a-Jaarprijzen'!$B$35:$Q$57,16,FALSE)*K480</f>
        <v>0</v>
      </c>
      <c r="Z480" s="773">
        <f t="shared" si="68"/>
        <v>12506.691799570552</v>
      </c>
      <c r="AA480" s="492" t="str">
        <f t="shared" si="69"/>
        <v>3200-200</v>
      </c>
    </row>
    <row r="481" spans="2:27" s="490" customFormat="1" ht="15">
      <c r="B481" s="330"/>
      <c r="C481" s="331"/>
      <c r="D481" s="295">
        <f>VLOOKUP(E481,'1.1a-Jaarprijzen'!$B$13:$G$32,6,FALSE)</f>
        <v>2</v>
      </c>
      <c r="E481" s="294" t="s">
        <v>889</v>
      </c>
      <c r="F481" s="295" t="s">
        <v>605</v>
      </c>
      <c r="G481" s="296" t="s">
        <v>527</v>
      </c>
      <c r="H481" s="294" t="s">
        <v>387</v>
      </c>
      <c r="I481" s="297" t="str">
        <f t="shared" si="61"/>
        <v>entree, gang, hal, repro</v>
      </c>
      <c r="J481" s="295" t="s">
        <v>699</v>
      </c>
      <c r="K481" s="298">
        <v>31.803288039469582</v>
      </c>
      <c r="L481" s="298"/>
      <c r="M481" s="299">
        <v>3200</v>
      </c>
      <c r="N481" s="300">
        <f t="shared" si="65"/>
        <v>200</v>
      </c>
      <c r="O481" s="484">
        <v>1</v>
      </c>
      <c r="P481" s="484">
        <v>1</v>
      </c>
      <c r="Q481" s="292">
        <f t="shared" si="66"/>
        <v>0</v>
      </c>
      <c r="R481" s="292">
        <f t="shared" si="67"/>
        <v>0</v>
      </c>
      <c r="S481" s="301">
        <f t="shared" si="62"/>
        <v>0</v>
      </c>
      <c r="T481" s="301">
        <f t="shared" si="63"/>
        <v>0</v>
      </c>
      <c r="U481" s="771" t="str">
        <f t="shared" si="64"/>
        <v>V</v>
      </c>
      <c r="V481" s="303"/>
      <c r="W481" s="304">
        <f>(Q481+R481)*'1.0-Contractblad'!$L$37</f>
        <v>0</v>
      </c>
      <c r="X481" s="304">
        <f ca="1">VLOOKUP(E481,'1.1a-Jaarprijzen'!$B$35:$Q$57,16,FALSE)*K481</f>
        <v>0</v>
      </c>
      <c r="Z481" s="773">
        <f t="shared" si="68"/>
        <v>6360.6576078939161</v>
      </c>
      <c r="AA481" s="492" t="str">
        <f t="shared" si="69"/>
        <v>3200-200</v>
      </c>
    </row>
    <row r="482" spans="2:27" s="490" customFormat="1" ht="15">
      <c r="B482" s="330"/>
      <c r="C482" s="331"/>
      <c r="D482" s="295">
        <f>VLOOKUP(E482,'1.1a-Jaarprijzen'!$B$13:$G$32,6,FALSE)</f>
        <v>2</v>
      </c>
      <c r="E482" s="294" t="s">
        <v>889</v>
      </c>
      <c r="F482" s="295" t="s">
        <v>605</v>
      </c>
      <c r="G482" s="296" t="s">
        <v>528</v>
      </c>
      <c r="H482" s="294" t="s">
        <v>387</v>
      </c>
      <c r="I482" s="297" t="str">
        <f t="shared" si="61"/>
        <v>entree, gang, hal, repro</v>
      </c>
      <c r="J482" s="295" t="s">
        <v>699</v>
      </c>
      <c r="K482" s="298">
        <v>60.279913127571334</v>
      </c>
      <c r="L482" s="298"/>
      <c r="M482" s="299">
        <v>3200</v>
      </c>
      <c r="N482" s="300">
        <f t="shared" si="65"/>
        <v>200</v>
      </c>
      <c r="O482" s="484">
        <v>1</v>
      </c>
      <c r="P482" s="484">
        <v>1</v>
      </c>
      <c r="Q482" s="292">
        <f t="shared" si="66"/>
        <v>0</v>
      </c>
      <c r="R482" s="292">
        <f t="shared" si="67"/>
        <v>0</v>
      </c>
      <c r="S482" s="301">
        <f t="shared" si="62"/>
        <v>0</v>
      </c>
      <c r="T482" s="301">
        <f t="shared" si="63"/>
        <v>0</v>
      </c>
      <c r="U482" s="771" t="str">
        <f t="shared" si="64"/>
        <v>V</v>
      </c>
      <c r="V482" s="303"/>
      <c r="W482" s="304">
        <f>(Q482+R482)*'1.0-Contractblad'!$L$37</f>
        <v>0</v>
      </c>
      <c r="X482" s="304">
        <f ca="1">VLOOKUP(E482,'1.1a-Jaarprijzen'!$B$35:$Q$57,16,FALSE)*K482</f>
        <v>0</v>
      </c>
      <c r="Z482" s="773">
        <f t="shared" si="68"/>
        <v>12055.982625514267</v>
      </c>
      <c r="AA482" s="492" t="str">
        <f t="shared" si="69"/>
        <v>3200-200</v>
      </c>
    </row>
    <row r="483" spans="2:27" s="490" customFormat="1" ht="15">
      <c r="B483" s="330"/>
      <c r="C483" s="331"/>
      <c r="D483" s="295">
        <f>VLOOKUP(E483,'1.1a-Jaarprijzen'!$B$13:$G$32,6,FALSE)</f>
        <v>2</v>
      </c>
      <c r="E483" s="294" t="s">
        <v>889</v>
      </c>
      <c r="F483" s="295" t="s">
        <v>605</v>
      </c>
      <c r="G483" s="296" t="s">
        <v>690</v>
      </c>
      <c r="H483" s="294" t="s">
        <v>387</v>
      </c>
      <c r="I483" s="297" t="str">
        <f t="shared" si="61"/>
        <v>entree, gang, hal, repro</v>
      </c>
      <c r="J483" s="298" t="s">
        <v>699</v>
      </c>
      <c r="K483" s="298">
        <v>47.50006425281515</v>
      </c>
      <c r="L483" s="298"/>
      <c r="M483" s="299">
        <v>3200</v>
      </c>
      <c r="N483" s="300">
        <f t="shared" si="65"/>
        <v>200</v>
      </c>
      <c r="O483" s="484">
        <v>1</v>
      </c>
      <c r="P483" s="484">
        <v>1</v>
      </c>
      <c r="Q483" s="292">
        <f t="shared" si="66"/>
        <v>0</v>
      </c>
      <c r="R483" s="292">
        <f t="shared" si="67"/>
        <v>0</v>
      </c>
      <c r="S483" s="301">
        <f t="shared" si="62"/>
        <v>0</v>
      </c>
      <c r="T483" s="301">
        <f t="shared" si="63"/>
        <v>0</v>
      </c>
      <c r="U483" s="771" t="str">
        <f t="shared" si="64"/>
        <v>V</v>
      </c>
      <c r="V483" s="303"/>
      <c r="W483" s="304">
        <f>(Q483+R483)*'1.0-Contractblad'!$L$37</f>
        <v>0</v>
      </c>
      <c r="X483" s="304">
        <f ca="1">VLOOKUP(E483,'1.1a-Jaarprijzen'!$B$35:$Q$57,16,FALSE)*K483</f>
        <v>0</v>
      </c>
      <c r="Z483" s="773">
        <f t="shared" si="68"/>
        <v>9500.012850563031</v>
      </c>
      <c r="AA483" s="492" t="str">
        <f t="shared" si="69"/>
        <v>3200-200</v>
      </c>
    </row>
    <row r="484" spans="2:27" s="490" customFormat="1" ht="15">
      <c r="B484" s="330"/>
      <c r="C484" s="331"/>
      <c r="D484" s="295">
        <f>VLOOKUP(E484,'1.1a-Jaarprijzen'!$B$13:$G$32,6,FALSE)</f>
        <v>2</v>
      </c>
      <c r="E484" s="294" t="s">
        <v>889</v>
      </c>
      <c r="F484" s="295" t="s">
        <v>605</v>
      </c>
      <c r="G484" s="296" t="s">
        <v>691</v>
      </c>
      <c r="H484" s="294" t="s">
        <v>396</v>
      </c>
      <c r="I484" s="297" t="str">
        <f t="shared" si="61"/>
        <v>aula, gemeenschappelijke ruimte, bibliotheek</v>
      </c>
      <c r="J484" s="298" t="s">
        <v>699</v>
      </c>
      <c r="K484" s="298">
        <v>64.900000000000006</v>
      </c>
      <c r="L484" s="298"/>
      <c r="M484" s="299">
        <v>2200</v>
      </c>
      <c r="N484" s="300">
        <f t="shared" si="65"/>
        <v>200</v>
      </c>
      <c r="O484" s="484">
        <v>1</v>
      </c>
      <c r="P484" s="484">
        <v>1</v>
      </c>
      <c r="Q484" s="292">
        <f t="shared" si="66"/>
        <v>0</v>
      </c>
      <c r="R484" s="292">
        <f t="shared" si="67"/>
        <v>0</v>
      </c>
      <c r="S484" s="301">
        <f t="shared" si="62"/>
        <v>0</v>
      </c>
      <c r="T484" s="301">
        <f t="shared" si="63"/>
        <v>0</v>
      </c>
      <c r="U484" s="771" t="str">
        <f t="shared" si="64"/>
        <v>V</v>
      </c>
      <c r="V484" s="303"/>
      <c r="W484" s="304">
        <f>(Q484+R484)*'1.0-Contractblad'!$L$37</f>
        <v>0</v>
      </c>
      <c r="X484" s="304">
        <f ca="1">VLOOKUP(E484,'1.1a-Jaarprijzen'!$B$35:$Q$57,16,FALSE)*K484</f>
        <v>0</v>
      </c>
      <c r="Z484" s="773">
        <f t="shared" si="68"/>
        <v>12980.000000000002</v>
      </c>
      <c r="AA484" s="492" t="str">
        <f t="shared" si="69"/>
        <v>2200-200</v>
      </c>
    </row>
    <row r="485" spans="2:27" s="490" customFormat="1" ht="15">
      <c r="B485" s="330"/>
      <c r="C485" s="331"/>
      <c r="D485" s="295">
        <f>VLOOKUP(E485,'1.1a-Jaarprijzen'!$B$13:$G$32,6,FALSE)</f>
        <v>2</v>
      </c>
      <c r="E485" s="294" t="s">
        <v>889</v>
      </c>
      <c r="F485" s="295" t="s">
        <v>605</v>
      </c>
      <c r="G485" s="296" t="s">
        <v>692</v>
      </c>
      <c r="H485" s="294" t="s">
        <v>892</v>
      </c>
      <c r="I485" s="297" t="str">
        <f t="shared" si="61"/>
        <v>aula, gemeenschappelijke ruimte, bibliotheek</v>
      </c>
      <c r="J485" s="295" t="s">
        <v>699</v>
      </c>
      <c r="K485" s="298">
        <v>10.412156445956001</v>
      </c>
      <c r="L485" s="298"/>
      <c r="M485" s="299">
        <v>2200</v>
      </c>
      <c r="N485" s="300">
        <f t="shared" si="65"/>
        <v>200</v>
      </c>
      <c r="O485" s="484">
        <v>1</v>
      </c>
      <c r="P485" s="484">
        <v>1</v>
      </c>
      <c r="Q485" s="292">
        <f t="shared" si="66"/>
        <v>0</v>
      </c>
      <c r="R485" s="292">
        <f t="shared" si="67"/>
        <v>0</v>
      </c>
      <c r="S485" s="301">
        <f t="shared" ref="S485:S548" si="70">IF($M485=0,0,VLOOKUP($M485,Kengetal,6,FALSE))</f>
        <v>0</v>
      </c>
      <c r="T485" s="301">
        <f t="shared" ref="T485:T548" si="71">IF($M485=0,0,VLOOKUP($M485,Kengetal,7,FALSE))</f>
        <v>0</v>
      </c>
      <c r="U485" s="771" t="str">
        <f t="shared" si="64"/>
        <v>V</v>
      </c>
      <c r="V485" s="303"/>
      <c r="W485" s="304">
        <f>(Q485+R485)*'1.0-Contractblad'!$L$37</f>
        <v>0</v>
      </c>
      <c r="X485" s="304">
        <f ca="1">VLOOKUP(E485,'1.1a-Jaarprijzen'!$B$35:$Q$57,16,FALSE)*K485</f>
        <v>0</v>
      </c>
      <c r="Z485" s="773">
        <f t="shared" si="68"/>
        <v>2082.4312891912</v>
      </c>
      <c r="AA485" s="492" t="str">
        <f t="shared" si="69"/>
        <v>2200-200</v>
      </c>
    </row>
    <row r="486" spans="2:27" s="490" customFormat="1" ht="15">
      <c r="B486" s="330"/>
      <c r="C486" s="331"/>
      <c r="D486" s="295">
        <f>VLOOKUP(E486,'1.1a-Jaarprijzen'!$B$13:$G$32,6,FALSE)</f>
        <v>2</v>
      </c>
      <c r="E486" s="294" t="s">
        <v>889</v>
      </c>
      <c r="F486" s="295" t="s">
        <v>605</v>
      </c>
      <c r="G486" s="296" t="s">
        <v>534</v>
      </c>
      <c r="H486" s="294" t="s">
        <v>674</v>
      </c>
      <c r="I486" s="297" t="str">
        <f t="shared" si="61"/>
        <v>sanitaire ruimte (toilet-/doucheruimte)</v>
      </c>
      <c r="J486" s="295" t="s">
        <v>700</v>
      </c>
      <c r="K486" s="298">
        <v>3.550881514004808</v>
      </c>
      <c r="L486" s="298"/>
      <c r="M486" s="299">
        <v>4200</v>
      </c>
      <c r="N486" s="300">
        <f t="shared" si="65"/>
        <v>200</v>
      </c>
      <c r="O486" s="484">
        <v>1</v>
      </c>
      <c r="P486" s="484">
        <v>1</v>
      </c>
      <c r="Q486" s="292">
        <f t="shared" si="66"/>
        <v>0</v>
      </c>
      <c r="R486" s="292">
        <f t="shared" si="67"/>
        <v>0</v>
      </c>
      <c r="S486" s="301">
        <f t="shared" si="70"/>
        <v>0</v>
      </c>
      <c r="T486" s="301">
        <f t="shared" si="71"/>
        <v>0</v>
      </c>
      <c r="U486" s="771" t="str">
        <f t="shared" si="64"/>
        <v>S</v>
      </c>
      <c r="V486" s="303"/>
      <c r="W486" s="304">
        <f>(Q486+R486)*'1.0-Contractblad'!$L$37</f>
        <v>0</v>
      </c>
      <c r="X486" s="304">
        <f ca="1">VLOOKUP(E486,'1.1a-Jaarprijzen'!$B$35:$Q$57,16,FALSE)*K486</f>
        <v>0</v>
      </c>
      <c r="Z486" s="773">
        <f t="shared" si="68"/>
        <v>710.17630280096159</v>
      </c>
      <c r="AA486" s="492" t="str">
        <f t="shared" si="69"/>
        <v>4200-200</v>
      </c>
    </row>
    <row r="487" spans="2:27" s="490" customFormat="1" ht="15">
      <c r="B487" s="330"/>
      <c r="C487" s="331"/>
      <c r="D487" s="295">
        <f>VLOOKUP(E487,'1.1a-Jaarprijzen'!$B$13:$G$32,6,FALSE)</f>
        <v>2</v>
      </c>
      <c r="E487" s="294" t="s">
        <v>889</v>
      </c>
      <c r="F487" s="295" t="s">
        <v>605</v>
      </c>
      <c r="G487" s="296" t="s">
        <v>536</v>
      </c>
      <c r="H487" s="294" t="s">
        <v>540</v>
      </c>
      <c r="I487" s="297" t="str">
        <f t="shared" si="61"/>
        <v>sanitaire ruimte (toilet-/doucheruimte)</v>
      </c>
      <c r="J487" s="295" t="s">
        <v>700</v>
      </c>
      <c r="K487" s="298">
        <v>4.3389327917928604</v>
      </c>
      <c r="L487" s="298"/>
      <c r="M487" s="299">
        <v>4200</v>
      </c>
      <c r="N487" s="300">
        <f t="shared" si="65"/>
        <v>200</v>
      </c>
      <c r="O487" s="484">
        <v>1</v>
      </c>
      <c r="P487" s="484">
        <v>1</v>
      </c>
      <c r="Q487" s="292">
        <f t="shared" si="66"/>
        <v>0</v>
      </c>
      <c r="R487" s="292">
        <f t="shared" si="67"/>
        <v>0</v>
      </c>
      <c r="S487" s="301">
        <f t="shared" si="70"/>
        <v>0</v>
      </c>
      <c r="T487" s="301">
        <f t="shared" si="71"/>
        <v>0</v>
      </c>
      <c r="U487" s="771" t="str">
        <f t="shared" si="64"/>
        <v>S</v>
      </c>
      <c r="V487" s="303"/>
      <c r="W487" s="304">
        <f>(Q487+R487)*'1.0-Contractblad'!$L$37</f>
        <v>0</v>
      </c>
      <c r="X487" s="304">
        <f ca="1">VLOOKUP(E487,'1.1a-Jaarprijzen'!$B$35:$Q$57,16,FALSE)*K487</f>
        <v>0</v>
      </c>
      <c r="Z487" s="773">
        <f t="shared" si="68"/>
        <v>867.78655835857205</v>
      </c>
      <c r="AA487" s="492" t="str">
        <f t="shared" si="69"/>
        <v>4200-200</v>
      </c>
    </row>
    <row r="488" spans="2:27" s="490" customFormat="1" ht="15">
      <c r="B488" s="330"/>
      <c r="C488" s="331"/>
      <c r="D488" s="295">
        <f>VLOOKUP(E488,'1.1a-Jaarprijzen'!$B$13:$G$32,6,FALSE)</f>
        <v>2</v>
      </c>
      <c r="E488" s="294" t="s">
        <v>889</v>
      </c>
      <c r="F488" s="295" t="s">
        <v>605</v>
      </c>
      <c r="G488" s="296" t="s">
        <v>537</v>
      </c>
      <c r="H488" s="294" t="s">
        <v>540</v>
      </c>
      <c r="I488" s="297" t="str">
        <f t="shared" si="61"/>
        <v>sanitaire ruimte (toilet-/doucheruimte)</v>
      </c>
      <c r="J488" s="295" t="s">
        <v>700</v>
      </c>
      <c r="K488" s="298">
        <v>4.3389327917928604</v>
      </c>
      <c r="L488" s="298"/>
      <c r="M488" s="299">
        <v>4200</v>
      </c>
      <c r="N488" s="300">
        <f t="shared" si="65"/>
        <v>200</v>
      </c>
      <c r="O488" s="484">
        <v>1</v>
      </c>
      <c r="P488" s="484">
        <v>1</v>
      </c>
      <c r="Q488" s="292">
        <f t="shared" si="66"/>
        <v>0</v>
      </c>
      <c r="R488" s="292">
        <f t="shared" si="67"/>
        <v>0</v>
      </c>
      <c r="S488" s="301">
        <f t="shared" si="70"/>
        <v>0</v>
      </c>
      <c r="T488" s="301">
        <f t="shared" si="71"/>
        <v>0</v>
      </c>
      <c r="U488" s="771" t="str">
        <f t="shared" si="64"/>
        <v>S</v>
      </c>
      <c r="V488" s="303"/>
      <c r="W488" s="304">
        <f>(Q488+R488)*'1.0-Contractblad'!$L$37</f>
        <v>0</v>
      </c>
      <c r="X488" s="304">
        <f ca="1">VLOOKUP(E488,'1.1a-Jaarprijzen'!$B$35:$Q$57,16,FALSE)*K488</f>
        <v>0</v>
      </c>
      <c r="Z488" s="773">
        <f t="shared" si="68"/>
        <v>867.78655835857205</v>
      </c>
      <c r="AA488" s="492" t="str">
        <f t="shared" si="69"/>
        <v>4200-200</v>
      </c>
    </row>
    <row r="489" spans="2:27" s="490" customFormat="1" ht="15">
      <c r="B489" s="330"/>
      <c r="C489" s="331"/>
      <c r="D489" s="295">
        <f>VLOOKUP(E489,'1.1a-Jaarprijzen'!$B$13:$G$32,6,FALSE)</f>
        <v>2</v>
      </c>
      <c r="E489" s="294" t="s">
        <v>889</v>
      </c>
      <c r="F489" s="295" t="s">
        <v>605</v>
      </c>
      <c r="G489" s="296" t="s">
        <v>538</v>
      </c>
      <c r="H489" s="294" t="s">
        <v>540</v>
      </c>
      <c r="I489" s="297" t="str">
        <f t="shared" si="61"/>
        <v>sanitaire ruimte (toilet-/doucheruimte)</v>
      </c>
      <c r="J489" s="295" t="s">
        <v>700</v>
      </c>
      <c r="K489" s="298">
        <v>4.3389327917928604</v>
      </c>
      <c r="L489" s="298"/>
      <c r="M489" s="299">
        <v>4200</v>
      </c>
      <c r="N489" s="300">
        <f t="shared" si="65"/>
        <v>200</v>
      </c>
      <c r="O489" s="484">
        <v>1</v>
      </c>
      <c r="P489" s="484">
        <v>1</v>
      </c>
      <c r="Q489" s="292">
        <f t="shared" si="66"/>
        <v>0</v>
      </c>
      <c r="R489" s="292">
        <f t="shared" si="67"/>
        <v>0</v>
      </c>
      <c r="S489" s="301">
        <f t="shared" si="70"/>
        <v>0</v>
      </c>
      <c r="T489" s="301">
        <f t="shared" si="71"/>
        <v>0</v>
      </c>
      <c r="U489" s="771" t="str">
        <f t="shared" si="64"/>
        <v>S</v>
      </c>
      <c r="V489" s="303"/>
      <c r="W489" s="304">
        <f>(Q489+R489)*'1.0-Contractblad'!$L$37</f>
        <v>0</v>
      </c>
      <c r="X489" s="304">
        <f ca="1">VLOOKUP(E489,'1.1a-Jaarprijzen'!$B$35:$Q$57,16,FALSE)*K489</f>
        <v>0</v>
      </c>
      <c r="Z489" s="773">
        <f t="shared" si="68"/>
        <v>867.78655835857205</v>
      </c>
      <c r="AA489" s="492" t="str">
        <f t="shared" si="69"/>
        <v>4200-200</v>
      </c>
    </row>
    <row r="490" spans="2:27" s="490" customFormat="1" ht="15">
      <c r="B490" s="330"/>
      <c r="C490" s="331"/>
      <c r="D490" s="295">
        <f>VLOOKUP(E490,'1.1a-Jaarprijzen'!$B$13:$G$32,6,FALSE)</f>
        <v>2</v>
      </c>
      <c r="E490" s="294" t="s">
        <v>889</v>
      </c>
      <c r="F490" s="295" t="s">
        <v>605</v>
      </c>
      <c r="G490" s="296" t="s">
        <v>539</v>
      </c>
      <c r="H490" s="294" t="s">
        <v>540</v>
      </c>
      <c r="I490" s="297" t="str">
        <f t="shared" si="61"/>
        <v>sanitaire ruimte (toilet-/doucheruimte)</v>
      </c>
      <c r="J490" s="295" t="s">
        <v>700</v>
      </c>
      <c r="K490" s="298">
        <v>4.3389327917928604</v>
      </c>
      <c r="L490" s="298"/>
      <c r="M490" s="299">
        <v>4200</v>
      </c>
      <c r="N490" s="300">
        <f t="shared" si="65"/>
        <v>200</v>
      </c>
      <c r="O490" s="484">
        <v>1</v>
      </c>
      <c r="P490" s="484">
        <v>1</v>
      </c>
      <c r="Q490" s="292">
        <f t="shared" si="66"/>
        <v>0</v>
      </c>
      <c r="R490" s="292">
        <f t="shared" si="67"/>
        <v>0</v>
      </c>
      <c r="S490" s="301">
        <f t="shared" si="70"/>
        <v>0</v>
      </c>
      <c r="T490" s="301">
        <f t="shared" si="71"/>
        <v>0</v>
      </c>
      <c r="U490" s="771" t="str">
        <f t="shared" si="64"/>
        <v>S</v>
      </c>
      <c r="V490" s="303"/>
      <c r="W490" s="304">
        <f>(Q490+R490)*'1.0-Contractblad'!$L$37</f>
        <v>0</v>
      </c>
      <c r="X490" s="304">
        <f ca="1">VLOOKUP(E490,'1.1a-Jaarprijzen'!$B$35:$Q$57,16,FALSE)*K490</f>
        <v>0</v>
      </c>
      <c r="Z490" s="773">
        <f t="shared" si="68"/>
        <v>867.78655835857205</v>
      </c>
      <c r="AA490" s="492" t="str">
        <f t="shared" si="69"/>
        <v>4200-200</v>
      </c>
    </row>
    <row r="491" spans="2:27" s="490" customFormat="1" ht="15">
      <c r="B491" s="330"/>
      <c r="C491" s="331"/>
      <c r="D491" s="295">
        <f>VLOOKUP(E491,'1.1a-Jaarprijzen'!$B$13:$G$32,6,FALSE)</f>
        <v>2</v>
      </c>
      <c r="E491" s="686" t="s">
        <v>889</v>
      </c>
      <c r="F491" s="295" t="s">
        <v>605</v>
      </c>
      <c r="G491" s="296" t="s">
        <v>541</v>
      </c>
      <c r="H491" s="294" t="s">
        <v>540</v>
      </c>
      <c r="I491" s="297" t="str">
        <f t="shared" si="61"/>
        <v>sanitaire ruimte (toilet-/doucheruimte)</v>
      </c>
      <c r="J491" s="295" t="s">
        <v>700</v>
      </c>
      <c r="K491" s="298">
        <v>4.8068869992721401</v>
      </c>
      <c r="L491" s="298"/>
      <c r="M491" s="299">
        <v>4200</v>
      </c>
      <c r="N491" s="300">
        <f t="shared" si="65"/>
        <v>200</v>
      </c>
      <c r="O491" s="484">
        <v>1</v>
      </c>
      <c r="P491" s="484">
        <v>1</v>
      </c>
      <c r="Q491" s="292">
        <f t="shared" si="66"/>
        <v>0</v>
      </c>
      <c r="R491" s="292">
        <f t="shared" si="67"/>
        <v>0</v>
      </c>
      <c r="S491" s="301">
        <f t="shared" si="70"/>
        <v>0</v>
      </c>
      <c r="T491" s="301">
        <f t="shared" si="71"/>
        <v>0</v>
      </c>
      <c r="U491" s="771" t="str">
        <f t="shared" si="64"/>
        <v>S</v>
      </c>
      <c r="V491" s="303" t="s">
        <v>1071</v>
      </c>
      <c r="W491" s="304">
        <f>(Q491+R491)*'1.0-Contractblad'!$L$37</f>
        <v>0</v>
      </c>
      <c r="X491" s="304">
        <f ca="1">VLOOKUP(E491,'1.1a-Jaarprijzen'!$B$35:$Q$57,16,FALSE)*K491</f>
        <v>0</v>
      </c>
      <c r="Z491" s="773">
        <f t="shared" si="68"/>
        <v>961.37739985442806</v>
      </c>
      <c r="AA491" s="492" t="str">
        <f t="shared" si="69"/>
        <v>4200-200</v>
      </c>
    </row>
    <row r="492" spans="2:27" s="490" customFormat="1" ht="15">
      <c r="B492" s="330"/>
      <c r="C492" s="331"/>
      <c r="D492" s="295">
        <f>VLOOKUP(E492,'1.1a-Jaarprijzen'!$B$13:$G$32,6,FALSE)</f>
        <v>2</v>
      </c>
      <c r="E492" s="294" t="s">
        <v>889</v>
      </c>
      <c r="F492" s="295" t="s">
        <v>605</v>
      </c>
      <c r="G492" s="296" t="s">
        <v>557</v>
      </c>
      <c r="H492" s="294" t="s">
        <v>558</v>
      </c>
      <c r="I492" s="297" t="str">
        <f t="shared" si="61"/>
        <v>administratieve -,  vergaderruimte</v>
      </c>
      <c r="J492" s="295" t="s">
        <v>48</v>
      </c>
      <c r="K492" s="298">
        <v>22.50619187333016</v>
      </c>
      <c r="L492" s="298"/>
      <c r="M492" s="299">
        <v>1040</v>
      </c>
      <c r="N492" s="300">
        <f t="shared" si="65"/>
        <v>40</v>
      </c>
      <c r="O492" s="484">
        <v>1</v>
      </c>
      <c r="P492" s="484">
        <v>1</v>
      </c>
      <c r="Q492" s="292">
        <f t="shared" si="66"/>
        <v>0</v>
      </c>
      <c r="R492" s="292">
        <f t="shared" si="67"/>
        <v>0</v>
      </c>
      <c r="S492" s="301">
        <f t="shared" si="70"/>
        <v>0</v>
      </c>
      <c r="T492" s="301">
        <f t="shared" si="71"/>
        <v>0</v>
      </c>
      <c r="U492" s="771" t="str">
        <f t="shared" ref="U492:U555" si="72">IF(M492="","",VLOOKUP(M492,Kengetal,14,FALSE))</f>
        <v>V</v>
      </c>
      <c r="V492" s="303"/>
      <c r="W492" s="304">
        <f>(Q492+R492)*'1.0-Contractblad'!$L$37</f>
        <v>0</v>
      </c>
      <c r="X492" s="304">
        <f ca="1">VLOOKUP(E492,'1.1a-Jaarprijzen'!$B$35:$Q$57,16,FALSE)*K492</f>
        <v>0</v>
      </c>
      <c r="Z492" s="773">
        <f t="shared" si="68"/>
        <v>900.24767493320633</v>
      </c>
      <c r="AA492" s="492" t="str">
        <f t="shared" si="69"/>
        <v>1040-40</v>
      </c>
    </row>
    <row r="493" spans="2:27" s="490" customFormat="1" ht="15">
      <c r="B493" s="330"/>
      <c r="C493" s="331"/>
      <c r="D493" s="295">
        <f>VLOOKUP(E493,'1.1a-Jaarprijzen'!$B$13:$G$32,6,FALSE)</f>
        <v>2</v>
      </c>
      <c r="E493" s="294" t="s">
        <v>889</v>
      </c>
      <c r="F493" s="295" t="s">
        <v>605</v>
      </c>
      <c r="G493" s="296" t="s">
        <v>559</v>
      </c>
      <c r="H493" s="294" t="s">
        <v>403</v>
      </c>
      <c r="I493" s="297" t="str">
        <f t="shared" si="61"/>
        <v>leslokaal groep 1 t/m 3</v>
      </c>
      <c r="J493" s="295" t="s">
        <v>48</v>
      </c>
      <c r="K493" s="298">
        <v>39.299999999999997</v>
      </c>
      <c r="L493" s="298"/>
      <c r="M493" s="299">
        <v>7200</v>
      </c>
      <c r="N493" s="300">
        <f t="shared" ref="N493:N556" si="73">VLOOKUP(M493,Kengetal,3,FALSE)</f>
        <v>200</v>
      </c>
      <c r="O493" s="484">
        <v>1</v>
      </c>
      <c r="P493" s="484">
        <v>1</v>
      </c>
      <c r="Q493" s="292">
        <f t="shared" ref="Q493:Q556" si="74">S493*K493*O493</f>
        <v>0</v>
      </c>
      <c r="R493" s="292">
        <f t="shared" ref="R493:R556" si="75">T493*K493*P493</f>
        <v>0</v>
      </c>
      <c r="S493" s="301">
        <f t="shared" si="70"/>
        <v>0</v>
      </c>
      <c r="T493" s="301">
        <f t="shared" si="71"/>
        <v>0</v>
      </c>
      <c r="U493" s="771" t="str">
        <f t="shared" si="72"/>
        <v>L</v>
      </c>
      <c r="V493" s="303"/>
      <c r="W493" s="304">
        <f>(Q493+R493)*'1.0-Contractblad'!$L$37</f>
        <v>0</v>
      </c>
      <c r="X493" s="304">
        <f ca="1">VLOOKUP(E493,'1.1a-Jaarprijzen'!$B$35:$Q$57,16,FALSE)*K493</f>
        <v>0</v>
      </c>
      <c r="Z493" s="773">
        <f t="shared" ref="Z493:Z556" si="76">K493*N493</f>
        <v>7859.9999999999991</v>
      </c>
      <c r="AA493" s="492" t="str">
        <f t="shared" ref="AA493:AA556" si="77">CONCATENATE(M493,"-",N493)</f>
        <v>7200-200</v>
      </c>
    </row>
    <row r="494" spans="2:27" s="490" customFormat="1" ht="15">
      <c r="B494" s="330"/>
      <c r="C494" s="331"/>
      <c r="D494" s="295">
        <f>VLOOKUP(E494,'1.1a-Jaarprijzen'!$B$13:$G$32,6,FALSE)</f>
        <v>2</v>
      </c>
      <c r="E494" s="294" t="s">
        <v>889</v>
      </c>
      <c r="F494" s="295" t="s">
        <v>605</v>
      </c>
      <c r="G494" s="296" t="s">
        <v>560</v>
      </c>
      <c r="H494" s="294" t="s">
        <v>566</v>
      </c>
      <c r="I494" s="297" t="str">
        <f t="shared" si="61"/>
        <v>niet van toepassing</v>
      </c>
      <c r="J494" s="295" t="s">
        <v>48</v>
      </c>
      <c r="K494" s="298"/>
      <c r="L494" s="298"/>
      <c r="M494" s="299" t="s">
        <v>17</v>
      </c>
      <c r="N494" s="300">
        <f t="shared" si="73"/>
        <v>0</v>
      </c>
      <c r="O494" s="484">
        <v>1</v>
      </c>
      <c r="P494" s="484">
        <v>1</v>
      </c>
      <c r="Q494" s="292">
        <f t="shared" si="74"/>
        <v>0</v>
      </c>
      <c r="R494" s="292">
        <f t="shared" si="75"/>
        <v>0</v>
      </c>
      <c r="S494" s="301">
        <f t="shared" si="70"/>
        <v>0</v>
      </c>
      <c r="T494" s="301">
        <f t="shared" si="71"/>
        <v>0</v>
      </c>
      <c r="U494" s="771">
        <f t="shared" si="72"/>
        <v>0</v>
      </c>
      <c r="V494" s="303" t="s">
        <v>1072</v>
      </c>
      <c r="W494" s="304">
        <f>(Q494+R494)*'1.0-Contractblad'!$L$37</f>
        <v>0</v>
      </c>
      <c r="X494" s="304">
        <f ca="1">VLOOKUP(E494,'1.1a-Jaarprijzen'!$B$35:$Q$57,16,FALSE)*K494</f>
        <v>0</v>
      </c>
      <c r="Z494" s="773">
        <f t="shared" si="76"/>
        <v>0</v>
      </c>
      <c r="AA494" s="492" t="str">
        <f t="shared" si="77"/>
        <v>nvt-0</v>
      </c>
    </row>
    <row r="495" spans="2:27" s="490" customFormat="1" ht="15">
      <c r="B495" s="330"/>
      <c r="C495" s="331"/>
      <c r="D495" s="295">
        <f>VLOOKUP(E495,'1.1a-Jaarprijzen'!$B$13:$G$32,6,FALSE)</f>
        <v>2</v>
      </c>
      <c r="E495" s="294" t="s">
        <v>889</v>
      </c>
      <c r="F495" s="295" t="s">
        <v>605</v>
      </c>
      <c r="G495" s="296" t="s">
        <v>562</v>
      </c>
      <c r="H495" s="294" t="s">
        <v>566</v>
      </c>
      <c r="I495" s="297" t="str">
        <f t="shared" si="61"/>
        <v>administratieve -,  vergaderruimte</v>
      </c>
      <c r="J495" s="295" t="s">
        <v>48</v>
      </c>
      <c r="K495" s="298">
        <v>37.82</v>
      </c>
      <c r="L495" s="298"/>
      <c r="M495" s="299">
        <v>1040</v>
      </c>
      <c r="N495" s="300">
        <f t="shared" si="73"/>
        <v>40</v>
      </c>
      <c r="O495" s="484">
        <v>1</v>
      </c>
      <c r="P495" s="484">
        <v>1</v>
      </c>
      <c r="Q495" s="292">
        <f t="shared" si="74"/>
        <v>0</v>
      </c>
      <c r="R495" s="292">
        <f t="shared" si="75"/>
        <v>0</v>
      </c>
      <c r="S495" s="301">
        <f t="shared" si="70"/>
        <v>0</v>
      </c>
      <c r="T495" s="301">
        <f t="shared" si="71"/>
        <v>0</v>
      </c>
      <c r="U495" s="771" t="str">
        <f t="shared" si="72"/>
        <v>V</v>
      </c>
      <c r="V495" s="303"/>
      <c r="W495" s="304">
        <f>(Q495+R495)*'1.0-Contractblad'!$L$37</f>
        <v>0</v>
      </c>
      <c r="X495" s="304">
        <f ca="1">VLOOKUP(E495,'1.1a-Jaarprijzen'!$B$35:$Q$57,16,FALSE)*K495</f>
        <v>0</v>
      </c>
      <c r="Z495" s="773">
        <f t="shared" si="76"/>
        <v>1512.8</v>
      </c>
      <c r="AA495" s="492" t="str">
        <f t="shared" si="77"/>
        <v>1040-40</v>
      </c>
    </row>
    <row r="496" spans="2:27" s="490" customFormat="1" ht="15">
      <c r="B496" s="330"/>
      <c r="C496" s="331"/>
      <c r="D496" s="295">
        <f>VLOOKUP(E496,'1.1a-Jaarprijzen'!$B$13:$G$32,6,FALSE)</f>
        <v>2</v>
      </c>
      <c r="E496" s="294" t="s">
        <v>889</v>
      </c>
      <c r="F496" s="295" t="s">
        <v>261</v>
      </c>
      <c r="G496" s="296" t="s">
        <v>563</v>
      </c>
      <c r="H496" s="294" t="s">
        <v>566</v>
      </c>
      <c r="I496" s="297" t="str">
        <f t="shared" si="61"/>
        <v>administratieve -,  vergaderruimte</v>
      </c>
      <c r="J496" s="295" t="s">
        <v>48</v>
      </c>
      <c r="K496" s="298">
        <v>37.82</v>
      </c>
      <c r="L496" s="298"/>
      <c r="M496" s="299">
        <v>1040</v>
      </c>
      <c r="N496" s="300">
        <f t="shared" si="73"/>
        <v>40</v>
      </c>
      <c r="O496" s="484">
        <v>1</v>
      </c>
      <c r="P496" s="484">
        <v>1</v>
      </c>
      <c r="Q496" s="292">
        <f t="shared" si="74"/>
        <v>0</v>
      </c>
      <c r="R496" s="292">
        <f t="shared" si="75"/>
        <v>0</v>
      </c>
      <c r="S496" s="301">
        <f t="shared" si="70"/>
        <v>0</v>
      </c>
      <c r="T496" s="301">
        <f t="shared" si="71"/>
        <v>0</v>
      </c>
      <c r="U496" s="771" t="str">
        <f t="shared" si="72"/>
        <v>V</v>
      </c>
      <c r="V496" s="303"/>
      <c r="W496" s="304">
        <f>(Q496+R496)*'1.0-Contractblad'!$L$37</f>
        <v>0</v>
      </c>
      <c r="X496" s="304">
        <f ca="1">VLOOKUP(E496,'1.1a-Jaarprijzen'!$B$35:$Q$57,16,FALSE)*K496</f>
        <v>0</v>
      </c>
      <c r="Z496" s="773">
        <f t="shared" si="76"/>
        <v>1512.8</v>
      </c>
      <c r="AA496" s="492" t="str">
        <f t="shared" si="77"/>
        <v>1040-40</v>
      </c>
    </row>
    <row r="497" spans="2:27" s="490" customFormat="1" ht="15">
      <c r="B497" s="330"/>
      <c r="C497" s="331"/>
      <c r="D497" s="295">
        <f>VLOOKUP(E497,'1.1a-Jaarprijzen'!$B$13:$G$32,6,FALSE)</f>
        <v>2</v>
      </c>
      <c r="E497" s="294" t="s">
        <v>889</v>
      </c>
      <c r="F497" s="295" t="s">
        <v>605</v>
      </c>
      <c r="G497" s="296" t="s">
        <v>570</v>
      </c>
      <c r="H497" s="294" t="s">
        <v>571</v>
      </c>
      <c r="I497" s="297" t="str">
        <f t="shared" si="61"/>
        <v>niet van toepassing</v>
      </c>
      <c r="J497" s="295" t="s">
        <v>17</v>
      </c>
      <c r="K497" s="298">
        <v>0</v>
      </c>
      <c r="L497" s="298">
        <v>0.82</v>
      </c>
      <c r="M497" s="299" t="s">
        <v>17</v>
      </c>
      <c r="N497" s="300">
        <f t="shared" si="73"/>
        <v>0</v>
      </c>
      <c r="O497" s="484">
        <v>1</v>
      </c>
      <c r="P497" s="484">
        <v>1</v>
      </c>
      <c r="Q497" s="292">
        <f t="shared" si="74"/>
        <v>0</v>
      </c>
      <c r="R497" s="292">
        <f t="shared" si="75"/>
        <v>0</v>
      </c>
      <c r="S497" s="301">
        <f t="shared" si="70"/>
        <v>0</v>
      </c>
      <c r="T497" s="301">
        <f t="shared" si="71"/>
        <v>0</v>
      </c>
      <c r="U497" s="771">
        <f t="shared" si="72"/>
        <v>0</v>
      </c>
      <c r="V497" s="303"/>
      <c r="W497" s="304">
        <f>(Q497+R497)*'1.0-Contractblad'!$L$37</f>
        <v>0</v>
      </c>
      <c r="X497" s="304">
        <f ca="1">VLOOKUP(E497,'1.1a-Jaarprijzen'!$B$35:$Q$57,16,FALSE)*K497</f>
        <v>0</v>
      </c>
      <c r="Z497" s="773">
        <f t="shared" si="76"/>
        <v>0</v>
      </c>
      <c r="AA497" s="492" t="str">
        <f t="shared" si="77"/>
        <v>nvt-0</v>
      </c>
    </row>
    <row r="498" spans="2:27" s="490" customFormat="1" ht="15">
      <c r="B498" s="330"/>
      <c r="C498" s="331"/>
      <c r="D498" s="295">
        <f>VLOOKUP(E498,'1.1a-Jaarprijzen'!$B$13:$G$32,6,FALSE)</f>
        <v>2</v>
      </c>
      <c r="E498" s="294" t="s">
        <v>889</v>
      </c>
      <c r="F498" s="295" t="s">
        <v>605</v>
      </c>
      <c r="G498" s="296" t="s">
        <v>574</v>
      </c>
      <c r="H498" s="294" t="s">
        <v>893</v>
      </c>
      <c r="I498" s="297" t="str">
        <f t="shared" si="61"/>
        <v>niet van toepassing</v>
      </c>
      <c r="J498" s="295" t="s">
        <v>17</v>
      </c>
      <c r="K498" s="298">
        <v>0</v>
      </c>
      <c r="L498" s="298">
        <v>3.73</v>
      </c>
      <c r="M498" s="299" t="s">
        <v>17</v>
      </c>
      <c r="N498" s="300">
        <f t="shared" si="73"/>
        <v>0</v>
      </c>
      <c r="O498" s="484">
        <v>1</v>
      </c>
      <c r="P498" s="484">
        <v>1</v>
      </c>
      <c r="Q498" s="292">
        <f t="shared" si="74"/>
        <v>0</v>
      </c>
      <c r="R498" s="292">
        <f t="shared" si="75"/>
        <v>0</v>
      </c>
      <c r="S498" s="301">
        <f t="shared" si="70"/>
        <v>0</v>
      </c>
      <c r="T498" s="301">
        <f t="shared" si="71"/>
        <v>0</v>
      </c>
      <c r="U498" s="771">
        <f t="shared" si="72"/>
        <v>0</v>
      </c>
      <c r="V498" s="303"/>
      <c r="W498" s="304">
        <f>(Q498+R498)*'1.0-Contractblad'!$L$37</f>
        <v>0</v>
      </c>
      <c r="X498" s="304">
        <f ca="1">VLOOKUP(E498,'1.1a-Jaarprijzen'!$B$35:$Q$57,16,FALSE)*K498</f>
        <v>0</v>
      </c>
      <c r="Z498" s="773">
        <f t="shared" si="76"/>
        <v>0</v>
      </c>
      <c r="AA498" s="492" t="str">
        <f t="shared" si="77"/>
        <v>nvt-0</v>
      </c>
    </row>
    <row r="499" spans="2:27" s="490" customFormat="1" ht="15">
      <c r="B499" s="330"/>
      <c r="C499" s="331"/>
      <c r="D499" s="295">
        <f>VLOOKUP(E499,'1.1a-Jaarprijzen'!$B$13:$G$32,6,FALSE)</f>
        <v>2</v>
      </c>
      <c r="E499" s="294" t="s">
        <v>889</v>
      </c>
      <c r="F499" s="295" t="s">
        <v>605</v>
      </c>
      <c r="G499" s="296" t="s">
        <v>694</v>
      </c>
      <c r="H499" s="294" t="s">
        <v>388</v>
      </c>
      <c r="I499" s="297" t="str">
        <f t="shared" si="61"/>
        <v>niet van toepassing</v>
      </c>
      <c r="J499" s="295" t="s">
        <v>17</v>
      </c>
      <c r="K499" s="298">
        <v>0</v>
      </c>
      <c r="L499" s="298">
        <v>2.2000000000000002</v>
      </c>
      <c r="M499" s="299" t="s">
        <v>17</v>
      </c>
      <c r="N499" s="300">
        <f t="shared" si="73"/>
        <v>0</v>
      </c>
      <c r="O499" s="484">
        <v>1</v>
      </c>
      <c r="P499" s="484">
        <v>1</v>
      </c>
      <c r="Q499" s="292">
        <f t="shared" si="74"/>
        <v>0</v>
      </c>
      <c r="R499" s="292">
        <f t="shared" si="75"/>
        <v>0</v>
      </c>
      <c r="S499" s="301">
        <f t="shared" si="70"/>
        <v>0</v>
      </c>
      <c r="T499" s="301">
        <f t="shared" si="71"/>
        <v>0</v>
      </c>
      <c r="U499" s="771">
        <f t="shared" si="72"/>
        <v>0</v>
      </c>
      <c r="V499" s="303"/>
      <c r="W499" s="304">
        <f>(Q499+R499)*'1.0-Contractblad'!$L$37</f>
        <v>0</v>
      </c>
      <c r="X499" s="304">
        <f ca="1">VLOOKUP(E499,'1.1a-Jaarprijzen'!$B$35:$Q$57,16,FALSE)*K499</f>
        <v>0</v>
      </c>
      <c r="Z499" s="773">
        <f t="shared" si="76"/>
        <v>0</v>
      </c>
      <c r="AA499" s="492" t="str">
        <f t="shared" si="77"/>
        <v>nvt-0</v>
      </c>
    </row>
    <row r="500" spans="2:27" s="490" customFormat="1" ht="15">
      <c r="B500" s="330"/>
      <c r="C500" s="331"/>
      <c r="D500" s="295">
        <f>VLOOKUP(E500,'1.1a-Jaarprijzen'!$B$13:$G$32,6,FALSE)</f>
        <v>2</v>
      </c>
      <c r="E500" s="294" t="s">
        <v>889</v>
      </c>
      <c r="F500" s="295" t="s">
        <v>605</v>
      </c>
      <c r="G500" s="296" t="s">
        <v>572</v>
      </c>
      <c r="H500" s="294" t="s">
        <v>391</v>
      </c>
      <c r="I500" s="297" t="str">
        <f t="shared" si="61"/>
        <v>niet van toepassing</v>
      </c>
      <c r="J500" s="295" t="s">
        <v>17</v>
      </c>
      <c r="K500" s="298">
        <v>0</v>
      </c>
      <c r="L500" s="298">
        <v>7.49</v>
      </c>
      <c r="M500" s="299" t="s">
        <v>17</v>
      </c>
      <c r="N500" s="300">
        <f t="shared" si="73"/>
        <v>0</v>
      </c>
      <c r="O500" s="484">
        <v>1</v>
      </c>
      <c r="P500" s="484">
        <v>1</v>
      </c>
      <c r="Q500" s="292">
        <f t="shared" si="74"/>
        <v>0</v>
      </c>
      <c r="R500" s="292">
        <f t="shared" si="75"/>
        <v>0</v>
      </c>
      <c r="S500" s="301">
        <f t="shared" si="70"/>
        <v>0</v>
      </c>
      <c r="T500" s="301">
        <f t="shared" si="71"/>
        <v>0</v>
      </c>
      <c r="U500" s="771">
        <f t="shared" si="72"/>
        <v>0</v>
      </c>
      <c r="V500" s="303"/>
      <c r="W500" s="304">
        <f>(Q500+R500)*'1.0-Contractblad'!$L$37</f>
        <v>0</v>
      </c>
      <c r="X500" s="304">
        <f ca="1">VLOOKUP(E500,'1.1a-Jaarprijzen'!$B$35:$Q$57,16,FALSE)*K500</f>
        <v>0</v>
      </c>
      <c r="Z500" s="773">
        <f t="shared" si="76"/>
        <v>0</v>
      </c>
      <c r="AA500" s="492" t="str">
        <f t="shared" si="77"/>
        <v>nvt-0</v>
      </c>
    </row>
    <row r="501" spans="2:27" s="490" customFormat="1" ht="15">
      <c r="B501" s="330"/>
      <c r="C501" s="331"/>
      <c r="D501" s="295">
        <f>VLOOKUP(E501,'1.1a-Jaarprijzen'!$B$13:$G$32,6,FALSE)</f>
        <v>2</v>
      </c>
      <c r="E501" s="294" t="s">
        <v>889</v>
      </c>
      <c r="F501" s="295" t="s">
        <v>605</v>
      </c>
      <c r="G501" s="296" t="s">
        <v>576</v>
      </c>
      <c r="H501" s="294" t="s">
        <v>894</v>
      </c>
      <c r="I501" s="297" t="str">
        <f t="shared" si="61"/>
        <v>niet van toepassing</v>
      </c>
      <c r="J501" s="295" t="s">
        <v>17</v>
      </c>
      <c r="K501" s="298">
        <v>0</v>
      </c>
      <c r="L501" s="298">
        <v>10.26</v>
      </c>
      <c r="M501" s="299" t="s">
        <v>17</v>
      </c>
      <c r="N501" s="300">
        <f t="shared" si="73"/>
        <v>0</v>
      </c>
      <c r="O501" s="484">
        <v>1</v>
      </c>
      <c r="P501" s="484">
        <v>1</v>
      </c>
      <c r="Q501" s="292">
        <f t="shared" si="74"/>
        <v>0</v>
      </c>
      <c r="R501" s="292">
        <f t="shared" si="75"/>
        <v>0</v>
      </c>
      <c r="S501" s="301">
        <f t="shared" si="70"/>
        <v>0</v>
      </c>
      <c r="T501" s="301">
        <f t="shared" si="71"/>
        <v>0</v>
      </c>
      <c r="U501" s="771">
        <f t="shared" si="72"/>
        <v>0</v>
      </c>
      <c r="V501" s="303"/>
      <c r="W501" s="304">
        <f>(Q501+R501)*'1.0-Contractblad'!$L$37</f>
        <v>0</v>
      </c>
      <c r="X501" s="304">
        <f ca="1">VLOOKUP(E501,'1.1a-Jaarprijzen'!$B$35:$Q$57,16,FALSE)*K501</f>
        <v>0</v>
      </c>
      <c r="Z501" s="773">
        <f t="shared" si="76"/>
        <v>0</v>
      </c>
      <c r="AA501" s="492" t="str">
        <f t="shared" si="77"/>
        <v>nvt-0</v>
      </c>
    </row>
    <row r="502" spans="2:27" s="490" customFormat="1" ht="15">
      <c r="B502" s="330"/>
      <c r="C502" s="331"/>
      <c r="D502" s="295">
        <f>VLOOKUP(E502,'1.1a-Jaarprijzen'!$B$13:$G$32,6,FALSE)</f>
        <v>2</v>
      </c>
      <c r="E502" s="294" t="s">
        <v>889</v>
      </c>
      <c r="F502" s="295" t="s">
        <v>605</v>
      </c>
      <c r="G502" s="296" t="s">
        <v>577</v>
      </c>
      <c r="H502" s="294" t="s">
        <v>391</v>
      </c>
      <c r="I502" s="297" t="str">
        <f t="shared" si="61"/>
        <v>niet van toepassing</v>
      </c>
      <c r="J502" s="295" t="s">
        <v>17</v>
      </c>
      <c r="K502" s="298">
        <v>0</v>
      </c>
      <c r="L502" s="298">
        <v>6.13</v>
      </c>
      <c r="M502" s="299" t="s">
        <v>17</v>
      </c>
      <c r="N502" s="300">
        <f t="shared" si="73"/>
        <v>0</v>
      </c>
      <c r="O502" s="484">
        <v>1</v>
      </c>
      <c r="P502" s="484">
        <v>1</v>
      </c>
      <c r="Q502" s="292">
        <f t="shared" si="74"/>
        <v>0</v>
      </c>
      <c r="R502" s="292">
        <f t="shared" si="75"/>
        <v>0</v>
      </c>
      <c r="S502" s="301">
        <f t="shared" si="70"/>
        <v>0</v>
      </c>
      <c r="T502" s="301">
        <f t="shared" si="71"/>
        <v>0</v>
      </c>
      <c r="U502" s="771">
        <f t="shared" si="72"/>
        <v>0</v>
      </c>
      <c r="V502" s="303"/>
      <c r="W502" s="304">
        <f>(Q502+R502)*'1.0-Contractblad'!$L$37</f>
        <v>0</v>
      </c>
      <c r="X502" s="304">
        <f ca="1">VLOOKUP(E502,'1.1a-Jaarprijzen'!$B$35:$Q$57,16,FALSE)*K502</f>
        <v>0</v>
      </c>
      <c r="Z502" s="773">
        <f t="shared" si="76"/>
        <v>0</v>
      </c>
      <c r="AA502" s="492" t="str">
        <f t="shared" si="77"/>
        <v>nvt-0</v>
      </c>
    </row>
    <row r="503" spans="2:27" s="490" customFormat="1" ht="15">
      <c r="B503" s="330"/>
      <c r="C503" s="331"/>
      <c r="D503" s="295">
        <f>VLOOKUP(E503,'1.1a-Jaarprijzen'!$B$13:$G$32,6,FALSE)</f>
        <v>2</v>
      </c>
      <c r="E503" s="294" t="s">
        <v>889</v>
      </c>
      <c r="F503" s="295" t="s">
        <v>605</v>
      </c>
      <c r="G503" s="296" t="s">
        <v>578</v>
      </c>
      <c r="H503" s="294" t="s">
        <v>391</v>
      </c>
      <c r="I503" s="297" t="str">
        <f t="shared" si="61"/>
        <v>niet van toepassing</v>
      </c>
      <c r="J503" s="295" t="s">
        <v>17</v>
      </c>
      <c r="K503" s="298">
        <v>0</v>
      </c>
      <c r="L503" s="298">
        <v>6.13</v>
      </c>
      <c r="M503" s="299" t="s">
        <v>17</v>
      </c>
      <c r="N503" s="300">
        <f t="shared" si="73"/>
        <v>0</v>
      </c>
      <c r="O503" s="484">
        <v>1</v>
      </c>
      <c r="P503" s="484">
        <v>1</v>
      </c>
      <c r="Q503" s="292">
        <f t="shared" si="74"/>
        <v>0</v>
      </c>
      <c r="R503" s="292">
        <f t="shared" si="75"/>
        <v>0</v>
      </c>
      <c r="S503" s="301">
        <f t="shared" si="70"/>
        <v>0</v>
      </c>
      <c r="T503" s="301">
        <f t="shared" si="71"/>
        <v>0</v>
      </c>
      <c r="U503" s="771">
        <f t="shared" si="72"/>
        <v>0</v>
      </c>
      <c r="V503" s="303"/>
      <c r="W503" s="304">
        <f>(Q503+R503)*'1.0-Contractblad'!$L$37</f>
        <v>0</v>
      </c>
      <c r="X503" s="304">
        <f ca="1">VLOOKUP(E503,'1.1a-Jaarprijzen'!$B$35:$Q$57,16,FALSE)*K503</f>
        <v>0</v>
      </c>
      <c r="Z503" s="773">
        <f t="shared" si="76"/>
        <v>0</v>
      </c>
      <c r="AA503" s="492" t="str">
        <f t="shared" si="77"/>
        <v>nvt-0</v>
      </c>
    </row>
    <row r="504" spans="2:27" s="490" customFormat="1" ht="15">
      <c r="B504" s="330"/>
      <c r="C504" s="331"/>
      <c r="D504" s="295">
        <f>VLOOKUP(E504,'1.1a-Jaarprijzen'!$B$13:$G$32,6,FALSE)</f>
        <v>2</v>
      </c>
      <c r="E504" s="294" t="s">
        <v>889</v>
      </c>
      <c r="F504" s="295" t="s">
        <v>261</v>
      </c>
      <c r="G504" s="296" t="s">
        <v>559</v>
      </c>
      <c r="H504" s="294" t="s">
        <v>1059</v>
      </c>
      <c r="I504" s="297" t="str">
        <f t="shared" si="61"/>
        <v>administratieve -,  vergaderruimte</v>
      </c>
      <c r="J504" s="295" t="s">
        <v>48</v>
      </c>
      <c r="K504" s="298">
        <v>41.949122260650064</v>
      </c>
      <c r="L504" s="298"/>
      <c r="M504" s="299">
        <v>1040</v>
      </c>
      <c r="N504" s="300">
        <f t="shared" si="73"/>
        <v>40</v>
      </c>
      <c r="O504" s="484">
        <v>1</v>
      </c>
      <c r="P504" s="484">
        <v>1</v>
      </c>
      <c r="Q504" s="292">
        <f t="shared" si="74"/>
        <v>0</v>
      </c>
      <c r="R504" s="292">
        <f t="shared" si="75"/>
        <v>0</v>
      </c>
      <c r="S504" s="301">
        <f t="shared" si="70"/>
        <v>0</v>
      </c>
      <c r="T504" s="301">
        <f t="shared" si="71"/>
        <v>0</v>
      </c>
      <c r="U504" s="771" t="str">
        <f t="shared" si="72"/>
        <v>V</v>
      </c>
      <c r="V504" s="303"/>
      <c r="W504" s="304">
        <f>(Q504+R504)*'1.0-Contractblad'!$L$37</f>
        <v>0</v>
      </c>
      <c r="X504" s="304">
        <f ca="1">VLOOKUP(E504,'1.1a-Jaarprijzen'!$B$35:$Q$57,16,FALSE)*K504</f>
        <v>0</v>
      </c>
      <c r="Z504" s="773">
        <f t="shared" si="76"/>
        <v>1677.9648904260025</v>
      </c>
      <c r="AA504" s="492" t="str">
        <f t="shared" si="77"/>
        <v>1040-40</v>
      </c>
    </row>
    <row r="505" spans="2:27" s="490" customFormat="1" ht="15">
      <c r="B505" s="330"/>
      <c r="C505" s="331"/>
      <c r="D505" s="295">
        <f>VLOOKUP(E505,'1.1a-Jaarprijzen'!$B$13:$G$32,6,FALSE)</f>
        <v>2</v>
      </c>
      <c r="E505" s="294" t="s">
        <v>889</v>
      </c>
      <c r="F505" s="295" t="s">
        <v>605</v>
      </c>
      <c r="G505" s="296" t="s">
        <v>579</v>
      </c>
      <c r="H505" s="294" t="s">
        <v>400</v>
      </c>
      <c r="I505" s="297" t="str">
        <f t="shared" si="61"/>
        <v>trappenhuis</v>
      </c>
      <c r="J505" s="295" t="s">
        <v>697</v>
      </c>
      <c r="K505" s="298">
        <v>1.7932349410352373</v>
      </c>
      <c r="L505" s="298"/>
      <c r="M505" s="299">
        <v>9200</v>
      </c>
      <c r="N505" s="300">
        <f t="shared" si="73"/>
        <v>200</v>
      </c>
      <c r="O505" s="484">
        <v>1</v>
      </c>
      <c r="P505" s="484">
        <v>1</v>
      </c>
      <c r="Q505" s="292">
        <f t="shared" si="74"/>
        <v>0</v>
      </c>
      <c r="R505" s="292">
        <f t="shared" si="75"/>
        <v>0</v>
      </c>
      <c r="S505" s="301">
        <f t="shared" si="70"/>
        <v>0</v>
      </c>
      <c r="T505" s="301">
        <f t="shared" si="71"/>
        <v>0</v>
      </c>
      <c r="U505" s="771" t="str">
        <f t="shared" si="72"/>
        <v>V</v>
      </c>
      <c r="V505" s="303"/>
      <c r="W505" s="304">
        <f>(Q505+R505)*'1.0-Contractblad'!$L$37</f>
        <v>0</v>
      </c>
      <c r="X505" s="304">
        <f ca="1">VLOOKUP(E505,'1.1a-Jaarprijzen'!$B$35:$Q$57,16,FALSE)*K505</f>
        <v>0</v>
      </c>
      <c r="Z505" s="773">
        <f t="shared" si="76"/>
        <v>358.64698820704746</v>
      </c>
      <c r="AA505" s="492" t="str">
        <f t="shared" si="77"/>
        <v>9200-200</v>
      </c>
    </row>
    <row r="506" spans="2:27" s="490" customFormat="1" ht="15">
      <c r="B506" s="330"/>
      <c r="C506" s="331"/>
      <c r="D506" s="295">
        <f>VLOOKUP(E506,'1.1a-Jaarprijzen'!$B$13:$G$32,6,FALSE)</f>
        <v>2</v>
      </c>
      <c r="E506" s="294" t="s">
        <v>889</v>
      </c>
      <c r="F506" s="295" t="s">
        <v>605</v>
      </c>
      <c r="G506" s="296" t="s">
        <v>580</v>
      </c>
      <c r="H506" s="294" t="s">
        <v>400</v>
      </c>
      <c r="I506" s="297" t="str">
        <f t="shared" si="61"/>
        <v>trappenhuis</v>
      </c>
      <c r="J506" s="295" t="s">
        <v>697</v>
      </c>
      <c r="K506" s="298">
        <v>1.7932349410352373</v>
      </c>
      <c r="L506" s="298"/>
      <c r="M506" s="299">
        <v>9200</v>
      </c>
      <c r="N506" s="300">
        <f t="shared" si="73"/>
        <v>200</v>
      </c>
      <c r="O506" s="484">
        <v>1</v>
      </c>
      <c r="P506" s="484">
        <v>1</v>
      </c>
      <c r="Q506" s="292">
        <f t="shared" si="74"/>
        <v>0</v>
      </c>
      <c r="R506" s="292">
        <f t="shared" si="75"/>
        <v>0</v>
      </c>
      <c r="S506" s="301">
        <f t="shared" si="70"/>
        <v>0</v>
      </c>
      <c r="T506" s="301">
        <f t="shared" si="71"/>
        <v>0</v>
      </c>
      <c r="U506" s="771" t="str">
        <f t="shared" si="72"/>
        <v>V</v>
      </c>
      <c r="V506" s="303"/>
      <c r="W506" s="304">
        <f>(Q506+R506)*'1.0-Contractblad'!$L$37</f>
        <v>0</v>
      </c>
      <c r="X506" s="304">
        <f ca="1">VLOOKUP(E506,'1.1a-Jaarprijzen'!$B$35:$Q$57,16,FALSE)*K506</f>
        <v>0</v>
      </c>
      <c r="Z506" s="773">
        <f t="shared" si="76"/>
        <v>358.64698820704746</v>
      </c>
      <c r="AA506" s="492" t="str">
        <f t="shared" si="77"/>
        <v>9200-200</v>
      </c>
    </row>
    <row r="507" spans="2:27" s="490" customFormat="1" ht="15">
      <c r="B507" s="330"/>
      <c r="C507" s="331"/>
      <c r="D507" s="295">
        <f>VLOOKUP(E507,'1.1a-Jaarprijzen'!$B$13:$G$32,6,FALSE)</f>
        <v>2</v>
      </c>
      <c r="E507" s="294" t="s">
        <v>889</v>
      </c>
      <c r="F507" s="295" t="s">
        <v>940</v>
      </c>
      <c r="G507" s="296" t="s">
        <v>474</v>
      </c>
      <c r="H507" s="294" t="s">
        <v>403</v>
      </c>
      <c r="I507" s="297" t="str">
        <f t="shared" si="61"/>
        <v>leslokaal groep 1 t/m 3</v>
      </c>
      <c r="J507" s="295" t="s">
        <v>465</v>
      </c>
      <c r="K507" s="298">
        <v>50.7</v>
      </c>
      <c r="L507" s="298"/>
      <c r="M507" s="299">
        <v>7200</v>
      </c>
      <c r="N507" s="300">
        <f t="shared" si="73"/>
        <v>200</v>
      </c>
      <c r="O507" s="484">
        <v>1</v>
      </c>
      <c r="P507" s="484">
        <v>1</v>
      </c>
      <c r="Q507" s="292">
        <f t="shared" si="74"/>
        <v>0</v>
      </c>
      <c r="R507" s="292">
        <f t="shared" si="75"/>
        <v>0</v>
      </c>
      <c r="S507" s="301">
        <f t="shared" si="70"/>
        <v>0</v>
      </c>
      <c r="T507" s="301">
        <f t="shared" si="71"/>
        <v>0</v>
      </c>
      <c r="U507" s="771" t="str">
        <f t="shared" si="72"/>
        <v>L</v>
      </c>
      <c r="V507" s="303"/>
      <c r="W507" s="304">
        <f>(Q507+R507)*'1.0-Contractblad'!$L$37</f>
        <v>0</v>
      </c>
      <c r="X507" s="304">
        <f ca="1">VLOOKUP(E507,'1.1a-Jaarprijzen'!$B$35:$Q$57,16,FALSE)*K507</f>
        <v>0</v>
      </c>
      <c r="Z507" s="773">
        <f t="shared" si="76"/>
        <v>10140</v>
      </c>
      <c r="AA507" s="492" t="str">
        <f t="shared" si="77"/>
        <v>7200-200</v>
      </c>
    </row>
    <row r="508" spans="2:27" s="490" customFormat="1" ht="15">
      <c r="B508" s="330"/>
      <c r="C508" s="331"/>
      <c r="D508" s="295">
        <f>VLOOKUP(E508,'1.1a-Jaarprijzen'!$B$13:$G$32,6,FALSE)</f>
        <v>2</v>
      </c>
      <c r="E508" s="294" t="s">
        <v>889</v>
      </c>
      <c r="F508" s="295" t="s">
        <v>940</v>
      </c>
      <c r="G508" s="296" t="s">
        <v>467</v>
      </c>
      <c r="H508" s="294" t="s">
        <v>672</v>
      </c>
      <c r="I508" s="297" t="str">
        <f t="shared" si="61"/>
        <v>entree, gang, hal, repro</v>
      </c>
      <c r="J508" s="298" t="s">
        <v>465</v>
      </c>
      <c r="K508" s="298">
        <v>12.6</v>
      </c>
      <c r="L508" s="298"/>
      <c r="M508" s="299">
        <v>3200</v>
      </c>
      <c r="N508" s="300">
        <f t="shared" si="73"/>
        <v>200</v>
      </c>
      <c r="O508" s="484">
        <v>1</v>
      </c>
      <c r="P508" s="484">
        <v>1</v>
      </c>
      <c r="Q508" s="292">
        <f t="shared" si="74"/>
        <v>0</v>
      </c>
      <c r="R508" s="292">
        <f t="shared" si="75"/>
        <v>0</v>
      </c>
      <c r="S508" s="301">
        <f t="shared" si="70"/>
        <v>0</v>
      </c>
      <c r="T508" s="301">
        <f t="shared" si="71"/>
        <v>0</v>
      </c>
      <c r="U508" s="771" t="str">
        <f t="shared" si="72"/>
        <v>V</v>
      </c>
      <c r="V508" s="303"/>
      <c r="W508" s="304">
        <f>(Q508+R508)*'1.0-Contractblad'!$L$37</f>
        <v>0</v>
      </c>
      <c r="X508" s="304">
        <f ca="1">VLOOKUP(E508,'1.1a-Jaarprijzen'!$B$35:$Q$57,16,FALSE)*K508</f>
        <v>0</v>
      </c>
      <c r="Z508" s="773">
        <f t="shared" si="76"/>
        <v>2520</v>
      </c>
      <c r="AA508" s="492" t="str">
        <f t="shared" si="77"/>
        <v>3200-200</v>
      </c>
    </row>
    <row r="509" spans="2:27" s="490" customFormat="1" ht="15">
      <c r="B509" s="330"/>
      <c r="C509" s="331"/>
      <c r="D509" s="295">
        <f>VLOOKUP(E509,'1.1a-Jaarprijzen'!$B$13:$G$32,6,FALSE)</f>
        <v>2</v>
      </c>
      <c r="E509" s="294" t="s">
        <v>889</v>
      </c>
      <c r="F509" s="295" t="s">
        <v>940</v>
      </c>
      <c r="G509" s="296" t="s">
        <v>468</v>
      </c>
      <c r="H509" s="294" t="s">
        <v>477</v>
      </c>
      <c r="I509" s="297" t="str">
        <f t="shared" si="61"/>
        <v>sanitaire ruimte (toilet-/doucheruimte)</v>
      </c>
      <c r="J509" s="298" t="s">
        <v>465</v>
      </c>
      <c r="K509" s="298">
        <v>3.1</v>
      </c>
      <c r="L509" s="298"/>
      <c r="M509" s="299">
        <v>4200</v>
      </c>
      <c r="N509" s="300">
        <f t="shared" si="73"/>
        <v>200</v>
      </c>
      <c r="O509" s="484">
        <v>1</v>
      </c>
      <c r="P509" s="484">
        <v>1</v>
      </c>
      <c r="Q509" s="292">
        <f t="shared" si="74"/>
        <v>0</v>
      </c>
      <c r="R509" s="292">
        <f t="shared" si="75"/>
        <v>0</v>
      </c>
      <c r="S509" s="301">
        <f t="shared" si="70"/>
        <v>0</v>
      </c>
      <c r="T509" s="301">
        <f t="shared" si="71"/>
        <v>0</v>
      </c>
      <c r="U509" s="771" t="str">
        <f t="shared" si="72"/>
        <v>S</v>
      </c>
      <c r="V509" s="303"/>
      <c r="W509" s="304">
        <f>(Q509+R509)*'1.0-Contractblad'!$L$37</f>
        <v>0</v>
      </c>
      <c r="X509" s="304">
        <f ca="1">VLOOKUP(E509,'1.1a-Jaarprijzen'!$B$35:$Q$57,16,FALSE)*K509</f>
        <v>0</v>
      </c>
      <c r="Z509" s="773">
        <f t="shared" si="76"/>
        <v>620</v>
      </c>
      <c r="AA509" s="492" t="str">
        <f t="shared" si="77"/>
        <v>4200-200</v>
      </c>
    </row>
    <row r="510" spans="2:27" s="490" customFormat="1" ht="15">
      <c r="B510" s="330"/>
      <c r="C510" s="331"/>
      <c r="D510" s="295">
        <f>VLOOKUP(E510,'1.1a-Jaarprijzen'!$B$13:$G$32,6,FALSE)</f>
        <v>2</v>
      </c>
      <c r="E510" s="294" t="s">
        <v>889</v>
      </c>
      <c r="F510" s="295" t="s">
        <v>940</v>
      </c>
      <c r="G510" s="296" t="s">
        <v>469</v>
      </c>
      <c r="H510" s="294" t="s">
        <v>403</v>
      </c>
      <c r="I510" s="297" t="str">
        <f t="shared" si="61"/>
        <v>leslokaal groep 1 t/m 3</v>
      </c>
      <c r="J510" s="295" t="s">
        <v>465</v>
      </c>
      <c r="K510" s="298">
        <v>50.7</v>
      </c>
      <c r="L510" s="298"/>
      <c r="M510" s="299">
        <v>7200</v>
      </c>
      <c r="N510" s="300">
        <f t="shared" si="73"/>
        <v>200</v>
      </c>
      <c r="O510" s="484">
        <v>1</v>
      </c>
      <c r="P510" s="484">
        <v>1</v>
      </c>
      <c r="Q510" s="292">
        <f t="shared" si="74"/>
        <v>0</v>
      </c>
      <c r="R510" s="292">
        <f t="shared" si="75"/>
        <v>0</v>
      </c>
      <c r="S510" s="301">
        <f t="shared" si="70"/>
        <v>0</v>
      </c>
      <c r="T510" s="301">
        <f t="shared" si="71"/>
        <v>0</v>
      </c>
      <c r="U510" s="771" t="str">
        <f t="shared" si="72"/>
        <v>L</v>
      </c>
      <c r="V510" s="303"/>
      <c r="W510" s="304">
        <f>(Q510+R510)*'1.0-Contractblad'!$L$37</f>
        <v>0</v>
      </c>
      <c r="X510" s="304">
        <f ca="1">VLOOKUP(E510,'1.1a-Jaarprijzen'!$B$35:$Q$57,16,FALSE)*K510</f>
        <v>0</v>
      </c>
      <c r="Z510" s="773">
        <f t="shared" si="76"/>
        <v>10140</v>
      </c>
      <c r="AA510" s="492" t="str">
        <f t="shared" si="77"/>
        <v>7200-200</v>
      </c>
    </row>
    <row r="511" spans="2:27" s="490" customFormat="1" ht="15">
      <c r="B511" s="330"/>
      <c r="C511" s="331"/>
      <c r="D511" s="295">
        <f>VLOOKUP(E511,'1.1a-Jaarprijzen'!$B$13:$G$32,6,FALSE)</f>
        <v>2</v>
      </c>
      <c r="E511" s="294" t="s">
        <v>907</v>
      </c>
      <c r="F511" s="295" t="s">
        <v>605</v>
      </c>
      <c r="G511" s="296" t="s">
        <v>474</v>
      </c>
      <c r="H511" s="294" t="s">
        <v>393</v>
      </c>
      <c r="I511" s="297" t="str">
        <f t="shared" si="61"/>
        <v>entree, gang, hal, repro</v>
      </c>
      <c r="J511" s="295" t="s">
        <v>465</v>
      </c>
      <c r="K511" s="298">
        <v>11.06</v>
      </c>
      <c r="L511" s="298"/>
      <c r="M511" s="299">
        <v>3200</v>
      </c>
      <c r="N511" s="300">
        <f t="shared" si="73"/>
        <v>200</v>
      </c>
      <c r="O511" s="484">
        <v>1</v>
      </c>
      <c r="P511" s="484">
        <v>1</v>
      </c>
      <c r="Q511" s="292">
        <f t="shared" si="74"/>
        <v>0</v>
      </c>
      <c r="R511" s="292">
        <f t="shared" si="75"/>
        <v>0</v>
      </c>
      <c r="S511" s="301">
        <f t="shared" si="70"/>
        <v>0</v>
      </c>
      <c r="T511" s="301">
        <f t="shared" si="71"/>
        <v>0</v>
      </c>
      <c r="U511" s="771" t="str">
        <f t="shared" si="72"/>
        <v>V</v>
      </c>
      <c r="V511" s="303"/>
      <c r="W511" s="304">
        <f>(Q511+R511)*'1.0-Contractblad'!$L$37</f>
        <v>0</v>
      </c>
      <c r="X511" s="304">
        <f ca="1">VLOOKUP(E511,'1.1a-Jaarprijzen'!$B$35:$Q$57,16,FALSE)*K511</f>
        <v>0</v>
      </c>
      <c r="Z511" s="773">
        <f t="shared" si="76"/>
        <v>2212</v>
      </c>
      <c r="AA511" s="492" t="str">
        <f t="shared" si="77"/>
        <v>3200-200</v>
      </c>
    </row>
    <row r="512" spans="2:27" s="490" customFormat="1" ht="15">
      <c r="B512" s="330"/>
      <c r="C512" s="331"/>
      <c r="D512" s="295">
        <f>VLOOKUP(E512,'1.1a-Jaarprijzen'!$B$13:$G$32,6,FALSE)</f>
        <v>2</v>
      </c>
      <c r="E512" s="294" t="s">
        <v>907</v>
      </c>
      <c r="F512" s="295" t="s">
        <v>605</v>
      </c>
      <c r="G512" s="296" t="s">
        <v>467</v>
      </c>
      <c r="H512" s="294" t="s">
        <v>672</v>
      </c>
      <c r="I512" s="297" t="str">
        <f t="shared" si="61"/>
        <v>entree, gang, hal, repro</v>
      </c>
      <c r="J512" s="295" t="s">
        <v>465</v>
      </c>
      <c r="K512" s="298">
        <v>115.2</v>
      </c>
      <c r="L512" s="298"/>
      <c r="M512" s="299">
        <v>3200</v>
      </c>
      <c r="N512" s="300">
        <f t="shared" si="73"/>
        <v>200</v>
      </c>
      <c r="O512" s="484">
        <v>1</v>
      </c>
      <c r="P512" s="484">
        <v>1</v>
      </c>
      <c r="Q512" s="292">
        <f t="shared" si="74"/>
        <v>0</v>
      </c>
      <c r="R512" s="292">
        <f t="shared" si="75"/>
        <v>0</v>
      </c>
      <c r="S512" s="301">
        <f t="shared" si="70"/>
        <v>0</v>
      </c>
      <c r="T512" s="301">
        <f t="shared" si="71"/>
        <v>0</v>
      </c>
      <c r="U512" s="771" t="str">
        <f t="shared" si="72"/>
        <v>V</v>
      </c>
      <c r="V512" s="303"/>
      <c r="W512" s="304">
        <f>(Q512+R512)*'1.0-Contractblad'!$L$37</f>
        <v>0</v>
      </c>
      <c r="X512" s="304">
        <f ca="1">VLOOKUP(E512,'1.1a-Jaarprijzen'!$B$35:$Q$57,16,FALSE)*K512</f>
        <v>0</v>
      </c>
      <c r="Z512" s="773">
        <f t="shared" si="76"/>
        <v>23040</v>
      </c>
      <c r="AA512" s="492" t="str">
        <f t="shared" si="77"/>
        <v>3200-200</v>
      </c>
    </row>
    <row r="513" spans="2:27" s="490" customFormat="1" ht="15">
      <c r="B513" s="330"/>
      <c r="C513" s="331"/>
      <c r="D513" s="295">
        <f>VLOOKUP(E513,'1.1a-Jaarprijzen'!$B$13:$G$32,6,FALSE)</f>
        <v>2</v>
      </c>
      <c r="E513" s="294" t="s">
        <v>907</v>
      </c>
      <c r="F513" s="295" t="s">
        <v>605</v>
      </c>
      <c r="G513" s="296" t="s">
        <v>908</v>
      </c>
      <c r="H513" s="294" t="s">
        <v>672</v>
      </c>
      <c r="I513" s="297" t="str">
        <f t="shared" si="61"/>
        <v>entree, gang, hal, repro</v>
      </c>
      <c r="J513" s="295" t="s">
        <v>465</v>
      </c>
      <c r="K513" s="298">
        <v>13.5</v>
      </c>
      <c r="L513" s="298"/>
      <c r="M513" s="299">
        <v>3200</v>
      </c>
      <c r="N513" s="300">
        <f t="shared" si="73"/>
        <v>200</v>
      </c>
      <c r="O513" s="484">
        <v>1</v>
      </c>
      <c r="P513" s="484">
        <v>1</v>
      </c>
      <c r="Q513" s="292">
        <f t="shared" si="74"/>
        <v>0</v>
      </c>
      <c r="R513" s="292">
        <f t="shared" si="75"/>
        <v>0</v>
      </c>
      <c r="S513" s="301">
        <f t="shared" si="70"/>
        <v>0</v>
      </c>
      <c r="T513" s="301">
        <f t="shared" si="71"/>
        <v>0</v>
      </c>
      <c r="U513" s="771" t="str">
        <f t="shared" si="72"/>
        <v>V</v>
      </c>
      <c r="V513" s="303"/>
      <c r="W513" s="304">
        <f>(Q513+R513)*'1.0-Contractblad'!$L$37</f>
        <v>0</v>
      </c>
      <c r="X513" s="304">
        <f ca="1">VLOOKUP(E513,'1.1a-Jaarprijzen'!$B$35:$Q$57,16,FALSE)*K513</f>
        <v>0</v>
      </c>
      <c r="Z513" s="773">
        <f t="shared" si="76"/>
        <v>2700</v>
      </c>
      <c r="AA513" s="492" t="str">
        <f t="shared" si="77"/>
        <v>3200-200</v>
      </c>
    </row>
    <row r="514" spans="2:27" s="490" customFormat="1" ht="15">
      <c r="B514" s="330"/>
      <c r="C514" s="331"/>
      <c r="D514" s="295">
        <f>VLOOKUP(E514,'1.1a-Jaarprijzen'!$B$13:$G$32,6,FALSE)</f>
        <v>2</v>
      </c>
      <c r="E514" s="294" t="s">
        <v>907</v>
      </c>
      <c r="F514" s="295" t="s">
        <v>605</v>
      </c>
      <c r="G514" s="296" t="s">
        <v>468</v>
      </c>
      <c r="H514" s="294" t="s">
        <v>796</v>
      </c>
      <c r="I514" s="297" t="str">
        <f t="shared" si="61"/>
        <v>aula, gemeenschappelijke ruimte, bibliotheek</v>
      </c>
      <c r="J514" s="295" t="s">
        <v>465</v>
      </c>
      <c r="K514" s="298">
        <v>5</v>
      </c>
      <c r="L514" s="298"/>
      <c r="M514" s="299">
        <v>2200</v>
      </c>
      <c r="N514" s="300">
        <f t="shared" si="73"/>
        <v>200</v>
      </c>
      <c r="O514" s="484">
        <v>1</v>
      </c>
      <c r="P514" s="484">
        <v>1</v>
      </c>
      <c r="Q514" s="292">
        <f t="shared" si="74"/>
        <v>0</v>
      </c>
      <c r="R514" s="292">
        <f t="shared" si="75"/>
        <v>0</v>
      </c>
      <c r="S514" s="301">
        <f t="shared" si="70"/>
        <v>0</v>
      </c>
      <c r="T514" s="301">
        <f t="shared" si="71"/>
        <v>0</v>
      </c>
      <c r="U514" s="771" t="str">
        <f t="shared" si="72"/>
        <v>V</v>
      </c>
      <c r="V514" s="303"/>
      <c r="W514" s="304">
        <f>(Q514+R514)*'1.0-Contractblad'!$L$37</f>
        <v>0</v>
      </c>
      <c r="X514" s="304">
        <f ca="1">VLOOKUP(E514,'1.1a-Jaarprijzen'!$B$35:$Q$57,16,FALSE)*K514</f>
        <v>0</v>
      </c>
      <c r="Z514" s="773">
        <f t="shared" si="76"/>
        <v>1000</v>
      </c>
      <c r="AA514" s="492" t="str">
        <f t="shared" si="77"/>
        <v>2200-200</v>
      </c>
    </row>
    <row r="515" spans="2:27" s="490" customFormat="1" ht="15">
      <c r="B515" s="330"/>
      <c r="C515" s="331"/>
      <c r="D515" s="295">
        <f>VLOOKUP(E515,'1.1a-Jaarprijzen'!$B$13:$G$32,6,FALSE)</f>
        <v>2</v>
      </c>
      <c r="E515" s="294" t="s">
        <v>907</v>
      </c>
      <c r="F515" s="295" t="s">
        <v>605</v>
      </c>
      <c r="G515" s="296" t="s">
        <v>469</v>
      </c>
      <c r="H515" s="294" t="s">
        <v>909</v>
      </c>
      <c r="I515" s="297" t="str">
        <f t="shared" si="61"/>
        <v>entree, gang, hal, repro</v>
      </c>
      <c r="J515" s="295" t="s">
        <v>465</v>
      </c>
      <c r="K515" s="298">
        <v>8.3999999999999986</v>
      </c>
      <c r="L515" s="298"/>
      <c r="M515" s="299">
        <v>3200</v>
      </c>
      <c r="N515" s="300">
        <f t="shared" si="73"/>
        <v>200</v>
      </c>
      <c r="O515" s="484">
        <v>1</v>
      </c>
      <c r="P515" s="484">
        <v>1</v>
      </c>
      <c r="Q515" s="292">
        <f t="shared" si="74"/>
        <v>0</v>
      </c>
      <c r="R515" s="292">
        <f t="shared" si="75"/>
        <v>0</v>
      </c>
      <c r="S515" s="301">
        <f t="shared" si="70"/>
        <v>0</v>
      </c>
      <c r="T515" s="301">
        <f t="shared" si="71"/>
        <v>0</v>
      </c>
      <c r="U515" s="771" t="str">
        <f t="shared" si="72"/>
        <v>V</v>
      </c>
      <c r="V515" s="303"/>
      <c r="W515" s="304">
        <f>(Q515+R515)*'1.0-Contractblad'!$L$37</f>
        <v>0</v>
      </c>
      <c r="X515" s="304">
        <f ca="1">VLOOKUP(E515,'1.1a-Jaarprijzen'!$B$35:$Q$57,16,FALSE)*K515</f>
        <v>0</v>
      </c>
      <c r="Z515" s="773">
        <f t="shared" si="76"/>
        <v>1679.9999999999998</v>
      </c>
      <c r="AA515" s="492" t="str">
        <f t="shared" si="77"/>
        <v>3200-200</v>
      </c>
    </row>
    <row r="516" spans="2:27" s="490" customFormat="1" ht="15">
      <c r="B516" s="330"/>
      <c r="C516" s="331"/>
      <c r="D516" s="295">
        <f>VLOOKUP(E516,'1.1a-Jaarprijzen'!$B$13:$G$32,6,FALSE)</f>
        <v>2</v>
      </c>
      <c r="E516" s="294" t="s">
        <v>907</v>
      </c>
      <c r="F516" s="295" t="s">
        <v>605</v>
      </c>
      <c r="G516" s="296" t="s">
        <v>470</v>
      </c>
      <c r="H516" s="294" t="s">
        <v>391</v>
      </c>
      <c r="I516" s="297" t="str">
        <f t="shared" si="61"/>
        <v>niet van toepassing</v>
      </c>
      <c r="J516" s="295" t="s">
        <v>465</v>
      </c>
      <c r="K516" s="298"/>
      <c r="L516" s="298">
        <v>5.6</v>
      </c>
      <c r="M516" s="299" t="s">
        <v>17</v>
      </c>
      <c r="N516" s="300">
        <f t="shared" si="73"/>
        <v>0</v>
      </c>
      <c r="O516" s="484">
        <v>1</v>
      </c>
      <c r="P516" s="484">
        <v>1</v>
      </c>
      <c r="Q516" s="292">
        <f t="shared" si="74"/>
        <v>0</v>
      </c>
      <c r="R516" s="292">
        <f t="shared" si="75"/>
        <v>0</v>
      </c>
      <c r="S516" s="301">
        <f t="shared" si="70"/>
        <v>0</v>
      </c>
      <c r="T516" s="301">
        <f t="shared" si="71"/>
        <v>0</v>
      </c>
      <c r="U516" s="771">
        <f t="shared" si="72"/>
        <v>0</v>
      </c>
      <c r="V516" s="303"/>
      <c r="W516" s="304">
        <f>(Q516+R516)*'1.0-Contractblad'!$L$37</f>
        <v>0</v>
      </c>
      <c r="X516" s="304">
        <f ca="1">VLOOKUP(E516,'1.1a-Jaarprijzen'!$B$35:$Q$57,16,FALSE)*K516</f>
        <v>0</v>
      </c>
      <c r="Z516" s="773">
        <f t="shared" si="76"/>
        <v>0</v>
      </c>
      <c r="AA516" s="492" t="str">
        <f t="shared" si="77"/>
        <v>nvt-0</v>
      </c>
    </row>
    <row r="517" spans="2:27" s="490" customFormat="1" ht="15">
      <c r="B517" s="330"/>
      <c r="C517" s="331"/>
      <c r="D517" s="295">
        <f>VLOOKUP(E517,'1.1a-Jaarprijzen'!$B$13:$G$32,6,FALSE)</f>
        <v>2</v>
      </c>
      <c r="E517" s="294" t="s">
        <v>907</v>
      </c>
      <c r="F517" s="295" t="s">
        <v>605</v>
      </c>
      <c r="G517" s="296" t="s">
        <v>471</v>
      </c>
      <c r="H517" s="294" t="s">
        <v>910</v>
      </c>
      <c r="I517" s="297" t="str">
        <f t="shared" si="61"/>
        <v>niet van toepassing</v>
      </c>
      <c r="J517" s="295" t="s">
        <v>465</v>
      </c>
      <c r="K517" s="298"/>
      <c r="L517" s="298">
        <v>15.299999999999999</v>
      </c>
      <c r="M517" s="299" t="s">
        <v>17</v>
      </c>
      <c r="N517" s="300">
        <f t="shared" si="73"/>
        <v>0</v>
      </c>
      <c r="O517" s="484">
        <v>1</v>
      </c>
      <c r="P517" s="484">
        <v>1</v>
      </c>
      <c r="Q517" s="292">
        <f t="shared" si="74"/>
        <v>0</v>
      </c>
      <c r="R517" s="292">
        <f t="shared" si="75"/>
        <v>0</v>
      </c>
      <c r="S517" s="301">
        <f t="shared" si="70"/>
        <v>0</v>
      </c>
      <c r="T517" s="301">
        <f t="shared" si="71"/>
        <v>0</v>
      </c>
      <c r="U517" s="771">
        <f t="shared" si="72"/>
        <v>0</v>
      </c>
      <c r="V517" s="303"/>
      <c r="W517" s="304">
        <f>(Q517+R517)*'1.0-Contractblad'!$L$37</f>
        <v>0</v>
      </c>
      <c r="X517" s="304">
        <f ca="1">VLOOKUP(E517,'1.1a-Jaarprijzen'!$B$35:$Q$57,16,FALSE)*K517</f>
        <v>0</v>
      </c>
      <c r="Z517" s="773">
        <f t="shared" si="76"/>
        <v>0</v>
      </c>
      <c r="AA517" s="492" t="str">
        <f t="shared" si="77"/>
        <v>nvt-0</v>
      </c>
    </row>
    <row r="518" spans="2:27" s="490" customFormat="1" ht="15">
      <c r="B518" s="330"/>
      <c r="C518" s="331"/>
      <c r="D518" s="295">
        <f>VLOOKUP(E518,'1.1a-Jaarprijzen'!$B$13:$G$32,6,FALSE)</f>
        <v>2</v>
      </c>
      <c r="E518" s="294" t="s">
        <v>907</v>
      </c>
      <c r="F518" s="295" t="s">
        <v>605</v>
      </c>
      <c r="G518" s="296" t="s">
        <v>472</v>
      </c>
      <c r="H518" s="294" t="s">
        <v>398</v>
      </c>
      <c r="I518" s="297" t="str">
        <f t="shared" si="61"/>
        <v>niet van toepassing</v>
      </c>
      <c r="J518" s="295" t="s">
        <v>465</v>
      </c>
      <c r="K518" s="298"/>
      <c r="L518" s="298">
        <v>11.559999999999999</v>
      </c>
      <c r="M518" s="299" t="s">
        <v>17</v>
      </c>
      <c r="N518" s="300">
        <f t="shared" si="73"/>
        <v>0</v>
      </c>
      <c r="O518" s="484">
        <v>1</v>
      </c>
      <c r="P518" s="484">
        <v>1</v>
      </c>
      <c r="Q518" s="292">
        <f t="shared" si="74"/>
        <v>0</v>
      </c>
      <c r="R518" s="292">
        <f t="shared" si="75"/>
        <v>0</v>
      </c>
      <c r="S518" s="301">
        <f t="shared" si="70"/>
        <v>0</v>
      </c>
      <c r="T518" s="301">
        <f t="shared" si="71"/>
        <v>0</v>
      </c>
      <c r="U518" s="771">
        <f t="shared" si="72"/>
        <v>0</v>
      </c>
      <c r="V518" s="303"/>
      <c r="W518" s="304">
        <f>(Q518+R518)*'1.0-Contractblad'!$L$37</f>
        <v>0</v>
      </c>
      <c r="X518" s="304">
        <f ca="1">VLOOKUP(E518,'1.1a-Jaarprijzen'!$B$35:$Q$57,16,FALSE)*K518</f>
        <v>0</v>
      </c>
      <c r="Z518" s="773">
        <f t="shared" si="76"/>
        <v>0</v>
      </c>
      <c r="AA518" s="492" t="str">
        <f t="shared" si="77"/>
        <v>nvt-0</v>
      </c>
    </row>
    <row r="519" spans="2:27" s="490" customFormat="1" ht="15">
      <c r="B519" s="330"/>
      <c r="C519" s="331"/>
      <c r="D519" s="295">
        <f>VLOOKUP(E519,'1.1a-Jaarprijzen'!$B$13:$G$32,6,FALSE)</f>
        <v>2</v>
      </c>
      <c r="E519" s="294" t="s">
        <v>907</v>
      </c>
      <c r="F519" s="295" t="s">
        <v>605</v>
      </c>
      <c r="G519" s="296" t="s">
        <v>473</v>
      </c>
      <c r="H519" s="294" t="s">
        <v>476</v>
      </c>
      <c r="I519" s="297" t="str">
        <f t="shared" si="61"/>
        <v>Kinderopvang</v>
      </c>
      <c r="J519" s="295" t="s">
        <v>465</v>
      </c>
      <c r="K519" s="298">
        <v>86.25</v>
      </c>
      <c r="L519" s="298"/>
      <c r="M519" s="299">
        <v>22260</v>
      </c>
      <c r="N519" s="300">
        <f t="shared" si="73"/>
        <v>260</v>
      </c>
      <c r="O519" s="484">
        <v>1</v>
      </c>
      <c r="P519" s="484">
        <v>1</v>
      </c>
      <c r="Q519" s="292">
        <f t="shared" si="74"/>
        <v>0</v>
      </c>
      <c r="R519" s="292">
        <f t="shared" si="75"/>
        <v>0</v>
      </c>
      <c r="S519" s="301">
        <f t="shared" si="70"/>
        <v>0</v>
      </c>
      <c r="T519" s="301">
        <f t="shared" si="71"/>
        <v>0</v>
      </c>
      <c r="U519" s="771" t="str">
        <f t="shared" si="72"/>
        <v>L</v>
      </c>
      <c r="V519" s="303"/>
      <c r="W519" s="304">
        <f>(Q519+R519)*'1.0-Contractblad'!$L$37</f>
        <v>0</v>
      </c>
      <c r="X519" s="304">
        <f ca="1">VLOOKUP(E519,'1.1a-Jaarprijzen'!$B$35:$Q$57,16,FALSE)*K519</f>
        <v>0</v>
      </c>
      <c r="Z519" s="773">
        <f t="shared" si="76"/>
        <v>22425</v>
      </c>
      <c r="AA519" s="492" t="str">
        <f t="shared" si="77"/>
        <v>22260-260</v>
      </c>
    </row>
    <row r="520" spans="2:27" s="490" customFormat="1" ht="15">
      <c r="B520" s="330"/>
      <c r="C520" s="331"/>
      <c r="D520" s="295">
        <f>VLOOKUP(E520,'1.1a-Jaarprijzen'!$B$13:$G$32,6,FALSE)</f>
        <v>2</v>
      </c>
      <c r="E520" s="294" t="s">
        <v>907</v>
      </c>
      <c r="F520" s="295" t="s">
        <v>605</v>
      </c>
      <c r="G520" s="296" t="s">
        <v>597</v>
      </c>
      <c r="H520" s="294" t="s">
        <v>403</v>
      </c>
      <c r="I520" s="297" t="str">
        <f t="shared" si="61"/>
        <v>leslokaal groep 1 t/m 3</v>
      </c>
      <c r="J520" s="295" t="s">
        <v>465</v>
      </c>
      <c r="K520" s="298">
        <v>52.2</v>
      </c>
      <c r="L520" s="298"/>
      <c r="M520" s="299">
        <v>7200</v>
      </c>
      <c r="N520" s="300">
        <f t="shared" si="73"/>
        <v>200</v>
      </c>
      <c r="O520" s="484">
        <v>1</v>
      </c>
      <c r="P520" s="484">
        <v>1</v>
      </c>
      <c r="Q520" s="292">
        <f t="shared" si="74"/>
        <v>0</v>
      </c>
      <c r="R520" s="292">
        <f t="shared" si="75"/>
        <v>0</v>
      </c>
      <c r="S520" s="301">
        <f t="shared" si="70"/>
        <v>0</v>
      </c>
      <c r="T520" s="301">
        <f t="shared" si="71"/>
        <v>0</v>
      </c>
      <c r="U520" s="771" t="str">
        <f t="shared" si="72"/>
        <v>L</v>
      </c>
      <c r="V520" s="303"/>
      <c r="W520" s="304">
        <f>(Q520+R520)*'1.0-Contractblad'!$L$37</f>
        <v>0</v>
      </c>
      <c r="X520" s="304">
        <f ca="1">VLOOKUP(E520,'1.1a-Jaarprijzen'!$B$35:$Q$57,16,FALSE)*K520</f>
        <v>0</v>
      </c>
      <c r="Z520" s="773">
        <f t="shared" si="76"/>
        <v>10440</v>
      </c>
      <c r="AA520" s="492" t="str">
        <f t="shared" si="77"/>
        <v>7200-200</v>
      </c>
    </row>
    <row r="521" spans="2:27" s="490" customFormat="1" ht="15">
      <c r="B521" s="330"/>
      <c r="C521" s="331"/>
      <c r="D521" s="295">
        <f>VLOOKUP(E521,'1.1a-Jaarprijzen'!$B$13:$G$32,6,FALSE)</f>
        <v>2</v>
      </c>
      <c r="E521" s="294" t="s">
        <v>907</v>
      </c>
      <c r="F521" s="295" t="s">
        <v>605</v>
      </c>
      <c r="G521" s="296" t="s">
        <v>598</v>
      </c>
      <c r="H521" s="294" t="s">
        <v>403</v>
      </c>
      <c r="I521" s="297" t="str">
        <f t="shared" si="61"/>
        <v>leslokaal groep 1 t/m 3</v>
      </c>
      <c r="J521" s="295" t="s">
        <v>465</v>
      </c>
      <c r="K521" s="298">
        <v>52.2</v>
      </c>
      <c r="L521" s="298"/>
      <c r="M521" s="299">
        <v>7200</v>
      </c>
      <c r="N521" s="300">
        <f t="shared" si="73"/>
        <v>200</v>
      </c>
      <c r="O521" s="484">
        <v>1</v>
      </c>
      <c r="P521" s="484">
        <v>1</v>
      </c>
      <c r="Q521" s="292">
        <f t="shared" si="74"/>
        <v>0</v>
      </c>
      <c r="R521" s="292">
        <f t="shared" si="75"/>
        <v>0</v>
      </c>
      <c r="S521" s="301">
        <f t="shared" si="70"/>
        <v>0</v>
      </c>
      <c r="T521" s="301">
        <f t="shared" si="71"/>
        <v>0</v>
      </c>
      <c r="U521" s="771" t="str">
        <f t="shared" si="72"/>
        <v>L</v>
      </c>
      <c r="V521" s="303"/>
      <c r="W521" s="304">
        <f>(Q521+R521)*'1.0-Contractblad'!$L$37</f>
        <v>0</v>
      </c>
      <c r="X521" s="304">
        <f ca="1">VLOOKUP(E521,'1.1a-Jaarprijzen'!$B$35:$Q$57,16,FALSE)*K521</f>
        <v>0</v>
      </c>
      <c r="Z521" s="773">
        <f t="shared" si="76"/>
        <v>10440</v>
      </c>
      <c r="AA521" s="492" t="str">
        <f t="shared" si="77"/>
        <v>7200-200</v>
      </c>
    </row>
    <row r="522" spans="2:27" s="490" customFormat="1" ht="15">
      <c r="B522" s="330"/>
      <c r="C522" s="331"/>
      <c r="D522" s="295">
        <f>VLOOKUP(E522,'1.1a-Jaarprijzen'!$B$13:$G$32,6,FALSE)</f>
        <v>2</v>
      </c>
      <c r="E522" s="294" t="s">
        <v>907</v>
      </c>
      <c r="F522" s="295" t="s">
        <v>605</v>
      </c>
      <c r="G522" s="296" t="s">
        <v>599</v>
      </c>
      <c r="H522" s="294" t="s">
        <v>403</v>
      </c>
      <c r="I522" s="297" t="str">
        <f t="shared" si="61"/>
        <v>leslokaal groep 1 t/m 3</v>
      </c>
      <c r="J522" s="295" t="s">
        <v>465</v>
      </c>
      <c r="K522" s="298">
        <v>54</v>
      </c>
      <c r="L522" s="298"/>
      <c r="M522" s="299">
        <v>7200</v>
      </c>
      <c r="N522" s="300">
        <f t="shared" si="73"/>
        <v>200</v>
      </c>
      <c r="O522" s="484">
        <v>1</v>
      </c>
      <c r="P522" s="484">
        <v>1</v>
      </c>
      <c r="Q522" s="292">
        <f t="shared" si="74"/>
        <v>0</v>
      </c>
      <c r="R522" s="292">
        <f t="shared" si="75"/>
        <v>0</v>
      </c>
      <c r="S522" s="301">
        <f t="shared" si="70"/>
        <v>0</v>
      </c>
      <c r="T522" s="301">
        <f t="shared" si="71"/>
        <v>0</v>
      </c>
      <c r="U522" s="771" t="str">
        <f t="shared" si="72"/>
        <v>L</v>
      </c>
      <c r="V522" s="303"/>
      <c r="W522" s="304">
        <f>(Q522+R522)*'1.0-Contractblad'!$L$37</f>
        <v>0</v>
      </c>
      <c r="X522" s="304">
        <f ca="1">VLOOKUP(E522,'1.1a-Jaarprijzen'!$B$35:$Q$57,16,FALSE)*K522</f>
        <v>0</v>
      </c>
      <c r="Z522" s="773">
        <f t="shared" si="76"/>
        <v>10800</v>
      </c>
      <c r="AA522" s="492" t="str">
        <f t="shared" si="77"/>
        <v>7200-200</v>
      </c>
    </row>
    <row r="523" spans="2:27" s="490" customFormat="1" ht="15">
      <c r="B523" s="330"/>
      <c r="C523" s="331"/>
      <c r="D523" s="295">
        <f>VLOOKUP(E523,'1.1a-Jaarprijzen'!$B$13:$G$32,6,FALSE)</f>
        <v>2</v>
      </c>
      <c r="E523" s="294" t="s">
        <v>907</v>
      </c>
      <c r="F523" s="295" t="s">
        <v>605</v>
      </c>
      <c r="G523" s="296" t="s">
        <v>607</v>
      </c>
      <c r="H523" s="294" t="s">
        <v>403</v>
      </c>
      <c r="I523" s="297" t="str">
        <f t="shared" si="61"/>
        <v>leslokaal groep 1 t/m 3</v>
      </c>
      <c r="J523" s="295" t="s">
        <v>465</v>
      </c>
      <c r="K523" s="298">
        <v>52</v>
      </c>
      <c r="L523" s="298"/>
      <c r="M523" s="299">
        <v>7200</v>
      </c>
      <c r="N523" s="300">
        <f t="shared" si="73"/>
        <v>200</v>
      </c>
      <c r="O523" s="484">
        <v>1</v>
      </c>
      <c r="P523" s="484">
        <v>1</v>
      </c>
      <c r="Q523" s="292">
        <f t="shared" si="74"/>
        <v>0</v>
      </c>
      <c r="R523" s="292">
        <f t="shared" si="75"/>
        <v>0</v>
      </c>
      <c r="S523" s="301">
        <f t="shared" si="70"/>
        <v>0</v>
      </c>
      <c r="T523" s="301">
        <f t="shared" si="71"/>
        <v>0</v>
      </c>
      <c r="U523" s="771" t="str">
        <f t="shared" si="72"/>
        <v>L</v>
      </c>
      <c r="V523" s="303"/>
      <c r="W523" s="304">
        <f>(Q523+R523)*'1.0-Contractblad'!$L$37</f>
        <v>0</v>
      </c>
      <c r="X523" s="304">
        <f ca="1">VLOOKUP(E523,'1.1a-Jaarprijzen'!$B$35:$Q$57,16,FALSE)*K523</f>
        <v>0</v>
      </c>
      <c r="Z523" s="773">
        <f t="shared" si="76"/>
        <v>10400</v>
      </c>
      <c r="AA523" s="492" t="str">
        <f t="shared" si="77"/>
        <v>7200-200</v>
      </c>
    </row>
    <row r="524" spans="2:27" s="490" customFormat="1" ht="15">
      <c r="B524" s="330"/>
      <c r="C524" s="331"/>
      <c r="D524" s="295">
        <f>VLOOKUP(E524,'1.1a-Jaarprijzen'!$B$13:$G$32,6,FALSE)</f>
        <v>2</v>
      </c>
      <c r="E524" s="294" t="s">
        <v>907</v>
      </c>
      <c r="F524" s="295" t="s">
        <v>605</v>
      </c>
      <c r="G524" s="296" t="s">
        <v>608</v>
      </c>
      <c r="H524" s="294" t="s">
        <v>387</v>
      </c>
      <c r="I524" s="297" t="str">
        <f t="shared" si="61"/>
        <v>entree, gang, hal, repro</v>
      </c>
      <c r="J524" s="295" t="s">
        <v>465</v>
      </c>
      <c r="K524" s="298">
        <v>16.2</v>
      </c>
      <c r="L524" s="298"/>
      <c r="M524" s="299">
        <v>3200</v>
      </c>
      <c r="N524" s="300">
        <f t="shared" si="73"/>
        <v>200</v>
      </c>
      <c r="O524" s="484">
        <v>1</v>
      </c>
      <c r="P524" s="484">
        <v>1</v>
      </c>
      <c r="Q524" s="292">
        <f t="shared" si="74"/>
        <v>0</v>
      </c>
      <c r="R524" s="292">
        <f t="shared" si="75"/>
        <v>0</v>
      </c>
      <c r="S524" s="301">
        <f t="shared" si="70"/>
        <v>0</v>
      </c>
      <c r="T524" s="301">
        <f t="shared" si="71"/>
        <v>0</v>
      </c>
      <c r="U524" s="771" t="str">
        <f t="shared" si="72"/>
        <v>V</v>
      </c>
      <c r="V524" s="303"/>
      <c r="W524" s="304">
        <f>(Q524+R524)*'1.0-Contractblad'!$L$37</f>
        <v>0</v>
      </c>
      <c r="X524" s="304">
        <f ca="1">VLOOKUP(E524,'1.1a-Jaarprijzen'!$B$35:$Q$57,16,FALSE)*K524</f>
        <v>0</v>
      </c>
      <c r="Z524" s="773">
        <f t="shared" si="76"/>
        <v>3240</v>
      </c>
      <c r="AA524" s="492" t="str">
        <f t="shared" si="77"/>
        <v>3200-200</v>
      </c>
    </row>
    <row r="525" spans="2:27" s="490" customFormat="1" ht="15">
      <c r="B525" s="330"/>
      <c r="C525" s="331"/>
      <c r="D525" s="295">
        <f>VLOOKUP(E525,'1.1a-Jaarprijzen'!$B$13:$G$32,6,FALSE)</f>
        <v>2</v>
      </c>
      <c r="E525" s="294" t="s">
        <v>907</v>
      </c>
      <c r="F525" s="295" t="s">
        <v>605</v>
      </c>
      <c r="G525" s="296" t="s">
        <v>609</v>
      </c>
      <c r="H525" s="294" t="s">
        <v>911</v>
      </c>
      <c r="I525" s="297" t="str">
        <f t="shared" si="61"/>
        <v>sanitaire ruimte (toilet-/doucheruimte)</v>
      </c>
      <c r="J525" s="295" t="s">
        <v>465</v>
      </c>
      <c r="K525" s="298">
        <v>7</v>
      </c>
      <c r="L525" s="298"/>
      <c r="M525" s="299">
        <v>4200</v>
      </c>
      <c r="N525" s="300">
        <f t="shared" si="73"/>
        <v>200</v>
      </c>
      <c r="O525" s="484">
        <v>1</v>
      </c>
      <c r="P525" s="484">
        <v>1</v>
      </c>
      <c r="Q525" s="292">
        <f t="shared" si="74"/>
        <v>0</v>
      </c>
      <c r="R525" s="292">
        <f t="shared" si="75"/>
        <v>0</v>
      </c>
      <c r="S525" s="301">
        <f t="shared" si="70"/>
        <v>0</v>
      </c>
      <c r="T525" s="301">
        <f t="shared" si="71"/>
        <v>0</v>
      </c>
      <c r="U525" s="771" t="str">
        <f t="shared" si="72"/>
        <v>S</v>
      </c>
      <c r="V525" s="303"/>
      <c r="W525" s="304">
        <f>(Q525+R525)*'1.0-Contractblad'!$L$37</f>
        <v>0</v>
      </c>
      <c r="X525" s="304">
        <f ca="1">VLOOKUP(E525,'1.1a-Jaarprijzen'!$B$35:$Q$57,16,FALSE)*K525</f>
        <v>0</v>
      </c>
      <c r="Z525" s="773">
        <f t="shared" si="76"/>
        <v>1400</v>
      </c>
      <c r="AA525" s="492" t="str">
        <f t="shared" si="77"/>
        <v>4200-200</v>
      </c>
    </row>
    <row r="526" spans="2:27" s="490" customFormat="1" ht="15">
      <c r="B526" s="330"/>
      <c r="C526" s="331"/>
      <c r="D526" s="295">
        <f>VLOOKUP(E526,'1.1a-Jaarprijzen'!$B$13:$G$32,6,FALSE)</f>
        <v>2</v>
      </c>
      <c r="E526" s="294" t="s">
        <v>907</v>
      </c>
      <c r="F526" s="295" t="s">
        <v>605</v>
      </c>
      <c r="G526" s="296" t="s">
        <v>610</v>
      </c>
      <c r="H526" s="294" t="s">
        <v>912</v>
      </c>
      <c r="I526" s="297" t="str">
        <f t="shared" si="61"/>
        <v>sanitaire ruimte (toilet-/doucheruimte)</v>
      </c>
      <c r="J526" s="295" t="s">
        <v>465</v>
      </c>
      <c r="K526" s="298">
        <v>7</v>
      </c>
      <c r="L526" s="298"/>
      <c r="M526" s="299">
        <v>4200</v>
      </c>
      <c r="N526" s="300">
        <f t="shared" si="73"/>
        <v>200</v>
      </c>
      <c r="O526" s="484">
        <v>1</v>
      </c>
      <c r="P526" s="484">
        <v>1</v>
      </c>
      <c r="Q526" s="292">
        <f t="shared" si="74"/>
        <v>0</v>
      </c>
      <c r="R526" s="292">
        <f t="shared" si="75"/>
        <v>0</v>
      </c>
      <c r="S526" s="301">
        <f t="shared" si="70"/>
        <v>0</v>
      </c>
      <c r="T526" s="301">
        <f t="shared" si="71"/>
        <v>0</v>
      </c>
      <c r="U526" s="771" t="str">
        <f t="shared" si="72"/>
        <v>S</v>
      </c>
      <c r="V526" s="303"/>
      <c r="W526" s="304">
        <f>(Q526+R526)*'1.0-Contractblad'!$L$37</f>
        <v>0</v>
      </c>
      <c r="X526" s="304">
        <f ca="1">VLOOKUP(E526,'1.1a-Jaarprijzen'!$B$35:$Q$57,16,FALSE)*K526</f>
        <v>0</v>
      </c>
      <c r="Z526" s="773">
        <f t="shared" si="76"/>
        <v>1400</v>
      </c>
      <c r="AA526" s="492" t="str">
        <f t="shared" si="77"/>
        <v>4200-200</v>
      </c>
    </row>
    <row r="527" spans="2:27" s="490" customFormat="1" ht="15">
      <c r="B527" s="330"/>
      <c r="C527" s="331"/>
      <c r="D527" s="295">
        <f>VLOOKUP(E527,'1.1a-Jaarprijzen'!$B$13:$G$32,6,FALSE)</f>
        <v>2</v>
      </c>
      <c r="E527" s="294" t="s">
        <v>907</v>
      </c>
      <c r="F527" s="295" t="s">
        <v>605</v>
      </c>
      <c r="G527" s="296" t="s">
        <v>613</v>
      </c>
      <c r="H527" s="294" t="s">
        <v>393</v>
      </c>
      <c r="I527" s="297" t="str">
        <f t="shared" si="61"/>
        <v>entree, gang, hal, repro</v>
      </c>
      <c r="J527" s="295" t="s">
        <v>465</v>
      </c>
      <c r="K527" s="298">
        <v>10.4</v>
      </c>
      <c r="L527" s="298"/>
      <c r="M527" s="299">
        <v>3200</v>
      </c>
      <c r="N527" s="300">
        <f t="shared" si="73"/>
        <v>200</v>
      </c>
      <c r="O527" s="484">
        <v>1</v>
      </c>
      <c r="P527" s="484">
        <v>1</v>
      </c>
      <c r="Q527" s="292">
        <f t="shared" si="74"/>
        <v>0</v>
      </c>
      <c r="R527" s="292">
        <f t="shared" si="75"/>
        <v>0</v>
      </c>
      <c r="S527" s="301">
        <f t="shared" si="70"/>
        <v>0</v>
      </c>
      <c r="T527" s="301">
        <f t="shared" si="71"/>
        <v>0</v>
      </c>
      <c r="U527" s="771" t="str">
        <f t="shared" si="72"/>
        <v>V</v>
      </c>
      <c r="V527" s="303"/>
      <c r="W527" s="304">
        <f>(Q527+R527)*'1.0-Contractblad'!$L$37</f>
        <v>0</v>
      </c>
      <c r="X527" s="304">
        <f ca="1">VLOOKUP(E527,'1.1a-Jaarprijzen'!$B$35:$Q$57,16,FALSE)*K527</f>
        <v>0</v>
      </c>
      <c r="Z527" s="773">
        <f t="shared" si="76"/>
        <v>2080</v>
      </c>
      <c r="AA527" s="492" t="str">
        <f t="shared" si="77"/>
        <v>3200-200</v>
      </c>
    </row>
    <row r="528" spans="2:27" s="490" customFormat="1" ht="15">
      <c r="B528" s="330"/>
      <c r="C528" s="331"/>
      <c r="D528" s="295">
        <f>VLOOKUP(E528,'1.1a-Jaarprijzen'!$B$13:$G$32,6,FALSE)</f>
        <v>2</v>
      </c>
      <c r="E528" s="294" t="s">
        <v>907</v>
      </c>
      <c r="F528" s="295" t="s">
        <v>605</v>
      </c>
      <c r="G528" s="296" t="s">
        <v>614</v>
      </c>
      <c r="H528" s="294" t="s">
        <v>391</v>
      </c>
      <c r="I528" s="297" t="str">
        <f t="shared" si="61"/>
        <v>niet van toepassing</v>
      </c>
      <c r="J528" s="295" t="s">
        <v>465</v>
      </c>
      <c r="K528" s="298"/>
      <c r="L528" s="298">
        <v>4.8</v>
      </c>
      <c r="M528" s="299" t="s">
        <v>17</v>
      </c>
      <c r="N528" s="300">
        <f t="shared" si="73"/>
        <v>0</v>
      </c>
      <c r="O528" s="484">
        <v>1</v>
      </c>
      <c r="P528" s="484">
        <v>1</v>
      </c>
      <c r="Q528" s="292">
        <f t="shared" si="74"/>
        <v>0</v>
      </c>
      <c r="R528" s="292">
        <f t="shared" si="75"/>
        <v>0</v>
      </c>
      <c r="S528" s="301">
        <f t="shared" si="70"/>
        <v>0</v>
      </c>
      <c r="T528" s="301">
        <f t="shared" si="71"/>
        <v>0</v>
      </c>
      <c r="U528" s="771">
        <f t="shared" si="72"/>
        <v>0</v>
      </c>
      <c r="V528" s="303"/>
      <c r="W528" s="304">
        <f>(Q528+R528)*'1.0-Contractblad'!$L$37</f>
        <v>0</v>
      </c>
      <c r="X528" s="304">
        <f ca="1">VLOOKUP(E528,'1.1a-Jaarprijzen'!$B$35:$Q$57,16,FALSE)*K528</f>
        <v>0</v>
      </c>
      <c r="Z528" s="773">
        <f t="shared" si="76"/>
        <v>0</v>
      </c>
      <c r="AA528" s="492" t="str">
        <f t="shared" si="77"/>
        <v>nvt-0</v>
      </c>
    </row>
    <row r="529" spans="2:27" s="490" customFormat="1" ht="15">
      <c r="B529" s="330"/>
      <c r="C529" s="331"/>
      <c r="D529" s="295">
        <f>VLOOKUP(E529,'1.1a-Jaarprijzen'!$B$13:$G$32,6,FALSE)</f>
        <v>2</v>
      </c>
      <c r="E529" s="294" t="s">
        <v>907</v>
      </c>
      <c r="F529" s="295" t="s">
        <v>605</v>
      </c>
      <c r="G529" s="296" t="s">
        <v>615</v>
      </c>
      <c r="H529" s="294" t="s">
        <v>913</v>
      </c>
      <c r="I529" s="297" t="str">
        <f t="shared" si="61"/>
        <v>gymzaal (berging)</v>
      </c>
      <c r="J529" s="295" t="s">
        <v>465</v>
      </c>
      <c r="K529" s="298">
        <v>18.46</v>
      </c>
      <c r="L529" s="298"/>
      <c r="M529" s="299">
        <v>14040</v>
      </c>
      <c r="N529" s="300">
        <f t="shared" si="73"/>
        <v>40</v>
      </c>
      <c r="O529" s="484">
        <v>1</v>
      </c>
      <c r="P529" s="484">
        <v>1</v>
      </c>
      <c r="Q529" s="292">
        <f t="shared" si="74"/>
        <v>0</v>
      </c>
      <c r="R529" s="292">
        <f t="shared" si="75"/>
        <v>0</v>
      </c>
      <c r="S529" s="301">
        <f t="shared" si="70"/>
        <v>0</v>
      </c>
      <c r="T529" s="301">
        <f t="shared" si="71"/>
        <v>0</v>
      </c>
      <c r="U529" s="771" t="str">
        <f t="shared" si="72"/>
        <v>Sp</v>
      </c>
      <c r="V529" s="303"/>
      <c r="W529" s="304">
        <f>(Q529+R529)*'1.0-Contractblad'!$L$37</f>
        <v>0</v>
      </c>
      <c r="X529" s="304">
        <f ca="1">VLOOKUP(E529,'1.1a-Jaarprijzen'!$B$35:$Q$57,16,FALSE)*K529</f>
        <v>0</v>
      </c>
      <c r="Z529" s="773">
        <f t="shared" si="76"/>
        <v>738.40000000000009</v>
      </c>
      <c r="AA529" s="492" t="str">
        <f t="shared" si="77"/>
        <v>14040-40</v>
      </c>
    </row>
    <row r="530" spans="2:27" s="490" customFormat="1" ht="15">
      <c r="B530" s="330"/>
      <c r="C530" s="331"/>
      <c r="D530" s="295">
        <f>VLOOKUP(E530,'1.1a-Jaarprijzen'!$B$13:$G$32,6,FALSE)</f>
        <v>2</v>
      </c>
      <c r="E530" s="294" t="s">
        <v>907</v>
      </c>
      <c r="F530" s="295" t="s">
        <v>605</v>
      </c>
      <c r="G530" s="296" t="s">
        <v>617</v>
      </c>
      <c r="H530" s="294" t="s">
        <v>914</v>
      </c>
      <c r="I530" s="297" t="str">
        <f t="shared" si="61"/>
        <v>Kinderopvang</v>
      </c>
      <c r="J530" s="295" t="s">
        <v>465</v>
      </c>
      <c r="K530" s="298">
        <v>61.66</v>
      </c>
      <c r="L530" s="298"/>
      <c r="M530" s="299">
        <v>22260</v>
      </c>
      <c r="N530" s="300">
        <f t="shared" si="73"/>
        <v>260</v>
      </c>
      <c r="O530" s="484">
        <v>1</v>
      </c>
      <c r="P530" s="484">
        <v>1</v>
      </c>
      <c r="Q530" s="292">
        <f t="shared" si="74"/>
        <v>0</v>
      </c>
      <c r="R530" s="292">
        <f t="shared" si="75"/>
        <v>0</v>
      </c>
      <c r="S530" s="301">
        <f t="shared" si="70"/>
        <v>0</v>
      </c>
      <c r="T530" s="301">
        <f t="shared" si="71"/>
        <v>0</v>
      </c>
      <c r="U530" s="771" t="str">
        <f t="shared" si="72"/>
        <v>L</v>
      </c>
      <c r="V530" s="303"/>
      <c r="W530" s="304">
        <f>(Q530+R530)*'1.0-Contractblad'!$L$37</f>
        <v>0</v>
      </c>
      <c r="X530" s="304">
        <f ca="1">VLOOKUP(E530,'1.1a-Jaarprijzen'!$B$35:$Q$57,16,FALSE)*K530</f>
        <v>0</v>
      </c>
      <c r="Z530" s="773">
        <f t="shared" si="76"/>
        <v>16031.599999999999</v>
      </c>
      <c r="AA530" s="492" t="str">
        <f t="shared" si="77"/>
        <v>22260-260</v>
      </c>
    </row>
    <row r="531" spans="2:27" s="490" customFormat="1" ht="15">
      <c r="B531" s="330"/>
      <c r="C531" s="331"/>
      <c r="D531" s="295">
        <f>VLOOKUP(E531,'1.1a-Jaarprijzen'!$B$13:$G$32,6,FALSE)</f>
        <v>2</v>
      </c>
      <c r="E531" s="294" t="s">
        <v>907</v>
      </c>
      <c r="F531" s="295" t="s">
        <v>605</v>
      </c>
      <c r="G531" s="296" t="s">
        <v>759</v>
      </c>
      <c r="H531" s="294" t="s">
        <v>391</v>
      </c>
      <c r="I531" s="297" t="str">
        <f t="shared" si="61"/>
        <v>niet van toepassing</v>
      </c>
      <c r="J531" s="295" t="s">
        <v>465</v>
      </c>
      <c r="K531" s="298"/>
      <c r="L531" s="298">
        <v>3.7</v>
      </c>
      <c r="M531" s="299" t="s">
        <v>17</v>
      </c>
      <c r="N531" s="300">
        <f t="shared" si="73"/>
        <v>0</v>
      </c>
      <c r="O531" s="484">
        <v>1</v>
      </c>
      <c r="P531" s="484">
        <v>1</v>
      </c>
      <c r="Q531" s="292">
        <f t="shared" si="74"/>
        <v>0</v>
      </c>
      <c r="R531" s="292">
        <f t="shared" si="75"/>
        <v>0</v>
      </c>
      <c r="S531" s="301">
        <f t="shared" si="70"/>
        <v>0</v>
      </c>
      <c r="T531" s="301">
        <f t="shared" si="71"/>
        <v>0</v>
      </c>
      <c r="U531" s="771">
        <f t="shared" si="72"/>
        <v>0</v>
      </c>
      <c r="V531" s="303"/>
      <c r="W531" s="304">
        <f>(Q531+R531)*'1.0-Contractblad'!$L$37</f>
        <v>0</v>
      </c>
      <c r="X531" s="304">
        <f ca="1">VLOOKUP(E531,'1.1a-Jaarprijzen'!$B$35:$Q$57,16,FALSE)*K531</f>
        <v>0</v>
      </c>
      <c r="Z531" s="773">
        <f t="shared" si="76"/>
        <v>0</v>
      </c>
      <c r="AA531" s="492" t="str">
        <f t="shared" si="77"/>
        <v>nvt-0</v>
      </c>
    </row>
    <row r="532" spans="2:27" s="490" customFormat="1" ht="15">
      <c r="B532" s="330"/>
      <c r="C532" s="331"/>
      <c r="D532" s="295">
        <f>VLOOKUP(E532,'1.1a-Jaarprijzen'!$B$13:$G$32,6,FALSE)</f>
        <v>2</v>
      </c>
      <c r="E532" s="294" t="s">
        <v>907</v>
      </c>
      <c r="F532" s="295" t="s">
        <v>605</v>
      </c>
      <c r="G532" s="296" t="s">
        <v>760</v>
      </c>
      <c r="H532" s="294" t="s">
        <v>417</v>
      </c>
      <c r="I532" s="297" t="str">
        <f t="shared" si="61"/>
        <v>lift</v>
      </c>
      <c r="J532" s="295" t="s">
        <v>465</v>
      </c>
      <c r="K532" s="298">
        <v>1.2</v>
      </c>
      <c r="L532" s="298"/>
      <c r="M532" s="299">
        <v>10040</v>
      </c>
      <c r="N532" s="300">
        <f t="shared" si="73"/>
        <v>40</v>
      </c>
      <c r="O532" s="484">
        <v>1</v>
      </c>
      <c r="P532" s="484">
        <v>1</v>
      </c>
      <c r="Q532" s="292">
        <f t="shared" si="74"/>
        <v>0</v>
      </c>
      <c r="R532" s="292">
        <f t="shared" si="75"/>
        <v>0</v>
      </c>
      <c r="S532" s="301">
        <f t="shared" si="70"/>
        <v>0</v>
      </c>
      <c r="T532" s="301">
        <f t="shared" si="71"/>
        <v>0</v>
      </c>
      <c r="U532" s="771" t="str">
        <f t="shared" si="72"/>
        <v>V</v>
      </c>
      <c r="V532" s="303"/>
      <c r="W532" s="304">
        <f>(Q532+R532)*'1.0-Contractblad'!$L$37</f>
        <v>0</v>
      </c>
      <c r="X532" s="304">
        <f ca="1">VLOOKUP(E532,'1.1a-Jaarprijzen'!$B$35:$Q$57,16,FALSE)*K532</f>
        <v>0</v>
      </c>
      <c r="Z532" s="773">
        <f t="shared" si="76"/>
        <v>48</v>
      </c>
      <c r="AA532" s="492" t="str">
        <f t="shared" si="77"/>
        <v>10040-40</v>
      </c>
    </row>
    <row r="533" spans="2:27" s="490" customFormat="1" ht="15">
      <c r="B533" s="330"/>
      <c r="C533" s="331"/>
      <c r="D533" s="295">
        <f>VLOOKUP(E533,'1.1a-Jaarprijzen'!$B$13:$G$32,6,FALSE)</f>
        <v>2</v>
      </c>
      <c r="E533" s="294" t="s">
        <v>907</v>
      </c>
      <c r="F533" s="295" t="s">
        <v>605</v>
      </c>
      <c r="G533" s="296" t="s">
        <v>762</v>
      </c>
      <c r="H533" s="294" t="s">
        <v>611</v>
      </c>
      <c r="I533" s="297" t="str">
        <f t="shared" si="61"/>
        <v>sanitaire ruimte (toilet-/doucheruimte)</v>
      </c>
      <c r="J533" s="295" t="s">
        <v>465</v>
      </c>
      <c r="K533" s="298">
        <v>4.25</v>
      </c>
      <c r="L533" s="298"/>
      <c r="M533" s="299">
        <v>4200</v>
      </c>
      <c r="N533" s="300">
        <f t="shared" si="73"/>
        <v>200</v>
      </c>
      <c r="O533" s="484">
        <v>1</v>
      </c>
      <c r="P533" s="484">
        <v>1</v>
      </c>
      <c r="Q533" s="292">
        <f t="shared" si="74"/>
        <v>0</v>
      </c>
      <c r="R533" s="292">
        <f t="shared" si="75"/>
        <v>0</v>
      </c>
      <c r="S533" s="301">
        <f t="shared" si="70"/>
        <v>0</v>
      </c>
      <c r="T533" s="301">
        <f t="shared" si="71"/>
        <v>0</v>
      </c>
      <c r="U533" s="771" t="str">
        <f t="shared" si="72"/>
        <v>S</v>
      </c>
      <c r="V533" s="303"/>
      <c r="W533" s="304">
        <f>(Q533+R533)*'1.0-Contractblad'!$L$37</f>
        <v>0</v>
      </c>
      <c r="X533" s="304">
        <f ca="1">VLOOKUP(E533,'1.1a-Jaarprijzen'!$B$35:$Q$57,16,FALSE)*K533</f>
        <v>0</v>
      </c>
      <c r="Z533" s="773">
        <f t="shared" si="76"/>
        <v>850</v>
      </c>
      <c r="AA533" s="492" t="str">
        <f t="shared" si="77"/>
        <v>4200-200</v>
      </c>
    </row>
    <row r="534" spans="2:27" s="490" customFormat="1" ht="15">
      <c r="B534" s="330"/>
      <c r="C534" s="331"/>
      <c r="D534" s="295">
        <f>VLOOKUP(E534,'1.1a-Jaarprijzen'!$B$13:$G$32,6,FALSE)</f>
        <v>2</v>
      </c>
      <c r="E534" s="294" t="s">
        <v>907</v>
      </c>
      <c r="F534" s="295" t="s">
        <v>605</v>
      </c>
      <c r="G534" s="296" t="s">
        <v>763</v>
      </c>
      <c r="H534" s="294" t="s">
        <v>391</v>
      </c>
      <c r="I534" s="297" t="str">
        <f t="shared" si="61"/>
        <v>niet van toepassing</v>
      </c>
      <c r="J534" s="295" t="s">
        <v>465</v>
      </c>
      <c r="K534" s="298"/>
      <c r="L534" s="298">
        <v>10.8</v>
      </c>
      <c r="M534" s="299" t="s">
        <v>17</v>
      </c>
      <c r="N534" s="300">
        <f t="shared" si="73"/>
        <v>0</v>
      </c>
      <c r="O534" s="484">
        <v>1</v>
      </c>
      <c r="P534" s="484">
        <v>1</v>
      </c>
      <c r="Q534" s="292">
        <f t="shared" si="74"/>
        <v>0</v>
      </c>
      <c r="R534" s="292">
        <f t="shared" si="75"/>
        <v>0</v>
      </c>
      <c r="S534" s="301">
        <f t="shared" si="70"/>
        <v>0</v>
      </c>
      <c r="T534" s="301">
        <f t="shared" si="71"/>
        <v>0</v>
      </c>
      <c r="U534" s="771">
        <f t="shared" si="72"/>
        <v>0</v>
      </c>
      <c r="V534" s="303"/>
      <c r="W534" s="304">
        <f>(Q534+R534)*'1.0-Contractblad'!$L$37</f>
        <v>0</v>
      </c>
      <c r="X534" s="304">
        <f ca="1">VLOOKUP(E534,'1.1a-Jaarprijzen'!$B$35:$Q$57,16,FALSE)*K534</f>
        <v>0</v>
      </c>
      <c r="Z534" s="773">
        <f t="shared" si="76"/>
        <v>0</v>
      </c>
      <c r="AA534" s="492" t="str">
        <f t="shared" si="77"/>
        <v>nvt-0</v>
      </c>
    </row>
    <row r="535" spans="2:27" s="490" customFormat="1" ht="15">
      <c r="B535" s="330"/>
      <c r="C535" s="331"/>
      <c r="D535" s="295">
        <f>VLOOKUP(E535,'1.1a-Jaarprijzen'!$B$13:$G$32,6,FALSE)</f>
        <v>2</v>
      </c>
      <c r="E535" s="294" t="s">
        <v>907</v>
      </c>
      <c r="F535" s="295" t="s">
        <v>605</v>
      </c>
      <c r="G535" s="296" t="s">
        <v>764</v>
      </c>
      <c r="H535" s="294" t="s">
        <v>394</v>
      </c>
      <c r="I535" s="297" t="str">
        <f t="shared" si="61"/>
        <v>administratieve -,  vergaderruimte</v>
      </c>
      <c r="J535" s="295" t="s">
        <v>465</v>
      </c>
      <c r="K535" s="298">
        <v>12.77</v>
      </c>
      <c r="L535" s="298"/>
      <c r="M535" s="299">
        <v>1200</v>
      </c>
      <c r="N535" s="300">
        <f t="shared" si="73"/>
        <v>200</v>
      </c>
      <c r="O535" s="484">
        <v>1</v>
      </c>
      <c r="P535" s="484">
        <v>1</v>
      </c>
      <c r="Q535" s="292">
        <f t="shared" si="74"/>
        <v>0</v>
      </c>
      <c r="R535" s="292">
        <f t="shared" si="75"/>
        <v>0</v>
      </c>
      <c r="S535" s="301">
        <f t="shared" si="70"/>
        <v>0</v>
      </c>
      <c r="T535" s="301">
        <f t="shared" si="71"/>
        <v>0</v>
      </c>
      <c r="U535" s="771" t="str">
        <f t="shared" si="72"/>
        <v>V</v>
      </c>
      <c r="V535" s="303"/>
      <c r="W535" s="304">
        <f>(Q535+R535)*'1.0-Contractblad'!$L$37</f>
        <v>0</v>
      </c>
      <c r="X535" s="304">
        <f ca="1">VLOOKUP(E535,'1.1a-Jaarprijzen'!$B$35:$Q$57,16,FALSE)*K535</f>
        <v>0</v>
      </c>
      <c r="Z535" s="773">
        <f t="shared" si="76"/>
        <v>2554</v>
      </c>
      <c r="AA535" s="492" t="str">
        <f t="shared" si="77"/>
        <v>1200-200</v>
      </c>
    </row>
    <row r="536" spans="2:27" s="490" customFormat="1" ht="15">
      <c r="B536" s="330"/>
      <c r="C536" s="331"/>
      <c r="D536" s="295">
        <f>VLOOKUP(E536,'1.1a-Jaarprijzen'!$B$13:$G$32,6,FALSE)</f>
        <v>2</v>
      </c>
      <c r="E536" s="294" t="s">
        <v>907</v>
      </c>
      <c r="F536" s="295" t="s">
        <v>605</v>
      </c>
      <c r="G536" s="296" t="s">
        <v>820</v>
      </c>
      <c r="H536" s="294" t="s">
        <v>558</v>
      </c>
      <c r="I536" s="297" t="str">
        <f t="shared" si="61"/>
        <v>administratieve -,  vergaderruimte</v>
      </c>
      <c r="J536" s="295" t="s">
        <v>465</v>
      </c>
      <c r="K536" s="298">
        <v>15.34</v>
      </c>
      <c r="L536" s="298"/>
      <c r="M536" s="299">
        <v>1200</v>
      </c>
      <c r="N536" s="300">
        <f t="shared" si="73"/>
        <v>200</v>
      </c>
      <c r="O536" s="484">
        <v>1</v>
      </c>
      <c r="P536" s="484">
        <v>1</v>
      </c>
      <c r="Q536" s="292">
        <f t="shared" si="74"/>
        <v>0</v>
      </c>
      <c r="R536" s="292">
        <f t="shared" si="75"/>
        <v>0</v>
      </c>
      <c r="S536" s="301">
        <f t="shared" si="70"/>
        <v>0</v>
      </c>
      <c r="T536" s="301">
        <f t="shared" si="71"/>
        <v>0</v>
      </c>
      <c r="U536" s="771" t="str">
        <f t="shared" si="72"/>
        <v>V</v>
      </c>
      <c r="V536" s="303"/>
      <c r="W536" s="304">
        <f>(Q536+R536)*'1.0-Contractblad'!$L$37</f>
        <v>0</v>
      </c>
      <c r="X536" s="304">
        <f ca="1">VLOOKUP(E536,'1.1a-Jaarprijzen'!$B$35:$Q$57,16,FALSE)*K536</f>
        <v>0</v>
      </c>
      <c r="Z536" s="773">
        <f t="shared" si="76"/>
        <v>3068</v>
      </c>
      <c r="AA536" s="492" t="str">
        <f t="shared" si="77"/>
        <v>1200-200</v>
      </c>
    </row>
    <row r="537" spans="2:27" s="490" customFormat="1" ht="15">
      <c r="B537" s="330"/>
      <c r="C537" s="331"/>
      <c r="D537" s="295">
        <f>VLOOKUP(E537,'1.1a-Jaarprijzen'!$B$13:$G$32,6,FALSE)</f>
        <v>2</v>
      </c>
      <c r="E537" s="294" t="s">
        <v>907</v>
      </c>
      <c r="F537" s="295" t="s">
        <v>605</v>
      </c>
      <c r="G537" s="296" t="s">
        <v>766</v>
      </c>
      <c r="H537" s="294" t="s">
        <v>915</v>
      </c>
      <c r="I537" s="297" t="str">
        <f t="shared" si="61"/>
        <v>administratieve -,  vergaderruimte</v>
      </c>
      <c r="J537" s="295" t="s">
        <v>465</v>
      </c>
      <c r="K537" s="298">
        <v>12.77</v>
      </c>
      <c r="L537" s="298"/>
      <c r="M537" s="299">
        <v>1200</v>
      </c>
      <c r="N537" s="300">
        <f t="shared" si="73"/>
        <v>200</v>
      </c>
      <c r="O537" s="484">
        <v>1</v>
      </c>
      <c r="P537" s="484">
        <v>1</v>
      </c>
      <c r="Q537" s="292">
        <f t="shared" si="74"/>
        <v>0</v>
      </c>
      <c r="R537" s="292">
        <f t="shared" si="75"/>
        <v>0</v>
      </c>
      <c r="S537" s="301">
        <f t="shared" si="70"/>
        <v>0</v>
      </c>
      <c r="T537" s="301">
        <f t="shared" si="71"/>
        <v>0</v>
      </c>
      <c r="U537" s="771" t="str">
        <f t="shared" si="72"/>
        <v>V</v>
      </c>
      <c r="V537" s="303"/>
      <c r="W537" s="304">
        <f>(Q537+R537)*'1.0-Contractblad'!$L$37</f>
        <v>0</v>
      </c>
      <c r="X537" s="304">
        <f ca="1">VLOOKUP(E537,'1.1a-Jaarprijzen'!$B$35:$Q$57,16,FALSE)*K537</f>
        <v>0</v>
      </c>
      <c r="Z537" s="773">
        <f t="shared" si="76"/>
        <v>2554</v>
      </c>
      <c r="AA537" s="492" t="str">
        <f t="shared" si="77"/>
        <v>1200-200</v>
      </c>
    </row>
    <row r="538" spans="2:27" s="490" customFormat="1" ht="15">
      <c r="B538" s="330"/>
      <c r="C538" s="331"/>
      <c r="D538" s="295">
        <f>VLOOKUP(E538,'1.1a-Jaarprijzen'!$B$13:$G$32,6,FALSE)</f>
        <v>2</v>
      </c>
      <c r="E538" s="294" t="s">
        <v>907</v>
      </c>
      <c r="F538" s="295" t="s">
        <v>605</v>
      </c>
      <c r="G538" s="296" t="s">
        <v>767</v>
      </c>
      <c r="H538" s="294" t="s">
        <v>915</v>
      </c>
      <c r="I538" s="297" t="str">
        <f t="shared" si="61"/>
        <v>administratieve -,  vergaderruimte</v>
      </c>
      <c r="J538" s="295" t="s">
        <v>465</v>
      </c>
      <c r="K538" s="298">
        <v>12.77</v>
      </c>
      <c r="L538" s="298"/>
      <c r="M538" s="299">
        <v>1200</v>
      </c>
      <c r="N538" s="300">
        <f t="shared" si="73"/>
        <v>200</v>
      </c>
      <c r="O538" s="484">
        <v>1</v>
      </c>
      <c r="P538" s="484">
        <v>1</v>
      </c>
      <c r="Q538" s="292">
        <f t="shared" si="74"/>
        <v>0</v>
      </c>
      <c r="R538" s="292">
        <f t="shared" si="75"/>
        <v>0</v>
      </c>
      <c r="S538" s="301">
        <f t="shared" si="70"/>
        <v>0</v>
      </c>
      <c r="T538" s="301">
        <f t="shared" si="71"/>
        <v>0</v>
      </c>
      <c r="U538" s="771" t="str">
        <f t="shared" si="72"/>
        <v>V</v>
      </c>
      <c r="V538" s="303"/>
      <c r="W538" s="304">
        <f>(Q538+R538)*'1.0-Contractblad'!$L$37</f>
        <v>0</v>
      </c>
      <c r="X538" s="304">
        <f ca="1">VLOOKUP(E538,'1.1a-Jaarprijzen'!$B$35:$Q$57,16,FALSE)*K538</f>
        <v>0</v>
      </c>
      <c r="Z538" s="773">
        <f t="shared" si="76"/>
        <v>2554</v>
      </c>
      <c r="AA538" s="492" t="str">
        <f t="shared" si="77"/>
        <v>1200-200</v>
      </c>
    </row>
    <row r="539" spans="2:27" s="490" customFormat="1" ht="15">
      <c r="B539" s="330"/>
      <c r="C539" s="331"/>
      <c r="D539" s="295">
        <f>VLOOKUP(E539,'1.1a-Jaarprijzen'!$B$13:$G$32,6,FALSE)</f>
        <v>2</v>
      </c>
      <c r="E539" s="294" t="s">
        <v>907</v>
      </c>
      <c r="F539" s="295" t="s">
        <v>605</v>
      </c>
      <c r="G539" s="296" t="s">
        <v>768</v>
      </c>
      <c r="H539" s="294" t="s">
        <v>677</v>
      </c>
      <c r="I539" s="297" t="str">
        <f t="shared" si="61"/>
        <v>entree, gang, hal, repro</v>
      </c>
      <c r="J539" s="295" t="s">
        <v>465</v>
      </c>
      <c r="K539" s="298">
        <v>2.2000000000000002</v>
      </c>
      <c r="L539" s="298"/>
      <c r="M539" s="299">
        <v>3200</v>
      </c>
      <c r="N539" s="300">
        <f t="shared" si="73"/>
        <v>200</v>
      </c>
      <c r="O539" s="484">
        <v>1</v>
      </c>
      <c r="P539" s="484">
        <v>1</v>
      </c>
      <c r="Q539" s="292">
        <f t="shared" si="74"/>
        <v>0</v>
      </c>
      <c r="R539" s="292">
        <f t="shared" si="75"/>
        <v>0</v>
      </c>
      <c r="S539" s="301">
        <f t="shared" si="70"/>
        <v>0</v>
      </c>
      <c r="T539" s="301">
        <f t="shared" si="71"/>
        <v>0</v>
      </c>
      <c r="U539" s="771" t="str">
        <f t="shared" si="72"/>
        <v>V</v>
      </c>
      <c r="V539" s="303"/>
      <c r="W539" s="304">
        <f>(Q539+R539)*'1.0-Contractblad'!$L$37</f>
        <v>0</v>
      </c>
      <c r="X539" s="304">
        <f ca="1">VLOOKUP(E539,'1.1a-Jaarprijzen'!$B$35:$Q$57,16,FALSE)*K539</f>
        <v>0</v>
      </c>
      <c r="Z539" s="773">
        <f t="shared" si="76"/>
        <v>440.00000000000006</v>
      </c>
      <c r="AA539" s="492" t="str">
        <f t="shared" si="77"/>
        <v>3200-200</v>
      </c>
    </row>
    <row r="540" spans="2:27" s="490" customFormat="1" ht="15">
      <c r="B540" s="330"/>
      <c r="C540" s="331"/>
      <c r="D540" s="295">
        <f>VLOOKUP(E540,'1.1a-Jaarprijzen'!$B$13:$G$32,6,FALSE)</f>
        <v>2</v>
      </c>
      <c r="E540" s="294" t="s">
        <v>907</v>
      </c>
      <c r="F540" s="295" t="s">
        <v>605</v>
      </c>
      <c r="G540" s="296" t="s">
        <v>916</v>
      </c>
      <c r="H540" s="294" t="s">
        <v>291</v>
      </c>
      <c r="I540" s="297" t="str">
        <f t="shared" si="61"/>
        <v>trappenhuis</v>
      </c>
      <c r="J540" s="295" t="s">
        <v>465</v>
      </c>
      <c r="K540" s="298">
        <v>11.7</v>
      </c>
      <c r="L540" s="298"/>
      <c r="M540" s="299">
        <v>9200</v>
      </c>
      <c r="N540" s="300">
        <f t="shared" si="73"/>
        <v>200</v>
      </c>
      <c r="O540" s="484">
        <v>1</v>
      </c>
      <c r="P540" s="484">
        <v>1</v>
      </c>
      <c r="Q540" s="292">
        <f t="shared" si="74"/>
        <v>0</v>
      </c>
      <c r="R540" s="292">
        <f t="shared" si="75"/>
        <v>0</v>
      </c>
      <c r="S540" s="301">
        <f t="shared" si="70"/>
        <v>0</v>
      </c>
      <c r="T540" s="301">
        <f t="shared" si="71"/>
        <v>0</v>
      </c>
      <c r="U540" s="771" t="str">
        <f t="shared" si="72"/>
        <v>V</v>
      </c>
      <c r="V540" s="303"/>
      <c r="W540" s="304">
        <f>(Q540+R540)*'1.0-Contractblad'!$L$37</f>
        <v>0</v>
      </c>
      <c r="X540" s="304">
        <f ca="1">VLOOKUP(E540,'1.1a-Jaarprijzen'!$B$35:$Q$57,16,FALSE)*K540</f>
        <v>0</v>
      </c>
      <c r="Z540" s="773">
        <f t="shared" si="76"/>
        <v>2340</v>
      </c>
      <c r="AA540" s="492" t="str">
        <f t="shared" si="77"/>
        <v>9200-200</v>
      </c>
    </row>
    <row r="541" spans="2:27" s="490" customFormat="1" ht="15">
      <c r="B541" s="330"/>
      <c r="C541" s="331"/>
      <c r="D541" s="295">
        <f>VLOOKUP(E541,'1.1a-Jaarprijzen'!$B$13:$G$32,6,FALSE)</f>
        <v>2</v>
      </c>
      <c r="E541" s="294" t="s">
        <v>907</v>
      </c>
      <c r="F541" s="295" t="s">
        <v>605</v>
      </c>
      <c r="G541" s="296" t="s">
        <v>917</v>
      </c>
      <c r="H541" s="294" t="s">
        <v>388</v>
      </c>
      <c r="I541" s="297" t="str">
        <f t="shared" si="61"/>
        <v>niet van toepassing</v>
      </c>
      <c r="J541" s="295" t="s">
        <v>465</v>
      </c>
      <c r="K541" s="298"/>
      <c r="L541" s="298">
        <v>3.1</v>
      </c>
      <c r="M541" s="299" t="s">
        <v>17</v>
      </c>
      <c r="N541" s="300">
        <f t="shared" si="73"/>
        <v>0</v>
      </c>
      <c r="O541" s="484">
        <v>1</v>
      </c>
      <c r="P541" s="484">
        <v>1</v>
      </c>
      <c r="Q541" s="292">
        <f t="shared" si="74"/>
        <v>0</v>
      </c>
      <c r="R541" s="292">
        <f t="shared" si="75"/>
        <v>0</v>
      </c>
      <c r="S541" s="301">
        <f t="shared" si="70"/>
        <v>0</v>
      </c>
      <c r="T541" s="301">
        <f t="shared" si="71"/>
        <v>0</v>
      </c>
      <c r="U541" s="771">
        <f t="shared" si="72"/>
        <v>0</v>
      </c>
      <c r="V541" s="303"/>
      <c r="W541" s="304">
        <f>(Q541+R541)*'1.0-Contractblad'!$L$37</f>
        <v>0</v>
      </c>
      <c r="X541" s="304">
        <f ca="1">VLOOKUP(E541,'1.1a-Jaarprijzen'!$B$35:$Q$57,16,FALSE)*K541</f>
        <v>0</v>
      </c>
      <c r="Z541" s="773">
        <f t="shared" si="76"/>
        <v>0</v>
      </c>
      <c r="AA541" s="492" t="str">
        <f t="shared" si="77"/>
        <v>nvt-0</v>
      </c>
    </row>
    <row r="542" spans="2:27" s="490" customFormat="1" ht="15">
      <c r="B542" s="330"/>
      <c r="C542" s="331"/>
      <c r="D542" s="295">
        <f>VLOOKUP(E542,'1.1a-Jaarprijzen'!$B$13:$G$32,6,FALSE)</f>
        <v>2</v>
      </c>
      <c r="E542" s="294" t="s">
        <v>907</v>
      </c>
      <c r="F542" s="295" t="s">
        <v>261</v>
      </c>
      <c r="G542" s="296" t="s">
        <v>600</v>
      </c>
      <c r="H542" s="294" t="s">
        <v>397</v>
      </c>
      <c r="I542" s="297" t="str">
        <f t="shared" si="61"/>
        <v>administratieve -,  vergaderruimte</v>
      </c>
      <c r="J542" s="295" t="s">
        <v>465</v>
      </c>
      <c r="K542" s="298">
        <v>12.96</v>
      </c>
      <c r="L542" s="298"/>
      <c r="M542" s="299">
        <v>1200</v>
      </c>
      <c r="N542" s="300">
        <f t="shared" si="73"/>
        <v>200</v>
      </c>
      <c r="O542" s="484">
        <v>1</v>
      </c>
      <c r="P542" s="484">
        <v>1</v>
      </c>
      <c r="Q542" s="292">
        <f t="shared" si="74"/>
        <v>0</v>
      </c>
      <c r="R542" s="292">
        <f t="shared" si="75"/>
        <v>0</v>
      </c>
      <c r="S542" s="301">
        <f t="shared" si="70"/>
        <v>0</v>
      </c>
      <c r="T542" s="301">
        <f t="shared" si="71"/>
        <v>0</v>
      </c>
      <c r="U542" s="771" t="str">
        <f t="shared" si="72"/>
        <v>V</v>
      </c>
      <c r="V542" s="303"/>
      <c r="W542" s="304">
        <f>(Q542+R542)*'1.0-Contractblad'!$L$37</f>
        <v>0</v>
      </c>
      <c r="X542" s="304">
        <f ca="1">VLOOKUP(E542,'1.1a-Jaarprijzen'!$B$35:$Q$57,16,FALSE)*K542</f>
        <v>0</v>
      </c>
      <c r="Z542" s="773">
        <f t="shared" si="76"/>
        <v>2592</v>
      </c>
      <c r="AA542" s="492" t="str">
        <f t="shared" si="77"/>
        <v>1200-200</v>
      </c>
    </row>
    <row r="543" spans="2:27" s="490" customFormat="1" ht="15">
      <c r="B543" s="330"/>
      <c r="C543" s="331"/>
      <c r="D543" s="295">
        <f>VLOOKUP(E543,'1.1a-Jaarprijzen'!$B$13:$G$32,6,FALSE)</f>
        <v>2</v>
      </c>
      <c r="E543" s="294" t="s">
        <v>907</v>
      </c>
      <c r="F543" s="295" t="s">
        <v>261</v>
      </c>
      <c r="G543" s="296" t="s">
        <v>601</v>
      </c>
      <c r="H543" s="294" t="s">
        <v>672</v>
      </c>
      <c r="I543" s="297" t="str">
        <f t="shared" si="61"/>
        <v>entree, gang, hal, repro</v>
      </c>
      <c r="J543" s="295" t="s">
        <v>465</v>
      </c>
      <c r="K543" s="298">
        <v>43.1</v>
      </c>
      <c r="L543" s="298"/>
      <c r="M543" s="299">
        <v>3200</v>
      </c>
      <c r="N543" s="300">
        <f t="shared" si="73"/>
        <v>200</v>
      </c>
      <c r="O543" s="484">
        <v>1</v>
      </c>
      <c r="P543" s="484">
        <v>1</v>
      </c>
      <c r="Q543" s="292">
        <f t="shared" si="74"/>
        <v>0</v>
      </c>
      <c r="R543" s="292">
        <f t="shared" si="75"/>
        <v>0</v>
      </c>
      <c r="S543" s="301">
        <f t="shared" si="70"/>
        <v>0</v>
      </c>
      <c r="T543" s="301">
        <f t="shared" si="71"/>
        <v>0</v>
      </c>
      <c r="U543" s="771" t="str">
        <f t="shared" si="72"/>
        <v>V</v>
      </c>
      <c r="V543" s="303"/>
      <c r="W543" s="304">
        <f>(Q543+R543)*'1.0-Contractblad'!$L$37</f>
        <v>0</v>
      </c>
      <c r="X543" s="304">
        <f ca="1">VLOOKUP(E543,'1.1a-Jaarprijzen'!$B$35:$Q$57,16,FALSE)*K543</f>
        <v>0</v>
      </c>
      <c r="Z543" s="773">
        <f t="shared" si="76"/>
        <v>8620</v>
      </c>
      <c r="AA543" s="492" t="str">
        <f t="shared" si="77"/>
        <v>3200-200</v>
      </c>
    </row>
    <row r="544" spans="2:27" s="490" customFormat="1" ht="15">
      <c r="B544" s="330"/>
      <c r="C544" s="331"/>
      <c r="D544" s="295">
        <f>VLOOKUP(E544,'1.1a-Jaarprijzen'!$B$13:$G$32,6,FALSE)</f>
        <v>2</v>
      </c>
      <c r="E544" s="294" t="s">
        <v>907</v>
      </c>
      <c r="F544" s="295" t="s">
        <v>261</v>
      </c>
      <c r="G544" s="296" t="s">
        <v>918</v>
      </c>
      <c r="H544" s="294" t="s">
        <v>677</v>
      </c>
      <c r="I544" s="297" t="str">
        <f>IF($M544="",0,VLOOKUP($M544,Kengetal,4,FALSE))</f>
        <v>entree, gang, hal, repro</v>
      </c>
      <c r="J544" s="295" t="s">
        <v>465</v>
      </c>
      <c r="K544" s="298">
        <v>1.4</v>
      </c>
      <c r="L544" s="298"/>
      <c r="M544" s="299">
        <v>3200</v>
      </c>
      <c r="N544" s="300">
        <f t="shared" si="73"/>
        <v>200</v>
      </c>
      <c r="O544" s="484">
        <v>1</v>
      </c>
      <c r="P544" s="484">
        <v>1</v>
      </c>
      <c r="Q544" s="292">
        <f t="shared" si="74"/>
        <v>0</v>
      </c>
      <c r="R544" s="292">
        <f t="shared" si="75"/>
        <v>0</v>
      </c>
      <c r="S544" s="301">
        <f t="shared" si="70"/>
        <v>0</v>
      </c>
      <c r="T544" s="301">
        <f t="shared" si="71"/>
        <v>0</v>
      </c>
      <c r="U544" s="771" t="str">
        <f t="shared" si="72"/>
        <v>V</v>
      </c>
      <c r="V544" s="303"/>
      <c r="W544" s="304">
        <f>(Q544+R544)*'1.0-Contractblad'!$L$37</f>
        <v>0</v>
      </c>
      <c r="X544" s="304">
        <f ca="1">VLOOKUP(E544,'1.1a-Jaarprijzen'!$B$35:$Q$57,16,FALSE)*K544</f>
        <v>0</v>
      </c>
      <c r="Z544" s="773">
        <f t="shared" si="76"/>
        <v>280</v>
      </c>
      <c r="AA544" s="492" t="str">
        <f t="shared" si="77"/>
        <v>3200-200</v>
      </c>
    </row>
    <row r="545" spans="2:27" s="490" customFormat="1" ht="15">
      <c r="B545" s="330"/>
      <c r="C545" s="331"/>
      <c r="D545" s="295">
        <f>VLOOKUP(E545,'1.1a-Jaarprijzen'!$B$13:$G$32,6,FALSE)</f>
        <v>2</v>
      </c>
      <c r="E545" s="294" t="s">
        <v>907</v>
      </c>
      <c r="F545" s="295" t="s">
        <v>261</v>
      </c>
      <c r="G545" s="296" t="s">
        <v>602</v>
      </c>
      <c r="H545" s="294" t="s">
        <v>387</v>
      </c>
      <c r="I545" s="297" t="str">
        <f>IF($M545="",0,VLOOKUP($M545,Kengetal,4,FALSE))</f>
        <v>entree, gang, hal, repro</v>
      </c>
      <c r="J545" s="295" t="s">
        <v>465</v>
      </c>
      <c r="K545" s="298">
        <v>19.079999999999998</v>
      </c>
      <c r="L545" s="298"/>
      <c r="M545" s="299">
        <v>3200</v>
      </c>
      <c r="N545" s="300">
        <f t="shared" si="73"/>
        <v>200</v>
      </c>
      <c r="O545" s="484">
        <v>1</v>
      </c>
      <c r="P545" s="484">
        <v>1</v>
      </c>
      <c r="Q545" s="292">
        <f t="shared" si="74"/>
        <v>0</v>
      </c>
      <c r="R545" s="292">
        <f t="shared" si="75"/>
        <v>0</v>
      </c>
      <c r="S545" s="301">
        <f t="shared" si="70"/>
        <v>0</v>
      </c>
      <c r="T545" s="301">
        <f t="shared" si="71"/>
        <v>0</v>
      </c>
      <c r="U545" s="771" t="str">
        <f t="shared" si="72"/>
        <v>V</v>
      </c>
      <c r="V545" s="303"/>
      <c r="W545" s="304">
        <f>(Q545+R545)*'1.0-Contractblad'!$L$37</f>
        <v>0</v>
      </c>
      <c r="X545" s="304">
        <f ca="1">VLOOKUP(E545,'1.1a-Jaarprijzen'!$B$35:$Q$57,16,FALSE)*K545</f>
        <v>0</v>
      </c>
      <c r="Z545" s="773">
        <f t="shared" si="76"/>
        <v>3815.9999999999995</v>
      </c>
      <c r="AA545" s="492" t="str">
        <f t="shared" si="77"/>
        <v>3200-200</v>
      </c>
    </row>
    <row r="546" spans="2:27" s="490" customFormat="1" ht="15">
      <c r="B546" s="330"/>
      <c r="C546" s="331"/>
      <c r="D546" s="295">
        <f>VLOOKUP(E546,'1.1a-Jaarprijzen'!$B$13:$G$32,6,FALSE)</f>
        <v>2</v>
      </c>
      <c r="E546" s="294" t="s">
        <v>907</v>
      </c>
      <c r="F546" s="295" t="s">
        <v>261</v>
      </c>
      <c r="G546" s="296" t="s">
        <v>603</v>
      </c>
      <c r="H546" s="294" t="s">
        <v>476</v>
      </c>
      <c r="I546" s="297" t="str">
        <f>IF($M546="",0,VLOOKUP($M546,Kengetal,4,FALSE))</f>
        <v>aula, gemeenschappelijke ruimte, bibliotheek</v>
      </c>
      <c r="J546" s="295" t="s">
        <v>465</v>
      </c>
      <c r="K546" s="298">
        <v>92.25</v>
      </c>
      <c r="L546" s="298"/>
      <c r="M546" s="299">
        <v>2200</v>
      </c>
      <c r="N546" s="300">
        <f t="shared" si="73"/>
        <v>200</v>
      </c>
      <c r="O546" s="484">
        <v>1</v>
      </c>
      <c r="P546" s="484">
        <v>1</v>
      </c>
      <c r="Q546" s="292">
        <f t="shared" si="74"/>
        <v>0</v>
      </c>
      <c r="R546" s="292">
        <f t="shared" si="75"/>
        <v>0</v>
      </c>
      <c r="S546" s="301">
        <f t="shared" si="70"/>
        <v>0</v>
      </c>
      <c r="T546" s="301">
        <f t="shared" si="71"/>
        <v>0</v>
      </c>
      <c r="U546" s="771" t="str">
        <f t="shared" si="72"/>
        <v>V</v>
      </c>
      <c r="V546" s="303"/>
      <c r="W546" s="304">
        <f>(Q546+R546)*'1.0-Contractblad'!$L$37</f>
        <v>0</v>
      </c>
      <c r="X546" s="304">
        <f ca="1">VLOOKUP(E546,'1.1a-Jaarprijzen'!$B$35:$Q$57,16,FALSE)*K546</f>
        <v>0</v>
      </c>
      <c r="Z546" s="773">
        <f t="shared" si="76"/>
        <v>18450</v>
      </c>
      <c r="AA546" s="492" t="str">
        <f t="shared" si="77"/>
        <v>2200-200</v>
      </c>
    </row>
    <row r="547" spans="2:27" s="490" customFormat="1" ht="15">
      <c r="B547" s="330"/>
      <c r="C547" s="331"/>
      <c r="D547" s="295">
        <f>VLOOKUP(E547,'1.1a-Jaarprijzen'!$B$13:$G$32,6,FALSE)</f>
        <v>2</v>
      </c>
      <c r="E547" s="294" t="s">
        <v>907</v>
      </c>
      <c r="F547" s="295" t="s">
        <v>261</v>
      </c>
      <c r="G547" s="296" t="s">
        <v>604</v>
      </c>
      <c r="H547" s="294" t="s">
        <v>919</v>
      </c>
      <c r="I547" s="297" t="str">
        <f>IF($M547="",0,VLOOKUP($M547,Kengetal,4,FALSE))</f>
        <v>entree, gang, hal, repro</v>
      </c>
      <c r="J547" s="295" t="s">
        <v>465</v>
      </c>
      <c r="K547" s="298">
        <v>3.6</v>
      </c>
      <c r="L547" s="298"/>
      <c r="M547" s="299">
        <v>3200</v>
      </c>
      <c r="N547" s="300">
        <f t="shared" si="73"/>
        <v>200</v>
      </c>
      <c r="O547" s="484">
        <v>1</v>
      </c>
      <c r="P547" s="484">
        <v>1</v>
      </c>
      <c r="Q547" s="292">
        <f t="shared" si="74"/>
        <v>0</v>
      </c>
      <c r="R547" s="292">
        <f t="shared" si="75"/>
        <v>0</v>
      </c>
      <c r="S547" s="301">
        <f t="shared" si="70"/>
        <v>0</v>
      </c>
      <c r="T547" s="301">
        <f t="shared" si="71"/>
        <v>0</v>
      </c>
      <c r="U547" s="771" t="str">
        <f t="shared" si="72"/>
        <v>V</v>
      </c>
      <c r="V547" s="303"/>
      <c r="W547" s="304">
        <f>(Q547+R547)*'1.0-Contractblad'!$L$37</f>
        <v>0</v>
      </c>
      <c r="X547" s="304">
        <f ca="1">VLOOKUP(E547,'1.1a-Jaarprijzen'!$B$35:$Q$57,16,FALSE)*K547</f>
        <v>0</v>
      </c>
      <c r="Z547" s="773">
        <f t="shared" si="76"/>
        <v>720</v>
      </c>
      <c r="AA547" s="492" t="str">
        <f t="shared" si="77"/>
        <v>3200-200</v>
      </c>
    </row>
    <row r="548" spans="2:27" s="490" customFormat="1" ht="15">
      <c r="B548" s="330"/>
      <c r="C548" s="331"/>
      <c r="D548" s="295">
        <f>VLOOKUP(E548,'1.1a-Jaarprijzen'!$B$13:$G$32,6,FALSE)</f>
        <v>2</v>
      </c>
      <c r="E548" s="294" t="s">
        <v>907</v>
      </c>
      <c r="F548" s="295" t="s">
        <v>261</v>
      </c>
      <c r="G548" s="296" t="s">
        <v>636</v>
      </c>
      <c r="H548" s="294" t="s">
        <v>397</v>
      </c>
      <c r="I548" s="297" t="str">
        <f t="shared" ref="I548:I587" si="78">IF($M548="",0,VLOOKUP($M548,Kengetal,4,FALSE))</f>
        <v>administratieve -,  vergaderruimte</v>
      </c>
      <c r="J548" s="295" t="s">
        <v>465</v>
      </c>
      <c r="K548" s="298">
        <v>9.6</v>
      </c>
      <c r="L548" s="298"/>
      <c r="M548" s="299">
        <v>1200</v>
      </c>
      <c r="N548" s="300">
        <f t="shared" si="73"/>
        <v>200</v>
      </c>
      <c r="O548" s="484">
        <v>1</v>
      </c>
      <c r="P548" s="484">
        <v>1</v>
      </c>
      <c r="Q548" s="292">
        <f t="shared" si="74"/>
        <v>0</v>
      </c>
      <c r="R548" s="292">
        <f t="shared" si="75"/>
        <v>0</v>
      </c>
      <c r="S548" s="301">
        <f t="shared" si="70"/>
        <v>0</v>
      </c>
      <c r="T548" s="301">
        <f t="shared" si="71"/>
        <v>0</v>
      </c>
      <c r="U548" s="771" t="str">
        <f t="shared" si="72"/>
        <v>V</v>
      </c>
      <c r="V548" s="303"/>
      <c r="W548" s="304">
        <f>(Q548+R548)*'1.0-Contractblad'!$L$37</f>
        <v>0</v>
      </c>
      <c r="X548" s="304">
        <f ca="1">VLOOKUP(E548,'1.1a-Jaarprijzen'!$B$35:$Q$57,16,FALSE)*K548</f>
        <v>0</v>
      </c>
      <c r="Z548" s="773">
        <f t="shared" si="76"/>
        <v>1920</v>
      </c>
      <c r="AA548" s="492" t="str">
        <f t="shared" si="77"/>
        <v>1200-200</v>
      </c>
    </row>
    <row r="549" spans="2:27" s="490" customFormat="1" ht="15">
      <c r="B549" s="330"/>
      <c r="C549" s="331"/>
      <c r="D549" s="295">
        <f>VLOOKUP(E549,'1.1a-Jaarprijzen'!$B$13:$G$32,6,FALSE)</f>
        <v>2</v>
      </c>
      <c r="E549" s="294" t="s">
        <v>907</v>
      </c>
      <c r="F549" s="295" t="s">
        <v>261</v>
      </c>
      <c r="G549" s="296" t="s">
        <v>637</v>
      </c>
      <c r="H549" s="294" t="s">
        <v>397</v>
      </c>
      <c r="I549" s="297" t="str">
        <f t="shared" si="78"/>
        <v>administratieve -,  vergaderruimte</v>
      </c>
      <c r="J549" s="295" t="s">
        <v>465</v>
      </c>
      <c r="K549" s="298">
        <v>15.299999999999999</v>
      </c>
      <c r="L549" s="298"/>
      <c r="M549" s="299">
        <v>1200</v>
      </c>
      <c r="N549" s="300">
        <f t="shared" si="73"/>
        <v>200</v>
      </c>
      <c r="O549" s="484">
        <v>1</v>
      </c>
      <c r="P549" s="484">
        <v>1</v>
      </c>
      <c r="Q549" s="292">
        <f t="shared" si="74"/>
        <v>0</v>
      </c>
      <c r="R549" s="292">
        <f t="shared" si="75"/>
        <v>0</v>
      </c>
      <c r="S549" s="301">
        <f t="shared" ref="S549:S612" si="79">IF($M549=0,0,VLOOKUP($M549,Kengetal,6,FALSE))</f>
        <v>0</v>
      </c>
      <c r="T549" s="301">
        <f t="shared" ref="T549:T612" si="80">IF($M549=0,0,VLOOKUP($M549,Kengetal,7,FALSE))</f>
        <v>0</v>
      </c>
      <c r="U549" s="771" t="str">
        <f t="shared" si="72"/>
        <v>V</v>
      </c>
      <c r="V549" s="303"/>
      <c r="W549" s="304">
        <f>(Q549+R549)*'1.0-Contractblad'!$L$37</f>
        <v>0</v>
      </c>
      <c r="X549" s="304">
        <f ca="1">VLOOKUP(E549,'1.1a-Jaarprijzen'!$B$35:$Q$57,16,FALSE)*K549</f>
        <v>0</v>
      </c>
      <c r="Z549" s="773">
        <f t="shared" si="76"/>
        <v>3060</v>
      </c>
      <c r="AA549" s="492" t="str">
        <f t="shared" si="77"/>
        <v>1200-200</v>
      </c>
    </row>
    <row r="550" spans="2:27" s="490" customFormat="1" ht="15">
      <c r="B550" s="330"/>
      <c r="C550" s="331"/>
      <c r="D550" s="295">
        <f>VLOOKUP(E550,'1.1a-Jaarprijzen'!$B$13:$G$32,6,FALSE)</f>
        <v>2</v>
      </c>
      <c r="E550" s="294" t="s">
        <v>907</v>
      </c>
      <c r="F550" s="295" t="s">
        <v>261</v>
      </c>
      <c r="G550" s="296" t="s">
        <v>678</v>
      </c>
      <c r="H550" s="294" t="s">
        <v>387</v>
      </c>
      <c r="I550" s="297" t="str">
        <f t="shared" si="78"/>
        <v>entree, gang, hal, repro</v>
      </c>
      <c r="J550" s="295" t="s">
        <v>465</v>
      </c>
      <c r="K550" s="298">
        <v>28</v>
      </c>
      <c r="L550" s="298"/>
      <c r="M550" s="299">
        <v>3200</v>
      </c>
      <c r="N550" s="300">
        <f t="shared" si="73"/>
        <v>200</v>
      </c>
      <c r="O550" s="484">
        <v>1</v>
      </c>
      <c r="P550" s="484">
        <v>1</v>
      </c>
      <c r="Q550" s="292">
        <f t="shared" si="74"/>
        <v>0</v>
      </c>
      <c r="R550" s="292">
        <f t="shared" si="75"/>
        <v>0</v>
      </c>
      <c r="S550" s="301">
        <f t="shared" si="79"/>
        <v>0</v>
      </c>
      <c r="T550" s="301">
        <f t="shared" si="80"/>
        <v>0</v>
      </c>
      <c r="U550" s="771" t="str">
        <f t="shared" si="72"/>
        <v>V</v>
      </c>
      <c r="V550" s="303"/>
      <c r="W550" s="304">
        <f>(Q550+R550)*'1.0-Contractblad'!$L$37</f>
        <v>0</v>
      </c>
      <c r="X550" s="304">
        <f ca="1">VLOOKUP(E550,'1.1a-Jaarprijzen'!$B$35:$Q$57,16,FALSE)*K550</f>
        <v>0</v>
      </c>
      <c r="Z550" s="773">
        <f t="shared" si="76"/>
        <v>5600</v>
      </c>
      <c r="AA550" s="492" t="str">
        <f t="shared" si="77"/>
        <v>3200-200</v>
      </c>
    </row>
    <row r="551" spans="2:27" s="490" customFormat="1" ht="15">
      <c r="B551" s="330"/>
      <c r="C551" s="331"/>
      <c r="D551" s="295">
        <f>VLOOKUP(E551,'1.1a-Jaarprijzen'!$B$13:$G$32,6,FALSE)</f>
        <v>2</v>
      </c>
      <c r="E551" s="294" t="s">
        <v>907</v>
      </c>
      <c r="F551" s="295" t="s">
        <v>261</v>
      </c>
      <c r="G551" s="296" t="s">
        <v>679</v>
      </c>
      <c r="H551" s="294" t="s">
        <v>403</v>
      </c>
      <c r="I551" s="297" t="str">
        <f t="shared" si="78"/>
        <v>leslokaal groep 1 t/m 3</v>
      </c>
      <c r="J551" s="295" t="s">
        <v>465</v>
      </c>
      <c r="K551" s="298">
        <v>52.2</v>
      </c>
      <c r="L551" s="298"/>
      <c r="M551" s="299">
        <v>7200</v>
      </c>
      <c r="N551" s="300">
        <f t="shared" si="73"/>
        <v>200</v>
      </c>
      <c r="O551" s="484">
        <v>1</v>
      </c>
      <c r="P551" s="484">
        <v>1</v>
      </c>
      <c r="Q551" s="292">
        <f t="shared" si="74"/>
        <v>0</v>
      </c>
      <c r="R551" s="292">
        <f t="shared" si="75"/>
        <v>0</v>
      </c>
      <c r="S551" s="301">
        <f t="shared" si="79"/>
        <v>0</v>
      </c>
      <c r="T551" s="301">
        <f t="shared" si="80"/>
        <v>0</v>
      </c>
      <c r="U551" s="771" t="str">
        <f t="shared" si="72"/>
        <v>L</v>
      </c>
      <c r="V551" s="303"/>
      <c r="W551" s="304">
        <f>(Q551+R551)*'1.0-Contractblad'!$L$37</f>
        <v>0</v>
      </c>
      <c r="X551" s="304">
        <f ca="1">VLOOKUP(E551,'1.1a-Jaarprijzen'!$B$35:$Q$57,16,FALSE)*K551</f>
        <v>0</v>
      </c>
      <c r="Z551" s="773">
        <f t="shared" si="76"/>
        <v>10440</v>
      </c>
      <c r="AA551" s="492" t="str">
        <f t="shared" si="77"/>
        <v>7200-200</v>
      </c>
    </row>
    <row r="552" spans="2:27" s="490" customFormat="1" ht="15">
      <c r="B552" s="330"/>
      <c r="C552" s="331"/>
      <c r="D552" s="295">
        <f>VLOOKUP(E552,'1.1a-Jaarprijzen'!$B$13:$G$32,6,FALSE)</f>
        <v>2</v>
      </c>
      <c r="E552" s="294" t="s">
        <v>907</v>
      </c>
      <c r="F552" s="295" t="s">
        <v>261</v>
      </c>
      <c r="G552" s="296" t="s">
        <v>680</v>
      </c>
      <c r="H552" s="294" t="s">
        <v>403</v>
      </c>
      <c r="I552" s="297" t="str">
        <f t="shared" si="78"/>
        <v>leslokaal groep 1 t/m 3</v>
      </c>
      <c r="J552" s="295" t="s">
        <v>465</v>
      </c>
      <c r="K552" s="298">
        <v>52.2</v>
      </c>
      <c r="L552" s="298"/>
      <c r="M552" s="299">
        <v>7200</v>
      </c>
      <c r="N552" s="300">
        <f t="shared" si="73"/>
        <v>200</v>
      </c>
      <c r="O552" s="484">
        <v>1</v>
      </c>
      <c r="P552" s="484">
        <v>1</v>
      </c>
      <c r="Q552" s="292">
        <f t="shared" si="74"/>
        <v>0</v>
      </c>
      <c r="R552" s="292">
        <f t="shared" si="75"/>
        <v>0</v>
      </c>
      <c r="S552" s="301">
        <f t="shared" si="79"/>
        <v>0</v>
      </c>
      <c r="T552" s="301">
        <f t="shared" si="80"/>
        <v>0</v>
      </c>
      <c r="U552" s="771" t="str">
        <f t="shared" si="72"/>
        <v>L</v>
      </c>
      <c r="V552" s="303"/>
      <c r="W552" s="304">
        <f>(Q552+R552)*'1.0-Contractblad'!$L$37</f>
        <v>0</v>
      </c>
      <c r="X552" s="304">
        <f ca="1">VLOOKUP(E552,'1.1a-Jaarprijzen'!$B$35:$Q$57,16,FALSE)*K552</f>
        <v>0</v>
      </c>
      <c r="Z552" s="773">
        <f t="shared" si="76"/>
        <v>10440</v>
      </c>
      <c r="AA552" s="492" t="str">
        <f t="shared" si="77"/>
        <v>7200-200</v>
      </c>
    </row>
    <row r="553" spans="2:27" s="490" customFormat="1" ht="15">
      <c r="B553" s="330"/>
      <c r="C553" s="331"/>
      <c r="D553" s="295">
        <f>VLOOKUP(E553,'1.1a-Jaarprijzen'!$B$13:$G$32,6,FALSE)</f>
        <v>2</v>
      </c>
      <c r="E553" s="294" t="s">
        <v>907</v>
      </c>
      <c r="F553" s="295" t="s">
        <v>261</v>
      </c>
      <c r="G553" s="296" t="s">
        <v>681</v>
      </c>
      <c r="H553" s="294" t="s">
        <v>403</v>
      </c>
      <c r="I553" s="297" t="str">
        <f t="shared" si="78"/>
        <v>leslokaal groep 1 t/m 3</v>
      </c>
      <c r="J553" s="295" t="s">
        <v>465</v>
      </c>
      <c r="K553" s="298">
        <v>54</v>
      </c>
      <c r="L553" s="298"/>
      <c r="M553" s="299">
        <v>7200</v>
      </c>
      <c r="N553" s="300">
        <f t="shared" si="73"/>
        <v>200</v>
      </c>
      <c r="O553" s="484">
        <v>1</v>
      </c>
      <c r="P553" s="484">
        <v>1</v>
      </c>
      <c r="Q553" s="292">
        <f t="shared" si="74"/>
        <v>0</v>
      </c>
      <c r="R553" s="292">
        <f t="shared" si="75"/>
        <v>0</v>
      </c>
      <c r="S553" s="301">
        <f t="shared" si="79"/>
        <v>0</v>
      </c>
      <c r="T553" s="301">
        <f t="shared" si="80"/>
        <v>0</v>
      </c>
      <c r="U553" s="771" t="str">
        <f t="shared" si="72"/>
        <v>L</v>
      </c>
      <c r="V553" s="303"/>
      <c r="W553" s="304">
        <f>(Q553+R553)*'1.0-Contractblad'!$L$37</f>
        <v>0</v>
      </c>
      <c r="X553" s="304">
        <f ca="1">VLOOKUP(E553,'1.1a-Jaarprijzen'!$B$35:$Q$57,16,FALSE)*K553</f>
        <v>0</v>
      </c>
      <c r="Z553" s="773">
        <f t="shared" si="76"/>
        <v>10800</v>
      </c>
      <c r="AA553" s="492" t="str">
        <f t="shared" si="77"/>
        <v>7200-200</v>
      </c>
    </row>
    <row r="554" spans="2:27" s="490" customFormat="1" ht="15">
      <c r="B554" s="330"/>
      <c r="C554" s="331"/>
      <c r="D554" s="295">
        <f>VLOOKUP(E554,'1.1a-Jaarprijzen'!$B$13:$G$32,6,FALSE)</f>
        <v>2</v>
      </c>
      <c r="E554" s="294" t="s">
        <v>907</v>
      </c>
      <c r="F554" s="295" t="s">
        <v>261</v>
      </c>
      <c r="G554" s="296" t="s">
        <v>682</v>
      </c>
      <c r="H554" s="294" t="s">
        <v>403</v>
      </c>
      <c r="I554" s="297" t="str">
        <f t="shared" si="78"/>
        <v>leslokaal groep 1 t/m 3</v>
      </c>
      <c r="J554" s="295" t="s">
        <v>465</v>
      </c>
      <c r="K554" s="298">
        <v>52</v>
      </c>
      <c r="L554" s="298"/>
      <c r="M554" s="299">
        <v>7200</v>
      </c>
      <c r="N554" s="300">
        <f t="shared" si="73"/>
        <v>200</v>
      </c>
      <c r="O554" s="484">
        <v>1</v>
      </c>
      <c r="P554" s="484">
        <v>1</v>
      </c>
      <c r="Q554" s="292">
        <f t="shared" si="74"/>
        <v>0</v>
      </c>
      <c r="R554" s="292">
        <f t="shared" si="75"/>
        <v>0</v>
      </c>
      <c r="S554" s="301">
        <f t="shared" si="79"/>
        <v>0</v>
      </c>
      <c r="T554" s="301">
        <f t="shared" si="80"/>
        <v>0</v>
      </c>
      <c r="U554" s="771" t="str">
        <f t="shared" si="72"/>
        <v>L</v>
      </c>
      <c r="V554" s="303"/>
      <c r="W554" s="304">
        <f>(Q554+R554)*'1.0-Contractblad'!$L$37</f>
        <v>0</v>
      </c>
      <c r="X554" s="304">
        <f ca="1">VLOOKUP(E554,'1.1a-Jaarprijzen'!$B$35:$Q$57,16,FALSE)*K554</f>
        <v>0</v>
      </c>
      <c r="Z554" s="773">
        <f t="shared" si="76"/>
        <v>10400</v>
      </c>
      <c r="AA554" s="492" t="str">
        <f t="shared" si="77"/>
        <v>7200-200</v>
      </c>
    </row>
    <row r="555" spans="2:27" s="490" customFormat="1" ht="15">
      <c r="B555" s="330"/>
      <c r="C555" s="331"/>
      <c r="D555" s="295">
        <f>VLOOKUP(E555,'1.1a-Jaarprijzen'!$B$13:$G$32,6,FALSE)</f>
        <v>2</v>
      </c>
      <c r="E555" s="294" t="s">
        <v>907</v>
      </c>
      <c r="F555" s="295" t="s">
        <v>261</v>
      </c>
      <c r="G555" s="296" t="s">
        <v>684</v>
      </c>
      <c r="H555" s="294" t="s">
        <v>387</v>
      </c>
      <c r="I555" s="297" t="str">
        <f t="shared" si="78"/>
        <v>entree, gang, hal, repro</v>
      </c>
      <c r="J555" s="295" t="s">
        <v>465</v>
      </c>
      <c r="K555" s="298">
        <v>37.800000000000004</v>
      </c>
      <c r="L555" s="298"/>
      <c r="M555" s="299">
        <v>3200</v>
      </c>
      <c r="N555" s="300">
        <f t="shared" si="73"/>
        <v>200</v>
      </c>
      <c r="O555" s="484">
        <v>1</v>
      </c>
      <c r="P555" s="484">
        <v>1</v>
      </c>
      <c r="Q555" s="292">
        <f t="shared" si="74"/>
        <v>0</v>
      </c>
      <c r="R555" s="292">
        <f t="shared" si="75"/>
        <v>0</v>
      </c>
      <c r="S555" s="301">
        <f t="shared" si="79"/>
        <v>0</v>
      </c>
      <c r="T555" s="301">
        <f t="shared" si="80"/>
        <v>0</v>
      </c>
      <c r="U555" s="771" t="str">
        <f t="shared" si="72"/>
        <v>V</v>
      </c>
      <c r="V555" s="303"/>
      <c r="W555" s="304">
        <f>(Q555+R555)*'1.0-Contractblad'!$L$37</f>
        <v>0</v>
      </c>
      <c r="X555" s="304">
        <f ca="1">VLOOKUP(E555,'1.1a-Jaarprijzen'!$B$35:$Q$57,16,FALSE)*K555</f>
        <v>0</v>
      </c>
      <c r="Z555" s="773">
        <f t="shared" si="76"/>
        <v>7560.0000000000009</v>
      </c>
      <c r="AA555" s="492" t="str">
        <f t="shared" si="77"/>
        <v>3200-200</v>
      </c>
    </row>
    <row r="556" spans="2:27" s="490" customFormat="1" ht="15">
      <c r="B556" s="330"/>
      <c r="C556" s="331"/>
      <c r="D556" s="295">
        <f>VLOOKUP(E556,'1.1a-Jaarprijzen'!$B$13:$G$32,6,FALSE)</f>
        <v>2</v>
      </c>
      <c r="E556" s="294" t="s">
        <v>907</v>
      </c>
      <c r="F556" s="295" t="s">
        <v>261</v>
      </c>
      <c r="G556" s="296" t="s">
        <v>686</v>
      </c>
      <c r="H556" s="294" t="s">
        <v>911</v>
      </c>
      <c r="I556" s="297" t="str">
        <f t="shared" si="78"/>
        <v>sanitaire ruimte (toilet-/doucheruimte)</v>
      </c>
      <c r="J556" s="295" t="s">
        <v>465</v>
      </c>
      <c r="K556" s="298">
        <v>7</v>
      </c>
      <c r="L556" s="298"/>
      <c r="M556" s="299">
        <v>4200</v>
      </c>
      <c r="N556" s="300">
        <f t="shared" si="73"/>
        <v>200</v>
      </c>
      <c r="O556" s="484">
        <v>1</v>
      </c>
      <c r="P556" s="484">
        <v>1</v>
      </c>
      <c r="Q556" s="292">
        <f t="shared" si="74"/>
        <v>0</v>
      </c>
      <c r="R556" s="292">
        <f t="shared" si="75"/>
        <v>0</v>
      </c>
      <c r="S556" s="301">
        <f t="shared" si="79"/>
        <v>0</v>
      </c>
      <c r="T556" s="301">
        <f t="shared" si="80"/>
        <v>0</v>
      </c>
      <c r="U556" s="771" t="str">
        <f t="shared" ref="U556:U619" si="81">IF(M556="","",VLOOKUP(M556,Kengetal,14,FALSE))</f>
        <v>S</v>
      </c>
      <c r="V556" s="303"/>
      <c r="W556" s="304">
        <f>(Q556+R556)*'1.0-Contractblad'!$L$37</f>
        <v>0</v>
      </c>
      <c r="X556" s="304">
        <f ca="1">VLOOKUP(E556,'1.1a-Jaarprijzen'!$B$35:$Q$57,16,FALSE)*K556</f>
        <v>0</v>
      </c>
      <c r="Z556" s="773">
        <f t="shared" si="76"/>
        <v>1400</v>
      </c>
      <c r="AA556" s="492" t="str">
        <f t="shared" si="77"/>
        <v>4200-200</v>
      </c>
    </row>
    <row r="557" spans="2:27" s="490" customFormat="1" ht="15">
      <c r="B557" s="330"/>
      <c r="C557" s="331"/>
      <c r="D557" s="295">
        <f>VLOOKUP(E557,'1.1a-Jaarprijzen'!$B$13:$G$32,6,FALSE)</f>
        <v>2</v>
      </c>
      <c r="E557" s="294" t="s">
        <v>907</v>
      </c>
      <c r="F557" s="295" t="s">
        <v>261</v>
      </c>
      <c r="G557" s="296" t="s">
        <v>687</v>
      </c>
      <c r="H557" s="294" t="s">
        <v>912</v>
      </c>
      <c r="I557" s="297" t="str">
        <f t="shared" si="78"/>
        <v>sanitaire ruimte (toilet-/doucheruimte)</v>
      </c>
      <c r="J557" s="295" t="s">
        <v>465</v>
      </c>
      <c r="K557" s="298">
        <v>7</v>
      </c>
      <c r="L557" s="298"/>
      <c r="M557" s="299">
        <v>4200</v>
      </c>
      <c r="N557" s="300">
        <f t="shared" ref="N557:N620" si="82">VLOOKUP(M557,Kengetal,3,FALSE)</f>
        <v>200</v>
      </c>
      <c r="O557" s="484">
        <v>1</v>
      </c>
      <c r="P557" s="484">
        <v>1</v>
      </c>
      <c r="Q557" s="292">
        <f t="shared" ref="Q557:Q620" si="83">S557*K557*O557</f>
        <v>0</v>
      </c>
      <c r="R557" s="292">
        <f t="shared" ref="R557:R620" si="84">T557*K557*P557</f>
        <v>0</v>
      </c>
      <c r="S557" s="301">
        <f t="shared" si="79"/>
        <v>0</v>
      </c>
      <c r="T557" s="301">
        <f t="shared" si="80"/>
        <v>0</v>
      </c>
      <c r="U557" s="771" t="str">
        <f t="shared" si="81"/>
        <v>S</v>
      </c>
      <c r="V557" s="303"/>
      <c r="W557" s="304">
        <f>(Q557+R557)*'1.0-Contractblad'!$L$37</f>
        <v>0</v>
      </c>
      <c r="X557" s="304">
        <f ca="1">VLOOKUP(E557,'1.1a-Jaarprijzen'!$B$35:$Q$57,16,FALSE)*K557</f>
        <v>0</v>
      </c>
      <c r="Z557" s="773">
        <f t="shared" ref="Z557:Z620" si="85">K557*N557</f>
        <v>1400</v>
      </c>
      <c r="AA557" s="492" t="str">
        <f t="shared" ref="AA557:AA620" si="86">CONCATENATE(M557,"-",N557)</f>
        <v>4200-200</v>
      </c>
    </row>
    <row r="558" spans="2:27" s="490" customFormat="1" ht="15">
      <c r="B558" s="330"/>
      <c r="C558" s="331"/>
      <c r="D558" s="295">
        <f>VLOOKUP(E558,'1.1a-Jaarprijzen'!$B$13:$G$32,6,FALSE)</f>
        <v>2</v>
      </c>
      <c r="E558" s="294" t="s">
        <v>907</v>
      </c>
      <c r="F558" s="295" t="s">
        <v>261</v>
      </c>
      <c r="G558" s="296" t="s">
        <v>770</v>
      </c>
      <c r="H558" s="294" t="s">
        <v>397</v>
      </c>
      <c r="I558" s="297" t="str">
        <f t="shared" si="78"/>
        <v>administratieve -,  vergaderruimte</v>
      </c>
      <c r="J558" s="295" t="s">
        <v>465</v>
      </c>
      <c r="K558" s="298">
        <v>9.33</v>
      </c>
      <c r="L558" s="298"/>
      <c r="M558" s="299">
        <v>1200</v>
      </c>
      <c r="N558" s="300">
        <f t="shared" si="82"/>
        <v>200</v>
      </c>
      <c r="O558" s="484">
        <v>1</v>
      </c>
      <c r="P558" s="484">
        <v>1</v>
      </c>
      <c r="Q558" s="292">
        <f t="shared" si="83"/>
        <v>0</v>
      </c>
      <c r="R558" s="292">
        <f t="shared" si="84"/>
        <v>0</v>
      </c>
      <c r="S558" s="301">
        <f t="shared" si="79"/>
        <v>0</v>
      </c>
      <c r="T558" s="301">
        <f t="shared" si="80"/>
        <v>0</v>
      </c>
      <c r="U558" s="771" t="str">
        <f t="shared" si="81"/>
        <v>V</v>
      </c>
      <c r="V558" s="303"/>
      <c r="W558" s="304">
        <f>(Q558+R558)*'1.0-Contractblad'!$L$37</f>
        <v>0</v>
      </c>
      <c r="X558" s="304">
        <f ca="1">VLOOKUP(E558,'1.1a-Jaarprijzen'!$B$35:$Q$57,16,FALSE)*K558</f>
        <v>0</v>
      </c>
      <c r="Z558" s="773">
        <f t="shared" si="85"/>
        <v>1866</v>
      </c>
      <c r="AA558" s="492" t="str">
        <f t="shared" si="86"/>
        <v>1200-200</v>
      </c>
    </row>
    <row r="559" spans="2:27" s="490" customFormat="1" ht="15">
      <c r="B559" s="330"/>
      <c r="C559" s="331"/>
      <c r="D559" s="295">
        <f>VLOOKUP(E559,'1.1a-Jaarprijzen'!$B$13:$G$32,6,FALSE)</f>
        <v>2</v>
      </c>
      <c r="E559" s="294" t="s">
        <v>907</v>
      </c>
      <c r="F559" s="295" t="s">
        <v>261</v>
      </c>
      <c r="G559" s="296" t="s">
        <v>771</v>
      </c>
      <c r="H559" s="294" t="s">
        <v>391</v>
      </c>
      <c r="I559" s="297" t="str">
        <f t="shared" si="78"/>
        <v>niet van toepassing</v>
      </c>
      <c r="J559" s="295" t="s">
        <v>465</v>
      </c>
      <c r="K559" s="298"/>
      <c r="L559" s="298">
        <v>2.9</v>
      </c>
      <c r="M559" s="299" t="s">
        <v>17</v>
      </c>
      <c r="N559" s="300">
        <f t="shared" si="82"/>
        <v>0</v>
      </c>
      <c r="O559" s="484">
        <v>1</v>
      </c>
      <c r="P559" s="484">
        <v>1</v>
      </c>
      <c r="Q559" s="292">
        <f t="shared" si="83"/>
        <v>0</v>
      </c>
      <c r="R559" s="292">
        <f t="shared" si="84"/>
        <v>0</v>
      </c>
      <c r="S559" s="301">
        <f t="shared" si="79"/>
        <v>0</v>
      </c>
      <c r="T559" s="301">
        <f t="shared" si="80"/>
        <v>0</v>
      </c>
      <c r="U559" s="771">
        <f t="shared" si="81"/>
        <v>0</v>
      </c>
      <c r="V559" s="303"/>
      <c r="W559" s="304">
        <f>(Q559+R559)*'1.0-Contractblad'!$L$37</f>
        <v>0</v>
      </c>
      <c r="X559" s="304">
        <f ca="1">VLOOKUP(E559,'1.1a-Jaarprijzen'!$B$35:$Q$57,16,FALSE)*K559</f>
        <v>0</v>
      </c>
      <c r="Z559" s="773">
        <f t="shared" si="85"/>
        <v>0</v>
      </c>
      <c r="AA559" s="492" t="str">
        <f t="shared" si="86"/>
        <v>nvt-0</v>
      </c>
    </row>
    <row r="560" spans="2:27" s="490" customFormat="1" ht="15">
      <c r="B560" s="330"/>
      <c r="C560" s="331"/>
      <c r="D560" s="295">
        <f>VLOOKUP(E560,'1.1a-Jaarprijzen'!$B$13:$G$32,6,FALSE)</f>
        <v>2</v>
      </c>
      <c r="E560" s="294" t="s">
        <v>907</v>
      </c>
      <c r="F560" s="295" t="s">
        <v>261</v>
      </c>
      <c r="G560" s="296" t="s">
        <v>920</v>
      </c>
      <c r="H560" s="294" t="s">
        <v>388</v>
      </c>
      <c r="I560" s="297" t="str">
        <f t="shared" si="78"/>
        <v>niet van toepassing</v>
      </c>
      <c r="J560" s="295" t="s">
        <v>465</v>
      </c>
      <c r="K560" s="298"/>
      <c r="L560" s="298">
        <v>1.4</v>
      </c>
      <c r="M560" s="299" t="s">
        <v>17</v>
      </c>
      <c r="N560" s="300">
        <f t="shared" si="82"/>
        <v>0</v>
      </c>
      <c r="O560" s="484">
        <v>1</v>
      </c>
      <c r="P560" s="484">
        <v>1</v>
      </c>
      <c r="Q560" s="292">
        <f t="shared" si="83"/>
        <v>0</v>
      </c>
      <c r="R560" s="292">
        <f t="shared" si="84"/>
        <v>0</v>
      </c>
      <c r="S560" s="301">
        <f t="shared" si="79"/>
        <v>0</v>
      </c>
      <c r="T560" s="301">
        <f t="shared" si="80"/>
        <v>0</v>
      </c>
      <c r="U560" s="771">
        <f t="shared" si="81"/>
        <v>0</v>
      </c>
      <c r="V560" s="303"/>
      <c r="W560" s="304">
        <f>(Q560+R560)*'1.0-Contractblad'!$L$37</f>
        <v>0</v>
      </c>
      <c r="X560" s="304">
        <f ca="1">VLOOKUP(E560,'1.1a-Jaarprijzen'!$B$35:$Q$57,16,FALSE)*K560</f>
        <v>0</v>
      </c>
      <c r="Z560" s="773">
        <f t="shared" si="85"/>
        <v>0</v>
      </c>
      <c r="AA560" s="492" t="str">
        <f t="shared" si="86"/>
        <v>nvt-0</v>
      </c>
    </row>
    <row r="561" spans="2:27" s="490" customFormat="1" ht="15">
      <c r="B561" s="330"/>
      <c r="C561" s="331"/>
      <c r="D561" s="295">
        <f>VLOOKUP(E561,'1.1a-Jaarprijzen'!$B$13:$G$32,6,FALSE)</f>
        <v>2</v>
      </c>
      <c r="E561" s="294" t="s">
        <v>907</v>
      </c>
      <c r="F561" s="295" t="s">
        <v>261</v>
      </c>
      <c r="G561" s="296" t="s">
        <v>772</v>
      </c>
      <c r="H561" s="294" t="s">
        <v>403</v>
      </c>
      <c r="I561" s="297" t="str">
        <f t="shared" si="78"/>
        <v>leslokaal groep 1 t/m 3</v>
      </c>
      <c r="J561" s="295" t="s">
        <v>465</v>
      </c>
      <c r="K561" s="298">
        <v>56.58</v>
      </c>
      <c r="L561" s="298"/>
      <c r="M561" s="299">
        <v>7200</v>
      </c>
      <c r="N561" s="300">
        <f t="shared" si="82"/>
        <v>200</v>
      </c>
      <c r="O561" s="484">
        <v>1</v>
      </c>
      <c r="P561" s="484">
        <v>1</v>
      </c>
      <c r="Q561" s="292">
        <f t="shared" si="83"/>
        <v>0</v>
      </c>
      <c r="R561" s="292">
        <f t="shared" si="84"/>
        <v>0</v>
      </c>
      <c r="S561" s="301">
        <f t="shared" si="79"/>
        <v>0</v>
      </c>
      <c r="T561" s="301">
        <f t="shared" si="80"/>
        <v>0</v>
      </c>
      <c r="U561" s="771" t="str">
        <f t="shared" si="81"/>
        <v>L</v>
      </c>
      <c r="V561" s="303"/>
      <c r="W561" s="304">
        <f>(Q561+R561)*'1.0-Contractblad'!$L$37</f>
        <v>0</v>
      </c>
      <c r="X561" s="304">
        <f ca="1">VLOOKUP(E561,'1.1a-Jaarprijzen'!$B$35:$Q$57,16,FALSE)*K561</f>
        <v>0</v>
      </c>
      <c r="Z561" s="773">
        <f t="shared" si="85"/>
        <v>11316</v>
      </c>
      <c r="AA561" s="492" t="str">
        <f t="shared" si="86"/>
        <v>7200-200</v>
      </c>
    </row>
    <row r="562" spans="2:27" s="490" customFormat="1" ht="15">
      <c r="B562" s="330"/>
      <c r="C562" s="331"/>
      <c r="D562" s="295">
        <f>VLOOKUP(E562,'1.1a-Jaarprijzen'!$B$13:$G$32,6,FALSE)</f>
        <v>2</v>
      </c>
      <c r="E562" s="294" t="s">
        <v>907</v>
      </c>
      <c r="F562" s="295" t="s">
        <v>261</v>
      </c>
      <c r="G562" s="296" t="s">
        <v>773</v>
      </c>
      <c r="H562" s="294" t="s">
        <v>403</v>
      </c>
      <c r="I562" s="297" t="str">
        <f t="shared" si="78"/>
        <v>leslokaal groep 1 t/m 3</v>
      </c>
      <c r="J562" s="295" t="s">
        <v>465</v>
      </c>
      <c r="K562" s="298">
        <v>63.4</v>
      </c>
      <c r="L562" s="298"/>
      <c r="M562" s="299">
        <v>7200</v>
      </c>
      <c r="N562" s="300">
        <f t="shared" si="82"/>
        <v>200</v>
      </c>
      <c r="O562" s="484">
        <v>1</v>
      </c>
      <c r="P562" s="484">
        <v>1</v>
      </c>
      <c r="Q562" s="292">
        <f t="shared" si="83"/>
        <v>0</v>
      </c>
      <c r="R562" s="292">
        <f t="shared" si="84"/>
        <v>0</v>
      </c>
      <c r="S562" s="301">
        <f t="shared" si="79"/>
        <v>0</v>
      </c>
      <c r="T562" s="301">
        <f t="shared" si="80"/>
        <v>0</v>
      </c>
      <c r="U562" s="771" t="str">
        <f t="shared" si="81"/>
        <v>L</v>
      </c>
      <c r="V562" s="303"/>
      <c r="W562" s="304">
        <f>(Q562+R562)*'1.0-Contractblad'!$L$37</f>
        <v>0</v>
      </c>
      <c r="X562" s="304">
        <f ca="1">VLOOKUP(E562,'1.1a-Jaarprijzen'!$B$35:$Q$57,16,FALSE)*K562</f>
        <v>0</v>
      </c>
      <c r="Z562" s="773">
        <f t="shared" si="85"/>
        <v>12680</v>
      </c>
      <c r="AA562" s="492" t="str">
        <f t="shared" si="86"/>
        <v>7200-200</v>
      </c>
    </row>
    <row r="563" spans="2:27" s="490" customFormat="1" ht="15">
      <c r="B563" s="330"/>
      <c r="C563" s="331"/>
      <c r="D563" s="295">
        <f>VLOOKUP(E563,'1.1a-Jaarprijzen'!$B$13:$G$32,6,FALSE)</f>
        <v>2</v>
      </c>
      <c r="E563" s="294" t="s">
        <v>907</v>
      </c>
      <c r="F563" s="295" t="s">
        <v>261</v>
      </c>
      <c r="G563" s="296" t="s">
        <v>774</v>
      </c>
      <c r="H563" s="294" t="s">
        <v>921</v>
      </c>
      <c r="I563" s="297" t="str">
        <f t="shared" si="78"/>
        <v>niet van toepassing</v>
      </c>
      <c r="J563" s="295" t="s">
        <v>465</v>
      </c>
      <c r="K563" s="298"/>
      <c r="L563" s="298">
        <v>0.01</v>
      </c>
      <c r="M563" s="299" t="s">
        <v>17</v>
      </c>
      <c r="N563" s="300">
        <f t="shared" si="82"/>
        <v>0</v>
      </c>
      <c r="O563" s="484">
        <v>1</v>
      </c>
      <c r="P563" s="484">
        <v>1</v>
      </c>
      <c r="Q563" s="292">
        <f t="shared" si="83"/>
        <v>0</v>
      </c>
      <c r="R563" s="292">
        <f t="shared" si="84"/>
        <v>0</v>
      </c>
      <c r="S563" s="301">
        <f t="shared" si="79"/>
        <v>0</v>
      </c>
      <c r="T563" s="301">
        <f t="shared" si="80"/>
        <v>0</v>
      </c>
      <c r="U563" s="771">
        <f t="shared" si="81"/>
        <v>0</v>
      </c>
      <c r="V563" s="303"/>
      <c r="W563" s="304">
        <f>(Q563+R563)*'1.0-Contractblad'!$L$37</f>
        <v>0</v>
      </c>
      <c r="X563" s="304">
        <f ca="1">VLOOKUP(E563,'1.1a-Jaarprijzen'!$B$35:$Q$57,16,FALSE)*K563</f>
        <v>0</v>
      </c>
      <c r="Z563" s="773">
        <f t="shared" si="85"/>
        <v>0</v>
      </c>
      <c r="AA563" s="492" t="str">
        <f t="shared" si="86"/>
        <v>nvt-0</v>
      </c>
    </row>
    <row r="564" spans="2:27" s="490" customFormat="1" ht="15">
      <c r="B564" s="330"/>
      <c r="C564" s="331"/>
      <c r="D564" s="295">
        <f>VLOOKUP(E564,'1.1a-Jaarprijzen'!$B$13:$G$32,6,FALSE)</f>
        <v>2</v>
      </c>
      <c r="E564" s="294" t="s">
        <v>907</v>
      </c>
      <c r="F564" s="295" t="s">
        <v>261</v>
      </c>
      <c r="G564" s="296" t="s">
        <v>776</v>
      </c>
      <c r="H564" s="294" t="s">
        <v>403</v>
      </c>
      <c r="I564" s="297" t="str">
        <f t="shared" si="78"/>
        <v>leslokaal groep 1 t/m 3</v>
      </c>
      <c r="J564" s="295" t="s">
        <v>465</v>
      </c>
      <c r="K564" s="298">
        <v>60.48</v>
      </c>
      <c r="L564" s="298"/>
      <c r="M564" s="299">
        <v>7200</v>
      </c>
      <c r="N564" s="300">
        <f t="shared" si="82"/>
        <v>200</v>
      </c>
      <c r="O564" s="484">
        <v>1</v>
      </c>
      <c r="P564" s="484">
        <v>1</v>
      </c>
      <c r="Q564" s="292">
        <f t="shared" si="83"/>
        <v>0</v>
      </c>
      <c r="R564" s="292">
        <f t="shared" si="84"/>
        <v>0</v>
      </c>
      <c r="S564" s="301">
        <f t="shared" si="79"/>
        <v>0</v>
      </c>
      <c r="T564" s="301">
        <f t="shared" si="80"/>
        <v>0</v>
      </c>
      <c r="U564" s="771" t="str">
        <f t="shared" si="81"/>
        <v>L</v>
      </c>
      <c r="V564" s="303"/>
      <c r="W564" s="304">
        <f>(Q564+R564)*'1.0-Contractblad'!$L$37</f>
        <v>0</v>
      </c>
      <c r="X564" s="304">
        <f ca="1">VLOOKUP(E564,'1.1a-Jaarprijzen'!$B$35:$Q$57,16,FALSE)*K564</f>
        <v>0</v>
      </c>
      <c r="Z564" s="773">
        <f t="shared" si="85"/>
        <v>12096</v>
      </c>
      <c r="AA564" s="492" t="str">
        <f t="shared" si="86"/>
        <v>7200-200</v>
      </c>
    </row>
    <row r="565" spans="2:27" s="490" customFormat="1" ht="15">
      <c r="B565" s="330"/>
      <c r="C565" s="331"/>
      <c r="D565" s="295">
        <f>VLOOKUP(E565,'1.1a-Jaarprijzen'!$B$13:$G$32,6,FALSE)</f>
        <v>2</v>
      </c>
      <c r="E565" s="294" t="s">
        <v>907</v>
      </c>
      <c r="F565" s="295" t="s">
        <v>261</v>
      </c>
      <c r="G565" s="296" t="s">
        <v>777</v>
      </c>
      <c r="H565" s="294" t="s">
        <v>403</v>
      </c>
      <c r="I565" s="297" t="str">
        <f t="shared" si="78"/>
        <v>leslokaal groep 1 t/m 3</v>
      </c>
      <c r="J565" s="295" t="s">
        <v>465</v>
      </c>
      <c r="K565" s="298">
        <v>60.48</v>
      </c>
      <c r="L565" s="298"/>
      <c r="M565" s="299">
        <v>7200</v>
      </c>
      <c r="N565" s="300">
        <f t="shared" si="82"/>
        <v>200</v>
      </c>
      <c r="O565" s="484">
        <v>1</v>
      </c>
      <c r="P565" s="484">
        <v>1</v>
      </c>
      <c r="Q565" s="292">
        <f t="shared" si="83"/>
        <v>0</v>
      </c>
      <c r="R565" s="292">
        <f t="shared" si="84"/>
        <v>0</v>
      </c>
      <c r="S565" s="301">
        <f t="shared" si="79"/>
        <v>0</v>
      </c>
      <c r="T565" s="301">
        <f t="shared" si="80"/>
        <v>0</v>
      </c>
      <c r="U565" s="771" t="str">
        <f t="shared" si="81"/>
        <v>L</v>
      </c>
      <c r="V565" s="303"/>
      <c r="W565" s="304">
        <f>(Q565+R565)*'1.0-Contractblad'!$L$37</f>
        <v>0</v>
      </c>
      <c r="X565" s="304">
        <f ca="1">VLOOKUP(E565,'1.1a-Jaarprijzen'!$B$35:$Q$57,16,FALSE)*K565</f>
        <v>0</v>
      </c>
      <c r="Z565" s="773">
        <f t="shared" si="85"/>
        <v>12096</v>
      </c>
      <c r="AA565" s="492" t="str">
        <f t="shared" si="86"/>
        <v>7200-200</v>
      </c>
    </row>
    <row r="566" spans="2:27" s="490" customFormat="1" ht="15">
      <c r="B566" s="330"/>
      <c r="C566" s="331"/>
      <c r="D566" s="295">
        <f>VLOOKUP(E566,'1.1a-Jaarprijzen'!$B$13:$G$32,6,FALSE)</f>
        <v>2</v>
      </c>
      <c r="E566" s="294" t="s">
        <v>907</v>
      </c>
      <c r="F566" s="295" t="s">
        <v>261</v>
      </c>
      <c r="G566" s="296" t="s">
        <v>778</v>
      </c>
      <c r="H566" s="294" t="s">
        <v>403</v>
      </c>
      <c r="I566" s="297" t="str">
        <f t="shared" si="78"/>
        <v>leslokaal groep 1 t/m 3</v>
      </c>
      <c r="J566" s="295" t="s">
        <v>465</v>
      </c>
      <c r="K566" s="298">
        <v>62.44</v>
      </c>
      <c r="L566" s="298"/>
      <c r="M566" s="299">
        <v>7200</v>
      </c>
      <c r="N566" s="300">
        <f t="shared" si="82"/>
        <v>200</v>
      </c>
      <c r="O566" s="484">
        <v>1</v>
      </c>
      <c r="P566" s="484">
        <v>1</v>
      </c>
      <c r="Q566" s="292">
        <f t="shared" si="83"/>
        <v>0</v>
      </c>
      <c r="R566" s="292">
        <f t="shared" si="84"/>
        <v>0</v>
      </c>
      <c r="S566" s="301">
        <f t="shared" si="79"/>
        <v>0</v>
      </c>
      <c r="T566" s="301">
        <f t="shared" si="80"/>
        <v>0</v>
      </c>
      <c r="U566" s="771" t="str">
        <f t="shared" si="81"/>
        <v>L</v>
      </c>
      <c r="V566" s="303"/>
      <c r="W566" s="304">
        <f>(Q566+R566)*'1.0-Contractblad'!$L$37</f>
        <v>0</v>
      </c>
      <c r="X566" s="304">
        <f ca="1">VLOOKUP(E566,'1.1a-Jaarprijzen'!$B$35:$Q$57,16,FALSE)*K566</f>
        <v>0</v>
      </c>
      <c r="Z566" s="773">
        <f t="shared" si="85"/>
        <v>12488</v>
      </c>
      <c r="AA566" s="492" t="str">
        <f t="shared" si="86"/>
        <v>7200-200</v>
      </c>
    </row>
    <row r="567" spans="2:27" s="490" customFormat="1" ht="15">
      <c r="B567" s="330"/>
      <c r="C567" s="331"/>
      <c r="D567" s="295">
        <f>VLOOKUP(E567,'1.1a-Jaarprijzen'!$B$13:$G$32,6,FALSE)</f>
        <v>2</v>
      </c>
      <c r="E567" s="294" t="s">
        <v>907</v>
      </c>
      <c r="F567" s="295" t="s">
        <v>261</v>
      </c>
      <c r="G567" s="296" t="s">
        <v>922</v>
      </c>
      <c r="H567" s="294" t="s">
        <v>403</v>
      </c>
      <c r="I567" s="297" t="str">
        <f t="shared" si="78"/>
        <v>leslokaal groep 1 t/m 3</v>
      </c>
      <c r="J567" s="295" t="s">
        <v>465</v>
      </c>
      <c r="K567" s="298">
        <v>55.61</v>
      </c>
      <c r="L567" s="298"/>
      <c r="M567" s="299">
        <v>7200</v>
      </c>
      <c r="N567" s="300">
        <f t="shared" si="82"/>
        <v>200</v>
      </c>
      <c r="O567" s="484">
        <v>1</v>
      </c>
      <c r="P567" s="484">
        <v>1</v>
      </c>
      <c r="Q567" s="292">
        <f t="shared" si="83"/>
        <v>0</v>
      </c>
      <c r="R567" s="292">
        <f t="shared" si="84"/>
        <v>0</v>
      </c>
      <c r="S567" s="301">
        <f t="shared" si="79"/>
        <v>0</v>
      </c>
      <c r="T567" s="301">
        <f t="shared" si="80"/>
        <v>0</v>
      </c>
      <c r="U567" s="771" t="str">
        <f t="shared" si="81"/>
        <v>L</v>
      </c>
      <c r="V567" s="303"/>
      <c r="W567" s="304">
        <f>(Q567+R567)*'1.0-Contractblad'!$L$37</f>
        <v>0</v>
      </c>
      <c r="X567" s="304">
        <f ca="1">VLOOKUP(E567,'1.1a-Jaarprijzen'!$B$35:$Q$57,16,FALSE)*K567</f>
        <v>0</v>
      </c>
      <c r="Z567" s="773">
        <f t="shared" si="85"/>
        <v>11122</v>
      </c>
      <c r="AA567" s="492" t="str">
        <f t="shared" si="86"/>
        <v>7200-200</v>
      </c>
    </row>
    <row r="568" spans="2:27" s="490" customFormat="1" ht="15">
      <c r="B568" s="330"/>
      <c r="C568" s="331"/>
      <c r="D568" s="295">
        <f>VLOOKUP(E568,'1.1a-Jaarprijzen'!$B$13:$G$32,6,FALSE)</f>
        <v>2</v>
      </c>
      <c r="E568" s="294" t="s">
        <v>907</v>
      </c>
      <c r="F568" s="295" t="s">
        <v>261</v>
      </c>
      <c r="G568" s="296" t="s">
        <v>923</v>
      </c>
      <c r="H568" s="294" t="s">
        <v>403</v>
      </c>
      <c r="I568" s="297" t="str">
        <f t="shared" si="78"/>
        <v>leslokaal groep 1 t/m 3</v>
      </c>
      <c r="J568" s="295" t="s">
        <v>465</v>
      </c>
      <c r="K568" s="298">
        <v>55.61</v>
      </c>
      <c r="L568" s="298"/>
      <c r="M568" s="299">
        <v>7200</v>
      </c>
      <c r="N568" s="300">
        <f t="shared" si="82"/>
        <v>200</v>
      </c>
      <c r="O568" s="484">
        <v>1</v>
      </c>
      <c r="P568" s="484">
        <v>1</v>
      </c>
      <c r="Q568" s="292">
        <f t="shared" si="83"/>
        <v>0</v>
      </c>
      <c r="R568" s="292">
        <f t="shared" si="84"/>
        <v>0</v>
      </c>
      <c r="S568" s="301">
        <f t="shared" si="79"/>
        <v>0</v>
      </c>
      <c r="T568" s="301">
        <f t="shared" si="80"/>
        <v>0</v>
      </c>
      <c r="U568" s="771" t="str">
        <f t="shared" si="81"/>
        <v>L</v>
      </c>
      <c r="V568" s="303"/>
      <c r="W568" s="304">
        <f>(Q568+R568)*'1.0-Contractblad'!$L$37</f>
        <v>0</v>
      </c>
      <c r="X568" s="304">
        <f ca="1">VLOOKUP(E568,'1.1a-Jaarprijzen'!$B$35:$Q$57,16,FALSE)*K568</f>
        <v>0</v>
      </c>
      <c r="Z568" s="773">
        <f t="shared" si="85"/>
        <v>11122</v>
      </c>
      <c r="AA568" s="492" t="str">
        <f t="shared" si="86"/>
        <v>7200-200</v>
      </c>
    </row>
    <row r="569" spans="2:27" s="490" customFormat="1" ht="15">
      <c r="B569" s="330"/>
      <c r="C569" s="331"/>
      <c r="D569" s="295">
        <f>VLOOKUP(E569,'1.1a-Jaarprijzen'!$B$13:$G$32,6,FALSE)</f>
        <v>2</v>
      </c>
      <c r="E569" s="294" t="s">
        <v>907</v>
      </c>
      <c r="F569" s="295" t="s">
        <v>261</v>
      </c>
      <c r="G569" s="296" t="s">
        <v>779</v>
      </c>
      <c r="H569" s="294" t="s">
        <v>403</v>
      </c>
      <c r="I569" s="297" t="str">
        <f t="shared" si="78"/>
        <v>leslokaal groep 1 t/m 3</v>
      </c>
      <c r="J569" s="295" t="s">
        <v>465</v>
      </c>
      <c r="K569" s="298">
        <v>58.53</v>
      </c>
      <c r="L569" s="298"/>
      <c r="M569" s="299">
        <v>7200</v>
      </c>
      <c r="N569" s="300">
        <f t="shared" si="82"/>
        <v>200</v>
      </c>
      <c r="O569" s="484">
        <v>1</v>
      </c>
      <c r="P569" s="484">
        <v>1</v>
      </c>
      <c r="Q569" s="292">
        <f t="shared" si="83"/>
        <v>0</v>
      </c>
      <c r="R569" s="292">
        <f t="shared" si="84"/>
        <v>0</v>
      </c>
      <c r="S569" s="301">
        <f t="shared" si="79"/>
        <v>0</v>
      </c>
      <c r="T569" s="301">
        <f t="shared" si="80"/>
        <v>0</v>
      </c>
      <c r="U569" s="771" t="str">
        <f t="shared" si="81"/>
        <v>L</v>
      </c>
      <c r="V569" s="303"/>
      <c r="W569" s="304">
        <f>(Q569+R569)*'1.0-Contractblad'!$L$37</f>
        <v>0</v>
      </c>
      <c r="X569" s="304">
        <f ca="1">VLOOKUP(E569,'1.1a-Jaarprijzen'!$B$35:$Q$57,16,FALSE)*K569</f>
        <v>0</v>
      </c>
      <c r="Z569" s="773">
        <f t="shared" si="85"/>
        <v>11706</v>
      </c>
      <c r="AA569" s="492" t="str">
        <f t="shared" si="86"/>
        <v>7200-200</v>
      </c>
    </row>
    <row r="570" spans="2:27" s="490" customFormat="1" ht="15">
      <c r="B570" s="330"/>
      <c r="C570" s="331"/>
      <c r="D570" s="295">
        <f>VLOOKUP(E570,'1.1a-Jaarprijzen'!$B$13:$G$32,6,FALSE)</f>
        <v>2</v>
      </c>
      <c r="E570" s="294" t="s">
        <v>907</v>
      </c>
      <c r="F570" s="295" t="s">
        <v>261</v>
      </c>
      <c r="G570" s="296" t="s">
        <v>781</v>
      </c>
      <c r="H570" s="294" t="s">
        <v>693</v>
      </c>
      <c r="I570" s="297" t="str">
        <f t="shared" si="78"/>
        <v>sanitaire ruimte (toilet-/doucheruimte)</v>
      </c>
      <c r="J570" s="295" t="s">
        <v>465</v>
      </c>
      <c r="K570" s="298">
        <v>6</v>
      </c>
      <c r="L570" s="298"/>
      <c r="M570" s="299">
        <v>4200</v>
      </c>
      <c r="N570" s="300">
        <f t="shared" si="82"/>
        <v>200</v>
      </c>
      <c r="O570" s="484">
        <v>1</v>
      </c>
      <c r="P570" s="484">
        <v>1</v>
      </c>
      <c r="Q570" s="292">
        <f t="shared" si="83"/>
        <v>0</v>
      </c>
      <c r="R570" s="292">
        <f t="shared" si="84"/>
        <v>0</v>
      </c>
      <c r="S570" s="301">
        <f t="shared" si="79"/>
        <v>0</v>
      </c>
      <c r="T570" s="301">
        <f t="shared" si="80"/>
        <v>0</v>
      </c>
      <c r="U570" s="771" t="str">
        <f t="shared" si="81"/>
        <v>S</v>
      </c>
      <c r="V570" s="303"/>
      <c r="W570" s="304">
        <f>(Q570+R570)*'1.0-Contractblad'!$L$37</f>
        <v>0</v>
      </c>
      <c r="X570" s="304">
        <f ca="1">VLOOKUP(E570,'1.1a-Jaarprijzen'!$B$35:$Q$57,16,FALSE)*K570</f>
        <v>0</v>
      </c>
      <c r="Z570" s="773">
        <f t="shared" si="85"/>
        <v>1200</v>
      </c>
      <c r="AA570" s="492" t="str">
        <f t="shared" si="86"/>
        <v>4200-200</v>
      </c>
    </row>
    <row r="571" spans="2:27" s="490" customFormat="1" ht="15">
      <c r="B571" s="330"/>
      <c r="C571" s="331"/>
      <c r="D571" s="295">
        <f>VLOOKUP(E571,'1.1a-Jaarprijzen'!$B$13:$G$32,6,FALSE)</f>
        <v>2</v>
      </c>
      <c r="E571" s="294" t="s">
        <v>907</v>
      </c>
      <c r="F571" s="295" t="s">
        <v>261</v>
      </c>
      <c r="G571" s="296" t="s">
        <v>782</v>
      </c>
      <c r="H571" s="294" t="s">
        <v>477</v>
      </c>
      <c r="I571" s="297" t="str">
        <f t="shared" si="78"/>
        <v>sanitaire ruimte (toilet-/doucheruimte)</v>
      </c>
      <c r="J571" s="295" t="s">
        <v>465</v>
      </c>
      <c r="K571" s="298">
        <v>2.2399999999999998</v>
      </c>
      <c r="L571" s="298"/>
      <c r="M571" s="299">
        <v>4200</v>
      </c>
      <c r="N571" s="300">
        <f t="shared" si="82"/>
        <v>200</v>
      </c>
      <c r="O571" s="484">
        <v>1</v>
      </c>
      <c r="P571" s="484">
        <v>1</v>
      </c>
      <c r="Q571" s="292">
        <f t="shared" si="83"/>
        <v>0</v>
      </c>
      <c r="R571" s="292">
        <f t="shared" si="84"/>
        <v>0</v>
      </c>
      <c r="S571" s="301">
        <f t="shared" si="79"/>
        <v>0</v>
      </c>
      <c r="T571" s="301">
        <f t="shared" si="80"/>
        <v>0</v>
      </c>
      <c r="U571" s="771" t="str">
        <f t="shared" si="81"/>
        <v>S</v>
      </c>
      <c r="V571" s="303"/>
      <c r="W571" s="304">
        <f>(Q571+R571)*'1.0-Contractblad'!$L$37</f>
        <v>0</v>
      </c>
      <c r="X571" s="304">
        <f ca="1">VLOOKUP(E571,'1.1a-Jaarprijzen'!$B$35:$Q$57,16,FALSE)*K571</f>
        <v>0</v>
      </c>
      <c r="Z571" s="773">
        <f t="shared" si="85"/>
        <v>447.99999999999994</v>
      </c>
      <c r="AA571" s="492" t="str">
        <f t="shared" si="86"/>
        <v>4200-200</v>
      </c>
    </row>
    <row r="572" spans="2:27" s="490" customFormat="1" ht="15">
      <c r="B572" s="330"/>
      <c r="C572" s="331"/>
      <c r="D572" s="295">
        <f>VLOOKUP(E572,'1.1a-Jaarprijzen'!$B$13:$G$32,6,FALSE)</f>
        <v>2</v>
      </c>
      <c r="E572" s="294" t="s">
        <v>907</v>
      </c>
      <c r="F572" s="295" t="s">
        <v>261</v>
      </c>
      <c r="G572" s="296" t="s">
        <v>783</v>
      </c>
      <c r="H572" s="294" t="s">
        <v>387</v>
      </c>
      <c r="I572" s="297" t="str">
        <f t="shared" si="78"/>
        <v>entree, gang, hal, repro</v>
      </c>
      <c r="J572" s="295" t="s">
        <v>465</v>
      </c>
      <c r="K572" s="298">
        <v>20.440000000000001</v>
      </c>
      <c r="L572" s="298"/>
      <c r="M572" s="299">
        <v>3200</v>
      </c>
      <c r="N572" s="300">
        <f t="shared" si="82"/>
        <v>200</v>
      </c>
      <c r="O572" s="484">
        <v>1</v>
      </c>
      <c r="P572" s="484">
        <v>1</v>
      </c>
      <c r="Q572" s="292">
        <f t="shared" si="83"/>
        <v>0</v>
      </c>
      <c r="R572" s="292">
        <f t="shared" si="84"/>
        <v>0</v>
      </c>
      <c r="S572" s="301">
        <f t="shared" si="79"/>
        <v>0</v>
      </c>
      <c r="T572" s="301">
        <f t="shared" si="80"/>
        <v>0</v>
      </c>
      <c r="U572" s="771" t="str">
        <f t="shared" si="81"/>
        <v>V</v>
      </c>
      <c r="V572" s="303"/>
      <c r="W572" s="304">
        <f>(Q572+R572)*'1.0-Contractblad'!$L$37</f>
        <v>0</v>
      </c>
      <c r="X572" s="304">
        <f ca="1">VLOOKUP(E572,'1.1a-Jaarprijzen'!$B$35:$Q$57,16,FALSE)*K572</f>
        <v>0</v>
      </c>
      <c r="Z572" s="773">
        <f t="shared" si="85"/>
        <v>4088.0000000000005</v>
      </c>
      <c r="AA572" s="492" t="str">
        <f t="shared" si="86"/>
        <v>3200-200</v>
      </c>
    </row>
    <row r="573" spans="2:27" s="490" customFormat="1" ht="15">
      <c r="B573" s="330"/>
      <c r="C573" s="331"/>
      <c r="D573" s="295">
        <f>VLOOKUP(E573,'1.1a-Jaarprijzen'!$B$13:$G$32,6,FALSE)</f>
        <v>2</v>
      </c>
      <c r="E573" s="294" t="s">
        <v>907</v>
      </c>
      <c r="F573" s="295" t="s">
        <v>261</v>
      </c>
      <c r="G573" s="296" t="s">
        <v>924</v>
      </c>
      <c r="H573" s="294" t="s">
        <v>925</v>
      </c>
      <c r="I573" s="297" t="str">
        <f t="shared" si="78"/>
        <v>niet van toepassing</v>
      </c>
      <c r="J573" s="295" t="s">
        <v>465</v>
      </c>
      <c r="K573" s="298"/>
      <c r="L573" s="298">
        <v>1.8</v>
      </c>
      <c r="M573" s="299" t="s">
        <v>17</v>
      </c>
      <c r="N573" s="300">
        <f t="shared" si="82"/>
        <v>0</v>
      </c>
      <c r="O573" s="484">
        <v>1</v>
      </c>
      <c r="P573" s="484">
        <v>1</v>
      </c>
      <c r="Q573" s="292">
        <f t="shared" si="83"/>
        <v>0</v>
      </c>
      <c r="R573" s="292">
        <f t="shared" si="84"/>
        <v>0</v>
      </c>
      <c r="S573" s="301">
        <f t="shared" si="79"/>
        <v>0</v>
      </c>
      <c r="T573" s="301">
        <f t="shared" si="80"/>
        <v>0</v>
      </c>
      <c r="U573" s="771">
        <f t="shared" si="81"/>
        <v>0</v>
      </c>
      <c r="V573" s="303"/>
      <c r="W573" s="304">
        <f>(Q573+R573)*'1.0-Contractblad'!$L$37</f>
        <v>0</v>
      </c>
      <c r="X573" s="304">
        <f ca="1">VLOOKUP(E573,'1.1a-Jaarprijzen'!$B$35:$Q$57,16,FALSE)*K573</f>
        <v>0</v>
      </c>
      <c r="Z573" s="773">
        <f t="shared" si="85"/>
        <v>0</v>
      </c>
      <c r="AA573" s="492" t="str">
        <f t="shared" si="86"/>
        <v>nvt-0</v>
      </c>
    </row>
    <row r="574" spans="2:27" s="490" customFormat="1" ht="15">
      <c r="B574" s="330"/>
      <c r="C574" s="331"/>
      <c r="D574" s="295">
        <f>VLOOKUP(E574,'1.1a-Jaarprijzen'!$B$13:$G$32,6,FALSE)</f>
        <v>2</v>
      </c>
      <c r="E574" s="294" t="s">
        <v>907</v>
      </c>
      <c r="F574" s="295" t="s">
        <v>261</v>
      </c>
      <c r="G574" s="296" t="s">
        <v>926</v>
      </c>
      <c r="H574" s="294" t="s">
        <v>927</v>
      </c>
      <c r="I574" s="297" t="str">
        <f t="shared" si="78"/>
        <v>trappenhuis</v>
      </c>
      <c r="J574" s="295" t="s">
        <v>465</v>
      </c>
      <c r="K574" s="298">
        <v>5.4</v>
      </c>
      <c r="L574" s="298"/>
      <c r="M574" s="299">
        <v>9200</v>
      </c>
      <c r="N574" s="300">
        <f t="shared" si="82"/>
        <v>200</v>
      </c>
      <c r="O574" s="484">
        <v>1</v>
      </c>
      <c r="P574" s="484">
        <v>1</v>
      </c>
      <c r="Q574" s="292">
        <f t="shared" si="83"/>
        <v>0</v>
      </c>
      <c r="R574" s="292">
        <f t="shared" si="84"/>
        <v>0</v>
      </c>
      <c r="S574" s="301">
        <f t="shared" si="79"/>
        <v>0</v>
      </c>
      <c r="T574" s="301">
        <f t="shared" si="80"/>
        <v>0</v>
      </c>
      <c r="U574" s="771" t="str">
        <f t="shared" si="81"/>
        <v>V</v>
      </c>
      <c r="V574" s="303"/>
      <c r="W574" s="304">
        <f>(Q574+R574)*'1.0-Contractblad'!$L$37</f>
        <v>0</v>
      </c>
      <c r="X574" s="304">
        <f ca="1">VLOOKUP(E574,'1.1a-Jaarprijzen'!$B$35:$Q$57,16,FALSE)*K574</f>
        <v>0</v>
      </c>
      <c r="Z574" s="773">
        <f t="shared" si="85"/>
        <v>1080</v>
      </c>
      <c r="AA574" s="492" t="str">
        <f t="shared" si="86"/>
        <v>9200-200</v>
      </c>
    </row>
    <row r="575" spans="2:27" s="490" customFormat="1" ht="15">
      <c r="B575" s="330"/>
      <c r="C575" s="331"/>
      <c r="D575" s="295">
        <f>VLOOKUP(E575,'1.1a-Jaarprijzen'!$B$13:$G$32,6,FALSE)</f>
        <v>2</v>
      </c>
      <c r="E575" s="686" t="s">
        <v>928</v>
      </c>
      <c r="F575" s="295" t="s">
        <v>605</v>
      </c>
      <c r="G575" s="296" t="s">
        <v>616</v>
      </c>
      <c r="H575" s="294" t="s">
        <v>390</v>
      </c>
      <c r="I575" s="297" t="str">
        <f t="shared" si="78"/>
        <v>speellokaal</v>
      </c>
      <c r="J575" s="295" t="s">
        <v>465</v>
      </c>
      <c r="K575" s="298">
        <v>79.510000000000005</v>
      </c>
      <c r="L575" s="298"/>
      <c r="M575" s="299">
        <v>8260</v>
      </c>
      <c r="N575" s="300">
        <f t="shared" si="82"/>
        <v>260</v>
      </c>
      <c r="O575" s="484">
        <v>1</v>
      </c>
      <c r="P575" s="484">
        <v>1</v>
      </c>
      <c r="Q575" s="292">
        <f t="shared" si="83"/>
        <v>0</v>
      </c>
      <c r="R575" s="292">
        <f t="shared" si="84"/>
        <v>0</v>
      </c>
      <c r="S575" s="301">
        <f t="shared" si="79"/>
        <v>0</v>
      </c>
      <c r="T575" s="301">
        <f t="shared" si="80"/>
        <v>0</v>
      </c>
      <c r="U575" s="771" t="str">
        <f t="shared" si="81"/>
        <v>L</v>
      </c>
      <c r="V575" s="303" t="s">
        <v>1067</v>
      </c>
      <c r="W575" s="304">
        <f>(Q575+R575)*'1.0-Contractblad'!$L$37</f>
        <v>0</v>
      </c>
      <c r="X575" s="304">
        <f ca="1">VLOOKUP(E575,'1.1a-Jaarprijzen'!$B$35:$Q$57,16,FALSE)*K575</f>
        <v>0</v>
      </c>
      <c r="Z575" s="773">
        <f t="shared" si="85"/>
        <v>20672.600000000002</v>
      </c>
      <c r="AA575" s="492" t="str">
        <f t="shared" si="86"/>
        <v>8260-260</v>
      </c>
    </row>
    <row r="576" spans="2:27" s="490" customFormat="1" ht="15">
      <c r="B576" s="330"/>
      <c r="C576" s="331"/>
      <c r="D576" s="295">
        <f>VLOOKUP(E576,'1.1a-Jaarprijzen'!$B$13:$G$32,6,FALSE)</f>
        <v>2</v>
      </c>
      <c r="E576" s="686" t="s">
        <v>928</v>
      </c>
      <c r="F576" s="295" t="s">
        <v>605</v>
      </c>
      <c r="G576" s="296" t="s">
        <v>618</v>
      </c>
      <c r="H576" s="294" t="s">
        <v>675</v>
      </c>
      <c r="I576" s="297" t="str">
        <f t="shared" si="78"/>
        <v>kinderverblijf ruimte</v>
      </c>
      <c r="J576" s="295" t="s">
        <v>465</v>
      </c>
      <c r="K576" s="298">
        <v>9.6999999999999993</v>
      </c>
      <c r="L576" s="298"/>
      <c r="M576" s="299">
        <v>12260</v>
      </c>
      <c r="N576" s="300">
        <f t="shared" si="82"/>
        <v>260</v>
      </c>
      <c r="O576" s="484">
        <v>1</v>
      </c>
      <c r="P576" s="484">
        <v>1</v>
      </c>
      <c r="Q576" s="292">
        <f t="shared" si="83"/>
        <v>0</v>
      </c>
      <c r="R576" s="292">
        <f t="shared" si="84"/>
        <v>0</v>
      </c>
      <c r="S576" s="301">
        <f t="shared" si="79"/>
        <v>0</v>
      </c>
      <c r="T576" s="301">
        <f t="shared" si="80"/>
        <v>0</v>
      </c>
      <c r="U576" s="771" t="str">
        <f t="shared" si="81"/>
        <v>V</v>
      </c>
      <c r="V576" s="303" t="s">
        <v>1067</v>
      </c>
      <c r="W576" s="304">
        <f>(Q576+R576)*'1.0-Contractblad'!$L$37</f>
        <v>0</v>
      </c>
      <c r="X576" s="304">
        <f ca="1">VLOOKUP(E576,'1.1a-Jaarprijzen'!$B$35:$Q$57,16,FALSE)*K576</f>
        <v>0</v>
      </c>
      <c r="Z576" s="773">
        <f t="shared" si="85"/>
        <v>2522</v>
      </c>
      <c r="AA576" s="492" t="str">
        <f t="shared" si="86"/>
        <v>12260-260</v>
      </c>
    </row>
    <row r="577" spans="2:27" s="490" customFormat="1" ht="15">
      <c r="B577" s="330"/>
      <c r="C577" s="331"/>
      <c r="D577" s="295">
        <f>VLOOKUP(E577,'1.1a-Jaarprijzen'!$B$13:$G$32,6,FALSE)</f>
        <v>2</v>
      </c>
      <c r="E577" s="686" t="s">
        <v>928</v>
      </c>
      <c r="F577" s="295" t="s">
        <v>605</v>
      </c>
      <c r="G577" s="296" t="s">
        <v>747</v>
      </c>
      <c r="H577" s="294" t="s">
        <v>929</v>
      </c>
      <c r="I577" s="297" t="str">
        <f t="shared" si="78"/>
        <v>sanitaire ruimte (toilet-/doucheruimte)</v>
      </c>
      <c r="J577" s="295" t="s">
        <v>465</v>
      </c>
      <c r="K577" s="298">
        <v>7.76</v>
      </c>
      <c r="L577" s="298"/>
      <c r="M577" s="299">
        <v>4260</v>
      </c>
      <c r="N577" s="300">
        <f t="shared" si="82"/>
        <v>260</v>
      </c>
      <c r="O577" s="484">
        <v>1</v>
      </c>
      <c r="P577" s="484">
        <v>1</v>
      </c>
      <c r="Q577" s="292">
        <f t="shared" si="83"/>
        <v>0</v>
      </c>
      <c r="R577" s="292">
        <f t="shared" si="84"/>
        <v>0</v>
      </c>
      <c r="S577" s="301">
        <f t="shared" si="79"/>
        <v>0</v>
      </c>
      <c r="T577" s="301">
        <f t="shared" si="80"/>
        <v>0</v>
      </c>
      <c r="U577" s="771" t="str">
        <f t="shared" si="81"/>
        <v>S</v>
      </c>
      <c r="V577" s="303" t="s">
        <v>1067</v>
      </c>
      <c r="W577" s="304">
        <f>(Q577+R577)*'1.0-Contractblad'!$L$37</f>
        <v>0</v>
      </c>
      <c r="X577" s="304">
        <f ca="1">VLOOKUP(E577,'1.1a-Jaarprijzen'!$B$35:$Q$57,16,FALSE)*K577</f>
        <v>0</v>
      </c>
      <c r="Z577" s="773">
        <f t="shared" si="85"/>
        <v>2017.6</v>
      </c>
      <c r="AA577" s="492" t="str">
        <f t="shared" si="86"/>
        <v>4260-260</v>
      </c>
    </row>
    <row r="578" spans="2:27" s="490" customFormat="1" ht="15">
      <c r="B578" s="330"/>
      <c r="C578" s="331"/>
      <c r="D578" s="295">
        <f>VLOOKUP(E578,'1.1a-Jaarprijzen'!$B$13:$G$32,6,FALSE)</f>
        <v>2</v>
      </c>
      <c r="E578" s="686" t="s">
        <v>928</v>
      </c>
      <c r="F578" s="295" t="s">
        <v>605</v>
      </c>
      <c r="G578" s="296" t="s">
        <v>619</v>
      </c>
      <c r="H578" s="294" t="s">
        <v>930</v>
      </c>
      <c r="I578" s="297" t="str">
        <f t="shared" si="78"/>
        <v>kinderverblijf ruimte</v>
      </c>
      <c r="J578" s="295" t="s">
        <v>465</v>
      </c>
      <c r="K578" s="298">
        <v>62.44</v>
      </c>
      <c r="L578" s="298"/>
      <c r="M578" s="299">
        <v>12260</v>
      </c>
      <c r="N578" s="300">
        <f t="shared" si="82"/>
        <v>260</v>
      </c>
      <c r="O578" s="484">
        <v>1</v>
      </c>
      <c r="P578" s="484">
        <v>1</v>
      </c>
      <c r="Q578" s="292">
        <f t="shared" si="83"/>
        <v>0</v>
      </c>
      <c r="R578" s="292">
        <f t="shared" si="84"/>
        <v>0</v>
      </c>
      <c r="S578" s="301">
        <f t="shared" si="79"/>
        <v>0</v>
      </c>
      <c r="T578" s="301">
        <f t="shared" si="80"/>
        <v>0</v>
      </c>
      <c r="U578" s="771" t="str">
        <f t="shared" si="81"/>
        <v>V</v>
      </c>
      <c r="V578" s="303" t="s">
        <v>1067</v>
      </c>
      <c r="W578" s="304">
        <f>(Q578+R578)*'1.0-Contractblad'!$L$37</f>
        <v>0</v>
      </c>
      <c r="X578" s="304">
        <f ca="1">VLOOKUP(E578,'1.1a-Jaarprijzen'!$B$35:$Q$57,16,FALSE)*K578</f>
        <v>0</v>
      </c>
      <c r="Z578" s="773">
        <f t="shared" si="85"/>
        <v>16234.4</v>
      </c>
      <c r="AA578" s="492" t="str">
        <f t="shared" si="86"/>
        <v>12260-260</v>
      </c>
    </row>
    <row r="579" spans="2:27" s="490" customFormat="1" ht="15">
      <c r="B579" s="330"/>
      <c r="C579" s="331"/>
      <c r="D579" s="295">
        <f>VLOOKUP(E579,'1.1a-Jaarprijzen'!$B$13:$G$32,6,FALSE)</f>
        <v>2</v>
      </c>
      <c r="E579" s="686" t="s">
        <v>928</v>
      </c>
      <c r="F579" s="295" t="s">
        <v>605</v>
      </c>
      <c r="G579" s="296" t="s">
        <v>620</v>
      </c>
      <c r="H579" s="294" t="s">
        <v>930</v>
      </c>
      <c r="I579" s="297" t="str">
        <f t="shared" si="78"/>
        <v>kinderverblijf ruimte</v>
      </c>
      <c r="J579" s="295" t="s">
        <v>465</v>
      </c>
      <c r="K579" s="298">
        <v>62.44</v>
      </c>
      <c r="L579" s="298"/>
      <c r="M579" s="299">
        <v>12260</v>
      </c>
      <c r="N579" s="300">
        <f t="shared" si="82"/>
        <v>260</v>
      </c>
      <c r="O579" s="484">
        <v>1</v>
      </c>
      <c r="P579" s="484">
        <v>1</v>
      </c>
      <c r="Q579" s="292">
        <f t="shared" si="83"/>
        <v>0</v>
      </c>
      <c r="R579" s="292">
        <f t="shared" si="84"/>
        <v>0</v>
      </c>
      <c r="S579" s="301">
        <f t="shared" si="79"/>
        <v>0</v>
      </c>
      <c r="T579" s="301">
        <f t="shared" si="80"/>
        <v>0</v>
      </c>
      <c r="U579" s="771" t="str">
        <f t="shared" si="81"/>
        <v>V</v>
      </c>
      <c r="V579" s="303" t="s">
        <v>1067</v>
      </c>
      <c r="W579" s="304">
        <f>(Q579+R579)*'1.0-Contractblad'!$L$37</f>
        <v>0</v>
      </c>
      <c r="X579" s="304">
        <f ca="1">VLOOKUP(E579,'1.1a-Jaarprijzen'!$B$35:$Q$57,16,FALSE)*K579</f>
        <v>0</v>
      </c>
      <c r="Z579" s="773">
        <f t="shared" si="85"/>
        <v>16234.4</v>
      </c>
      <c r="AA579" s="492" t="str">
        <f t="shared" si="86"/>
        <v>12260-260</v>
      </c>
    </row>
    <row r="580" spans="2:27" s="490" customFormat="1" ht="15">
      <c r="B580" s="330"/>
      <c r="C580" s="331"/>
      <c r="D580" s="295">
        <f>VLOOKUP(E580,'1.1a-Jaarprijzen'!$B$13:$G$32,6,FALSE)</f>
        <v>2</v>
      </c>
      <c r="E580" s="686" t="s">
        <v>928</v>
      </c>
      <c r="F580" s="295" t="s">
        <v>605</v>
      </c>
      <c r="G580" s="296" t="s">
        <v>621</v>
      </c>
      <c r="H580" s="294" t="s">
        <v>675</v>
      </c>
      <c r="I580" s="297" t="str">
        <f t="shared" si="78"/>
        <v>kinderverblijf ruimte</v>
      </c>
      <c r="J580" s="295" t="s">
        <v>465</v>
      </c>
      <c r="K580" s="298">
        <v>7.26</v>
      </c>
      <c r="L580" s="298"/>
      <c r="M580" s="299">
        <v>12260</v>
      </c>
      <c r="N580" s="300">
        <f t="shared" si="82"/>
        <v>260</v>
      </c>
      <c r="O580" s="484">
        <v>1</v>
      </c>
      <c r="P580" s="484">
        <v>1</v>
      </c>
      <c r="Q580" s="292">
        <f t="shared" si="83"/>
        <v>0</v>
      </c>
      <c r="R580" s="292">
        <f t="shared" si="84"/>
        <v>0</v>
      </c>
      <c r="S580" s="301">
        <f t="shared" si="79"/>
        <v>0</v>
      </c>
      <c r="T580" s="301">
        <f t="shared" si="80"/>
        <v>0</v>
      </c>
      <c r="U580" s="771" t="str">
        <f t="shared" si="81"/>
        <v>V</v>
      </c>
      <c r="V580" s="303" t="s">
        <v>1067</v>
      </c>
      <c r="W580" s="304">
        <f>(Q580+R580)*'1.0-Contractblad'!$L$37</f>
        <v>0</v>
      </c>
      <c r="X580" s="304">
        <f ca="1">VLOOKUP(E580,'1.1a-Jaarprijzen'!$B$35:$Q$57,16,FALSE)*K580</f>
        <v>0</v>
      </c>
      <c r="Z580" s="773">
        <f t="shared" si="85"/>
        <v>1887.6</v>
      </c>
      <c r="AA580" s="492" t="str">
        <f t="shared" si="86"/>
        <v>12260-260</v>
      </c>
    </row>
    <row r="581" spans="2:27" s="490" customFormat="1" ht="15">
      <c r="B581" s="330"/>
      <c r="C581" s="331"/>
      <c r="D581" s="295">
        <f>VLOOKUP(E581,'1.1a-Jaarprijzen'!$B$13:$G$32,6,FALSE)</f>
        <v>2</v>
      </c>
      <c r="E581" s="686" t="s">
        <v>928</v>
      </c>
      <c r="F581" s="295" t="s">
        <v>605</v>
      </c>
      <c r="G581" s="296" t="s">
        <v>622</v>
      </c>
      <c r="H581" s="294" t="s">
        <v>675</v>
      </c>
      <c r="I581" s="297" t="str">
        <f t="shared" si="78"/>
        <v>kinderverblijf ruimte</v>
      </c>
      <c r="J581" s="295" t="s">
        <v>465</v>
      </c>
      <c r="K581" s="298">
        <v>6.22</v>
      </c>
      <c r="L581" s="298"/>
      <c r="M581" s="299">
        <v>12260</v>
      </c>
      <c r="N581" s="300">
        <f t="shared" si="82"/>
        <v>260</v>
      </c>
      <c r="O581" s="484">
        <v>1</v>
      </c>
      <c r="P581" s="484">
        <v>1</v>
      </c>
      <c r="Q581" s="292">
        <f t="shared" si="83"/>
        <v>0</v>
      </c>
      <c r="R581" s="292">
        <f t="shared" si="84"/>
        <v>0</v>
      </c>
      <c r="S581" s="301">
        <f t="shared" si="79"/>
        <v>0</v>
      </c>
      <c r="T581" s="301">
        <f t="shared" si="80"/>
        <v>0</v>
      </c>
      <c r="U581" s="771" t="str">
        <f t="shared" si="81"/>
        <v>V</v>
      </c>
      <c r="V581" s="303" t="s">
        <v>1067</v>
      </c>
      <c r="W581" s="304">
        <f>(Q581+R581)*'1.0-Contractblad'!$L$37</f>
        <v>0</v>
      </c>
      <c r="X581" s="304">
        <f ca="1">VLOOKUP(E581,'1.1a-Jaarprijzen'!$B$35:$Q$57,16,FALSE)*K581</f>
        <v>0</v>
      </c>
      <c r="Z581" s="773">
        <f t="shared" si="85"/>
        <v>1617.2</v>
      </c>
      <c r="AA581" s="492" t="str">
        <f t="shared" si="86"/>
        <v>12260-260</v>
      </c>
    </row>
    <row r="582" spans="2:27" s="490" customFormat="1" ht="15">
      <c r="B582" s="330"/>
      <c r="C582" s="331"/>
      <c r="D582" s="295">
        <f>VLOOKUP(E582,'1.1a-Jaarprijzen'!$B$13:$G$32,6,FALSE)</f>
        <v>2</v>
      </c>
      <c r="E582" s="686" t="s">
        <v>928</v>
      </c>
      <c r="F582" s="295" t="s">
        <v>605</v>
      </c>
      <c r="G582" s="296" t="s">
        <v>623</v>
      </c>
      <c r="H582" s="294" t="s">
        <v>675</v>
      </c>
      <c r="I582" s="297" t="str">
        <f t="shared" si="78"/>
        <v>kinderverblijf ruimte</v>
      </c>
      <c r="J582" s="295" t="s">
        <v>465</v>
      </c>
      <c r="K582" s="298">
        <v>6.22</v>
      </c>
      <c r="L582" s="298"/>
      <c r="M582" s="299">
        <v>12260</v>
      </c>
      <c r="N582" s="300">
        <f t="shared" si="82"/>
        <v>260</v>
      </c>
      <c r="O582" s="484">
        <v>1</v>
      </c>
      <c r="P582" s="484">
        <v>1</v>
      </c>
      <c r="Q582" s="292">
        <f t="shared" si="83"/>
        <v>0</v>
      </c>
      <c r="R582" s="292">
        <f t="shared" si="84"/>
        <v>0</v>
      </c>
      <c r="S582" s="301">
        <f t="shared" si="79"/>
        <v>0</v>
      </c>
      <c r="T582" s="301">
        <f t="shared" si="80"/>
        <v>0</v>
      </c>
      <c r="U582" s="771" t="str">
        <f t="shared" si="81"/>
        <v>V</v>
      </c>
      <c r="V582" s="303" t="s">
        <v>1067</v>
      </c>
      <c r="W582" s="304">
        <f>(Q582+R582)*'1.0-Contractblad'!$L$37</f>
        <v>0</v>
      </c>
      <c r="X582" s="304">
        <f ca="1">VLOOKUP(E582,'1.1a-Jaarprijzen'!$B$35:$Q$57,16,FALSE)*K582</f>
        <v>0</v>
      </c>
      <c r="Z582" s="773">
        <f t="shared" si="85"/>
        <v>1617.2</v>
      </c>
      <c r="AA582" s="492" t="str">
        <f t="shared" si="86"/>
        <v>12260-260</v>
      </c>
    </row>
    <row r="583" spans="2:27" s="490" customFormat="1" ht="15">
      <c r="B583" s="330"/>
      <c r="C583" s="331"/>
      <c r="D583" s="295">
        <f>VLOOKUP(E583,'1.1a-Jaarprijzen'!$B$13:$G$32,6,FALSE)</f>
        <v>2</v>
      </c>
      <c r="E583" s="686" t="s">
        <v>928</v>
      </c>
      <c r="F583" s="295" t="s">
        <v>605</v>
      </c>
      <c r="G583" s="296" t="s">
        <v>749</v>
      </c>
      <c r="H583" s="294" t="s">
        <v>929</v>
      </c>
      <c r="I583" s="297" t="str">
        <f t="shared" si="78"/>
        <v>sanitaire ruimte (toilet-/doucheruimte)</v>
      </c>
      <c r="J583" s="295" t="s">
        <v>465</v>
      </c>
      <c r="K583" s="298">
        <v>7.76</v>
      </c>
      <c r="L583" s="298"/>
      <c r="M583" s="299">
        <v>4260</v>
      </c>
      <c r="N583" s="300">
        <f t="shared" si="82"/>
        <v>260</v>
      </c>
      <c r="O583" s="484">
        <v>1</v>
      </c>
      <c r="P583" s="484">
        <v>1</v>
      </c>
      <c r="Q583" s="292">
        <f t="shared" si="83"/>
        <v>0</v>
      </c>
      <c r="R583" s="292">
        <f t="shared" si="84"/>
        <v>0</v>
      </c>
      <c r="S583" s="301">
        <f t="shared" si="79"/>
        <v>0</v>
      </c>
      <c r="T583" s="301">
        <f t="shared" si="80"/>
        <v>0</v>
      </c>
      <c r="U583" s="771" t="str">
        <f t="shared" si="81"/>
        <v>S</v>
      </c>
      <c r="V583" s="303" t="s">
        <v>1067</v>
      </c>
      <c r="W583" s="304">
        <f>(Q583+R583)*'1.0-Contractblad'!$L$37</f>
        <v>0</v>
      </c>
      <c r="X583" s="304">
        <f ca="1">VLOOKUP(E583,'1.1a-Jaarprijzen'!$B$35:$Q$57,16,FALSE)*K583</f>
        <v>0</v>
      </c>
      <c r="Z583" s="773">
        <f t="shared" si="85"/>
        <v>2017.6</v>
      </c>
      <c r="AA583" s="492" t="str">
        <f t="shared" si="86"/>
        <v>4260-260</v>
      </c>
    </row>
    <row r="584" spans="2:27" s="490" customFormat="1" ht="15">
      <c r="B584" s="330"/>
      <c r="C584" s="331"/>
      <c r="D584" s="295">
        <f>VLOOKUP(E584,'1.1a-Jaarprijzen'!$B$13:$G$32,6,FALSE)</f>
        <v>2</v>
      </c>
      <c r="E584" s="686" t="s">
        <v>928</v>
      </c>
      <c r="F584" s="295" t="s">
        <v>605</v>
      </c>
      <c r="G584" s="296" t="s">
        <v>750</v>
      </c>
      <c r="H584" s="294" t="s">
        <v>931</v>
      </c>
      <c r="I584" s="297" t="str">
        <f t="shared" si="78"/>
        <v>kinderverblijf ruimte</v>
      </c>
      <c r="J584" s="295" t="s">
        <v>465</v>
      </c>
      <c r="K584" s="298">
        <v>58.53</v>
      </c>
      <c r="L584" s="298"/>
      <c r="M584" s="299">
        <v>12260</v>
      </c>
      <c r="N584" s="300">
        <f t="shared" si="82"/>
        <v>260</v>
      </c>
      <c r="O584" s="484">
        <v>1</v>
      </c>
      <c r="P584" s="484">
        <v>1</v>
      </c>
      <c r="Q584" s="292">
        <f t="shared" si="83"/>
        <v>0</v>
      </c>
      <c r="R584" s="292">
        <f t="shared" si="84"/>
        <v>0</v>
      </c>
      <c r="S584" s="301">
        <f t="shared" si="79"/>
        <v>0</v>
      </c>
      <c r="T584" s="301">
        <f t="shared" si="80"/>
        <v>0</v>
      </c>
      <c r="U584" s="771" t="str">
        <f t="shared" si="81"/>
        <v>V</v>
      </c>
      <c r="V584" s="303" t="s">
        <v>1067</v>
      </c>
      <c r="W584" s="304">
        <f>(Q584+R584)*'1.0-Contractblad'!$L$37</f>
        <v>0</v>
      </c>
      <c r="X584" s="304">
        <f ca="1">VLOOKUP(E584,'1.1a-Jaarprijzen'!$B$35:$Q$57,16,FALSE)*K584</f>
        <v>0</v>
      </c>
      <c r="Z584" s="773">
        <f t="shared" si="85"/>
        <v>15217.800000000001</v>
      </c>
      <c r="AA584" s="492" t="str">
        <f t="shared" si="86"/>
        <v>12260-260</v>
      </c>
    </row>
    <row r="585" spans="2:27" s="490" customFormat="1" ht="15">
      <c r="B585" s="330"/>
      <c r="C585" s="331"/>
      <c r="D585" s="295">
        <f>VLOOKUP(E585,'1.1a-Jaarprijzen'!$B$13:$G$32,6,FALSE)</f>
        <v>2</v>
      </c>
      <c r="E585" s="686" t="s">
        <v>928</v>
      </c>
      <c r="F585" s="295" t="s">
        <v>605</v>
      </c>
      <c r="G585" s="296" t="s">
        <v>751</v>
      </c>
      <c r="H585" s="294" t="s">
        <v>393</v>
      </c>
      <c r="I585" s="297" t="str">
        <f t="shared" si="78"/>
        <v>entree, gang, hal, repro</v>
      </c>
      <c r="J585" s="295" t="s">
        <v>465</v>
      </c>
      <c r="K585" s="298">
        <v>8.36</v>
      </c>
      <c r="L585" s="298"/>
      <c r="M585" s="299">
        <v>3260</v>
      </c>
      <c r="N585" s="300">
        <f t="shared" si="82"/>
        <v>260</v>
      </c>
      <c r="O585" s="484">
        <v>1</v>
      </c>
      <c r="P585" s="484">
        <v>1</v>
      </c>
      <c r="Q585" s="292">
        <f t="shared" si="83"/>
        <v>0</v>
      </c>
      <c r="R585" s="292">
        <f t="shared" si="84"/>
        <v>0</v>
      </c>
      <c r="S585" s="301">
        <f t="shared" si="79"/>
        <v>0</v>
      </c>
      <c r="T585" s="301">
        <f t="shared" si="80"/>
        <v>0</v>
      </c>
      <c r="U585" s="771" t="str">
        <f t="shared" si="81"/>
        <v>V</v>
      </c>
      <c r="V585" s="303" t="s">
        <v>1067</v>
      </c>
      <c r="W585" s="304">
        <f>(Q585+R585)*'1.0-Contractblad'!$L$37</f>
        <v>0</v>
      </c>
      <c r="X585" s="304">
        <f ca="1">VLOOKUP(E585,'1.1a-Jaarprijzen'!$B$35:$Q$57,16,FALSE)*K585</f>
        <v>0</v>
      </c>
      <c r="Z585" s="773">
        <f t="shared" si="85"/>
        <v>2173.6</v>
      </c>
      <c r="AA585" s="492" t="str">
        <f t="shared" si="86"/>
        <v>3260-260</v>
      </c>
    </row>
    <row r="586" spans="2:27" s="490" customFormat="1" ht="15">
      <c r="B586" s="330"/>
      <c r="C586" s="331"/>
      <c r="D586" s="295">
        <f>VLOOKUP(E586,'1.1a-Jaarprijzen'!$B$13:$G$32,6,FALSE)</f>
        <v>2</v>
      </c>
      <c r="E586" s="686" t="s">
        <v>928</v>
      </c>
      <c r="F586" s="295" t="s">
        <v>605</v>
      </c>
      <c r="G586" s="296" t="s">
        <v>752</v>
      </c>
      <c r="H586" s="294" t="s">
        <v>394</v>
      </c>
      <c r="I586" s="297" t="str">
        <f t="shared" si="78"/>
        <v>administratieve -,  vergaderruimte</v>
      </c>
      <c r="J586" s="295" t="s">
        <v>465</v>
      </c>
      <c r="K586" s="298">
        <v>9.33</v>
      </c>
      <c r="L586" s="298"/>
      <c r="M586" s="299">
        <v>1260</v>
      </c>
      <c r="N586" s="300">
        <f t="shared" si="82"/>
        <v>260</v>
      </c>
      <c r="O586" s="484">
        <v>1</v>
      </c>
      <c r="P586" s="484">
        <v>1</v>
      </c>
      <c r="Q586" s="292">
        <f t="shared" si="83"/>
        <v>0</v>
      </c>
      <c r="R586" s="292">
        <f t="shared" si="84"/>
        <v>0</v>
      </c>
      <c r="S586" s="301">
        <f t="shared" si="79"/>
        <v>0</v>
      </c>
      <c r="T586" s="301">
        <f t="shared" si="80"/>
        <v>0</v>
      </c>
      <c r="U586" s="771" t="str">
        <f t="shared" si="81"/>
        <v>V</v>
      </c>
      <c r="V586" s="303" t="s">
        <v>1067</v>
      </c>
      <c r="W586" s="304">
        <f>(Q586+R586)*'1.0-Contractblad'!$L$37</f>
        <v>0</v>
      </c>
      <c r="X586" s="304">
        <f ca="1">VLOOKUP(E586,'1.1a-Jaarprijzen'!$B$35:$Q$57,16,FALSE)*K586</f>
        <v>0</v>
      </c>
      <c r="Z586" s="773">
        <f t="shared" si="85"/>
        <v>2425.8000000000002</v>
      </c>
      <c r="AA586" s="492" t="str">
        <f t="shared" si="86"/>
        <v>1260-260</v>
      </c>
    </row>
    <row r="587" spans="2:27" s="490" customFormat="1" ht="15">
      <c r="B587" s="330"/>
      <c r="C587" s="331"/>
      <c r="D587" s="295">
        <f>VLOOKUP(E587,'1.1a-Jaarprijzen'!$B$13:$G$32,6,FALSE)</f>
        <v>2</v>
      </c>
      <c r="E587" s="686" t="s">
        <v>928</v>
      </c>
      <c r="F587" s="295" t="s">
        <v>605</v>
      </c>
      <c r="G587" s="296" t="s">
        <v>753</v>
      </c>
      <c r="H587" s="294" t="s">
        <v>606</v>
      </c>
      <c r="I587" s="297" t="str">
        <f t="shared" si="78"/>
        <v>administratieve -,  vergaderruimte</v>
      </c>
      <c r="J587" s="295" t="s">
        <v>465</v>
      </c>
      <c r="K587" s="298">
        <v>47.51</v>
      </c>
      <c r="L587" s="298"/>
      <c r="M587" s="299">
        <v>1260</v>
      </c>
      <c r="N587" s="300">
        <f t="shared" si="82"/>
        <v>260</v>
      </c>
      <c r="O587" s="484">
        <v>1</v>
      </c>
      <c r="P587" s="484">
        <v>1</v>
      </c>
      <c r="Q587" s="292">
        <f t="shared" si="83"/>
        <v>0</v>
      </c>
      <c r="R587" s="292">
        <f t="shared" si="84"/>
        <v>0</v>
      </c>
      <c r="S587" s="301">
        <f t="shared" si="79"/>
        <v>0</v>
      </c>
      <c r="T587" s="301">
        <f t="shared" si="80"/>
        <v>0</v>
      </c>
      <c r="U587" s="771" t="str">
        <f t="shared" si="81"/>
        <v>V</v>
      </c>
      <c r="V587" s="303" t="s">
        <v>1067</v>
      </c>
      <c r="W587" s="304">
        <f>(Q587+R587)*'1.0-Contractblad'!$L$37</f>
        <v>0</v>
      </c>
      <c r="X587" s="304">
        <f ca="1">VLOOKUP(E587,'1.1a-Jaarprijzen'!$B$35:$Q$57,16,FALSE)*K587</f>
        <v>0</v>
      </c>
      <c r="Z587" s="773">
        <f t="shared" si="85"/>
        <v>12352.6</v>
      </c>
      <c r="AA587" s="492" t="str">
        <f t="shared" si="86"/>
        <v>1260-260</v>
      </c>
    </row>
    <row r="588" spans="2:27" s="490" customFormat="1" ht="15">
      <c r="B588" s="330"/>
      <c r="C588" s="331"/>
      <c r="D588" s="295">
        <f>VLOOKUP(E588,'1.1a-Jaarprijzen'!$B$13:$G$32,6,FALSE)</f>
        <v>2</v>
      </c>
      <c r="E588" s="686" t="s">
        <v>928</v>
      </c>
      <c r="F588" s="295" t="s">
        <v>605</v>
      </c>
      <c r="G588" s="295" t="s">
        <v>754</v>
      </c>
      <c r="H588" s="710" t="s">
        <v>932</v>
      </c>
      <c r="I588" s="297" t="str">
        <f t="shared" si="61"/>
        <v>entree, gang, hal, repro</v>
      </c>
      <c r="J588" s="295" t="s">
        <v>465</v>
      </c>
      <c r="K588" s="298">
        <v>2.2400000000000002</v>
      </c>
      <c r="L588" s="298"/>
      <c r="M588" s="299">
        <v>3260</v>
      </c>
      <c r="N588" s="300">
        <f t="shared" si="82"/>
        <v>260</v>
      </c>
      <c r="O588" s="484">
        <v>1</v>
      </c>
      <c r="P588" s="484">
        <v>1</v>
      </c>
      <c r="Q588" s="292">
        <f t="shared" si="83"/>
        <v>0</v>
      </c>
      <c r="R588" s="292">
        <f t="shared" si="84"/>
        <v>0</v>
      </c>
      <c r="S588" s="301">
        <f t="shared" si="79"/>
        <v>0</v>
      </c>
      <c r="T588" s="301">
        <f t="shared" si="80"/>
        <v>0</v>
      </c>
      <c r="U588" s="771" t="str">
        <f t="shared" si="81"/>
        <v>V</v>
      </c>
      <c r="V588" s="303" t="s">
        <v>1067</v>
      </c>
      <c r="W588" s="304">
        <f>(Q588+R588)*'1.0-Contractblad'!$L$37</f>
        <v>0</v>
      </c>
      <c r="X588" s="304">
        <f ca="1">VLOOKUP(E588,'1.1a-Jaarprijzen'!$B$35:$Q$57,16,FALSE)*K588</f>
        <v>0</v>
      </c>
      <c r="Z588" s="773">
        <f t="shared" si="85"/>
        <v>582.40000000000009</v>
      </c>
      <c r="AA588" s="492" t="str">
        <f t="shared" si="86"/>
        <v>3260-260</v>
      </c>
    </row>
    <row r="589" spans="2:27" s="490" customFormat="1" ht="15">
      <c r="B589" s="330"/>
      <c r="C589" s="331"/>
      <c r="D589" s="295">
        <f>VLOOKUP(E589,'1.1a-Jaarprijzen'!$B$13:$G$32,6,FALSE)</f>
        <v>2</v>
      </c>
      <c r="E589" s="686" t="s">
        <v>928</v>
      </c>
      <c r="F589" s="295" t="s">
        <v>605</v>
      </c>
      <c r="G589" s="295" t="s">
        <v>755</v>
      </c>
      <c r="H589" s="710" t="s">
        <v>673</v>
      </c>
      <c r="I589" s="297" t="str">
        <f t="shared" si="61"/>
        <v>sanitaire ruimte (toilet-/doucheruimte)</v>
      </c>
      <c r="J589" s="295" t="s">
        <v>465</v>
      </c>
      <c r="K589" s="298">
        <v>6.8</v>
      </c>
      <c r="L589" s="298"/>
      <c r="M589" s="299">
        <v>4260</v>
      </c>
      <c r="N589" s="300">
        <f t="shared" si="82"/>
        <v>260</v>
      </c>
      <c r="O589" s="484">
        <v>1</v>
      </c>
      <c r="P589" s="484">
        <v>1</v>
      </c>
      <c r="Q589" s="292">
        <f t="shared" si="83"/>
        <v>0</v>
      </c>
      <c r="R589" s="292">
        <f t="shared" si="84"/>
        <v>0</v>
      </c>
      <c r="S589" s="301">
        <f t="shared" si="79"/>
        <v>0</v>
      </c>
      <c r="T589" s="301">
        <f t="shared" si="80"/>
        <v>0</v>
      </c>
      <c r="U589" s="771" t="str">
        <f t="shared" si="81"/>
        <v>S</v>
      </c>
      <c r="V589" s="303" t="s">
        <v>1067</v>
      </c>
      <c r="W589" s="304">
        <f>(Q589+R589)*'1.0-Contractblad'!$L$37</f>
        <v>0</v>
      </c>
      <c r="X589" s="304">
        <f ca="1">VLOOKUP(E589,'1.1a-Jaarprijzen'!$B$35:$Q$57,16,FALSE)*K589</f>
        <v>0</v>
      </c>
      <c r="Z589" s="773">
        <f t="shared" si="85"/>
        <v>1768</v>
      </c>
      <c r="AA589" s="492" t="str">
        <f t="shared" si="86"/>
        <v>4260-260</v>
      </c>
    </row>
    <row r="590" spans="2:27" s="490" customFormat="1" ht="15">
      <c r="B590" s="330"/>
      <c r="C590" s="331"/>
      <c r="D590" s="295">
        <f>VLOOKUP(E590,'1.1a-Jaarprijzen'!$B$13:$G$32,6,FALSE)</f>
        <v>2</v>
      </c>
      <c r="E590" s="294" t="s">
        <v>928</v>
      </c>
      <c r="F590" s="295" t="s">
        <v>605</v>
      </c>
      <c r="G590" s="295" t="s">
        <v>756</v>
      </c>
      <c r="H590" s="710" t="s">
        <v>391</v>
      </c>
      <c r="I590" s="297" t="str">
        <f t="shared" si="61"/>
        <v>niet van toepassing</v>
      </c>
      <c r="J590" s="295" t="s">
        <v>465</v>
      </c>
      <c r="K590" s="298"/>
      <c r="L590" s="298">
        <v>6.8</v>
      </c>
      <c r="M590" s="299" t="s">
        <v>17</v>
      </c>
      <c r="N590" s="300">
        <f t="shared" si="82"/>
        <v>0</v>
      </c>
      <c r="O590" s="484">
        <v>1</v>
      </c>
      <c r="P590" s="484">
        <v>1</v>
      </c>
      <c r="Q590" s="292">
        <f t="shared" si="83"/>
        <v>0</v>
      </c>
      <c r="R590" s="292">
        <f t="shared" si="84"/>
        <v>0</v>
      </c>
      <c r="S590" s="301">
        <f t="shared" si="79"/>
        <v>0</v>
      </c>
      <c r="T590" s="301">
        <f t="shared" si="80"/>
        <v>0</v>
      </c>
      <c r="U590" s="771">
        <f t="shared" si="81"/>
        <v>0</v>
      </c>
      <c r="V590" s="303" t="s">
        <v>1067</v>
      </c>
      <c r="W590" s="304">
        <f>(Q590+R590)*'1.0-Contractblad'!$L$37</f>
        <v>0</v>
      </c>
      <c r="X590" s="304">
        <f ca="1">VLOOKUP(E590,'1.1a-Jaarprijzen'!$B$35:$Q$57,16,FALSE)*K590</f>
        <v>0</v>
      </c>
      <c r="Z590" s="773">
        <f t="shared" si="85"/>
        <v>0</v>
      </c>
      <c r="AA590" s="492" t="str">
        <f t="shared" si="86"/>
        <v>nvt-0</v>
      </c>
    </row>
    <row r="591" spans="2:27" s="490" customFormat="1" ht="15">
      <c r="B591" s="330"/>
      <c r="C591" s="331"/>
      <c r="D591" s="295">
        <f>VLOOKUP(E591,'1.1a-Jaarprijzen'!$B$13:$G$32,6,FALSE)</f>
        <v>2</v>
      </c>
      <c r="E591" s="686" t="s">
        <v>928</v>
      </c>
      <c r="F591" s="295" t="s">
        <v>605</v>
      </c>
      <c r="G591" s="295" t="s">
        <v>757</v>
      </c>
      <c r="H591" s="710" t="s">
        <v>672</v>
      </c>
      <c r="I591" s="297" t="str">
        <f t="shared" si="61"/>
        <v>entree, gang, hal, repro</v>
      </c>
      <c r="J591" s="295" t="s">
        <v>465</v>
      </c>
      <c r="K591" s="298">
        <v>28.799999999999997</v>
      </c>
      <c r="L591" s="298"/>
      <c r="M591" s="299">
        <v>3260</v>
      </c>
      <c r="N591" s="300">
        <f t="shared" si="82"/>
        <v>260</v>
      </c>
      <c r="O591" s="484">
        <v>1</v>
      </c>
      <c r="P591" s="484">
        <v>1</v>
      </c>
      <c r="Q591" s="292">
        <f t="shared" si="83"/>
        <v>0</v>
      </c>
      <c r="R591" s="292">
        <f t="shared" si="84"/>
        <v>0</v>
      </c>
      <c r="S591" s="301">
        <f t="shared" si="79"/>
        <v>0</v>
      </c>
      <c r="T591" s="301">
        <f t="shared" si="80"/>
        <v>0</v>
      </c>
      <c r="U591" s="771" t="str">
        <f t="shared" si="81"/>
        <v>V</v>
      </c>
      <c r="V591" s="303" t="s">
        <v>1067</v>
      </c>
      <c r="W591" s="304">
        <f>(Q591+R591)*'1.0-Contractblad'!$L$37</f>
        <v>0</v>
      </c>
      <c r="X591" s="304">
        <f ca="1">VLOOKUP(E591,'1.1a-Jaarprijzen'!$B$35:$Q$57,16,FALSE)*K591</f>
        <v>0</v>
      </c>
      <c r="Z591" s="773">
        <f t="shared" si="85"/>
        <v>7487.9999999999991</v>
      </c>
      <c r="AA591" s="492" t="str">
        <f t="shared" si="86"/>
        <v>3260-260</v>
      </c>
    </row>
    <row r="592" spans="2:27" s="490" customFormat="1" ht="15">
      <c r="B592" s="330"/>
      <c r="C592" s="331"/>
      <c r="D592" s="295">
        <f>VLOOKUP(E592,'1.1a-Jaarprijzen'!$B$13:$G$32,6,FALSE)</f>
        <v>2</v>
      </c>
      <c r="E592" s="686" t="s">
        <v>928</v>
      </c>
      <c r="F592" s="295" t="s">
        <v>605</v>
      </c>
      <c r="G592" s="295" t="s">
        <v>933</v>
      </c>
      <c r="H592" s="710" t="s">
        <v>1060</v>
      </c>
      <c r="I592" s="297" t="str">
        <f t="shared" si="61"/>
        <v>kinderverblijf ruimte</v>
      </c>
      <c r="J592" s="295" t="s">
        <v>465</v>
      </c>
      <c r="K592" s="298">
        <v>18.480000000000004</v>
      </c>
      <c r="L592" s="298"/>
      <c r="M592" s="299">
        <v>12260</v>
      </c>
      <c r="N592" s="300">
        <f t="shared" si="82"/>
        <v>260</v>
      </c>
      <c r="O592" s="484">
        <v>1</v>
      </c>
      <c r="P592" s="484">
        <v>1</v>
      </c>
      <c r="Q592" s="292">
        <f t="shared" si="83"/>
        <v>0</v>
      </c>
      <c r="R592" s="292">
        <f t="shared" si="84"/>
        <v>0</v>
      </c>
      <c r="S592" s="301">
        <f t="shared" si="79"/>
        <v>0</v>
      </c>
      <c r="T592" s="301">
        <f t="shared" si="80"/>
        <v>0</v>
      </c>
      <c r="U592" s="771" t="str">
        <f t="shared" si="81"/>
        <v>V</v>
      </c>
      <c r="V592" s="303" t="s">
        <v>1067</v>
      </c>
      <c r="W592" s="304">
        <f>(Q592+R592)*'1.0-Contractblad'!$L$37</f>
        <v>0</v>
      </c>
      <c r="X592" s="304">
        <f ca="1">VLOOKUP(E592,'1.1a-Jaarprijzen'!$B$35:$Q$57,16,FALSE)*K592</f>
        <v>0</v>
      </c>
      <c r="Z592" s="773">
        <f t="shared" si="85"/>
        <v>4804.8000000000011</v>
      </c>
      <c r="AA592" s="492" t="str">
        <f t="shared" si="86"/>
        <v>12260-260</v>
      </c>
    </row>
    <row r="593" spans="2:27" s="490" customFormat="1" ht="15">
      <c r="B593" s="330"/>
      <c r="C593" s="331"/>
      <c r="D593" s="295">
        <f>VLOOKUP(E593,'1.1a-Jaarprijzen'!$B$13:$G$32,6,FALSE)</f>
        <v>2</v>
      </c>
      <c r="E593" s="686" t="s">
        <v>928</v>
      </c>
      <c r="F593" s="295" t="s">
        <v>605</v>
      </c>
      <c r="G593" s="295" t="s">
        <v>758</v>
      </c>
      <c r="H593" s="710" t="s">
        <v>395</v>
      </c>
      <c r="I593" s="297" t="str">
        <f t="shared" si="61"/>
        <v>pantry/keuken</v>
      </c>
      <c r="J593" s="295" t="s">
        <v>465</v>
      </c>
      <c r="K593" s="298">
        <v>37.270000000000003</v>
      </c>
      <c r="L593" s="298"/>
      <c r="M593" s="299">
        <v>5260</v>
      </c>
      <c r="N593" s="300">
        <f t="shared" si="82"/>
        <v>260</v>
      </c>
      <c r="O593" s="484">
        <v>1</v>
      </c>
      <c r="P593" s="484">
        <v>1</v>
      </c>
      <c r="Q593" s="292">
        <f t="shared" si="83"/>
        <v>0</v>
      </c>
      <c r="R593" s="292">
        <f t="shared" si="84"/>
        <v>0</v>
      </c>
      <c r="S593" s="301">
        <f t="shared" si="79"/>
        <v>0</v>
      </c>
      <c r="T593" s="301">
        <f t="shared" si="80"/>
        <v>0</v>
      </c>
      <c r="U593" s="771" t="str">
        <f t="shared" si="81"/>
        <v>V</v>
      </c>
      <c r="V593" s="303" t="s">
        <v>1067</v>
      </c>
      <c r="W593" s="304">
        <f>(Q593+R593)*'1.0-Contractblad'!$L$37</f>
        <v>0</v>
      </c>
      <c r="X593" s="304">
        <f ca="1">VLOOKUP(E593,'1.1a-Jaarprijzen'!$B$35:$Q$57,16,FALSE)*K593</f>
        <v>0</v>
      </c>
      <c r="Z593" s="773">
        <f t="shared" si="85"/>
        <v>9690.2000000000007</v>
      </c>
      <c r="AA593" s="492" t="str">
        <f t="shared" si="86"/>
        <v>5260-260</v>
      </c>
    </row>
    <row r="594" spans="2:27" s="490" customFormat="1" ht="15">
      <c r="B594" s="330"/>
      <c r="C594" s="331"/>
      <c r="D594" s="295">
        <f>VLOOKUP(E594,'1.1a-Jaarprijzen'!$B$13:$G$32,6,FALSE)</f>
        <v>2</v>
      </c>
      <c r="E594" s="294" t="s">
        <v>928</v>
      </c>
      <c r="F594" s="295" t="s">
        <v>605</v>
      </c>
      <c r="G594" s="295" t="s">
        <v>761</v>
      </c>
      <c r="H594" s="710" t="s">
        <v>391</v>
      </c>
      <c r="I594" s="297" t="str">
        <f t="shared" si="61"/>
        <v>niet van toepassing</v>
      </c>
      <c r="J594" s="295" t="s">
        <v>465</v>
      </c>
      <c r="K594" s="298"/>
      <c r="L594" s="298">
        <v>3.8</v>
      </c>
      <c r="M594" s="299" t="s">
        <v>17</v>
      </c>
      <c r="N594" s="300">
        <f t="shared" si="82"/>
        <v>0</v>
      </c>
      <c r="O594" s="484">
        <v>1</v>
      </c>
      <c r="P594" s="484">
        <v>1</v>
      </c>
      <c r="Q594" s="292">
        <f t="shared" si="83"/>
        <v>0</v>
      </c>
      <c r="R594" s="292">
        <f t="shared" si="84"/>
        <v>0</v>
      </c>
      <c r="S594" s="301">
        <f t="shared" si="79"/>
        <v>0</v>
      </c>
      <c r="T594" s="301">
        <f t="shared" si="80"/>
        <v>0</v>
      </c>
      <c r="U594" s="771">
        <f t="shared" si="81"/>
        <v>0</v>
      </c>
      <c r="V594" s="303" t="s">
        <v>1067</v>
      </c>
      <c r="W594" s="304">
        <f>(Q594+R594)*'1.0-Contractblad'!$L$37</f>
        <v>0</v>
      </c>
      <c r="X594" s="304">
        <f ca="1">VLOOKUP(E594,'1.1a-Jaarprijzen'!$B$35:$Q$57,16,FALSE)*K594</f>
        <v>0</v>
      </c>
      <c r="Z594" s="773">
        <f t="shared" si="85"/>
        <v>0</v>
      </c>
      <c r="AA594" s="492" t="str">
        <f t="shared" si="86"/>
        <v>nvt-0</v>
      </c>
    </row>
    <row r="595" spans="2:27" s="490" customFormat="1" ht="15">
      <c r="B595" s="330"/>
      <c r="C595" s="331"/>
      <c r="D595" s="295">
        <f>VLOOKUP(E595,'1.1a-Jaarprijzen'!$B$13:$G$32,6,FALSE)</f>
        <v>2</v>
      </c>
      <c r="E595" s="686" t="s">
        <v>928</v>
      </c>
      <c r="F595" s="295" t="s">
        <v>261</v>
      </c>
      <c r="G595" s="295" t="s">
        <v>683</v>
      </c>
      <c r="H595" s="710" t="s">
        <v>934</v>
      </c>
      <c r="I595" s="297" t="str">
        <f t="shared" si="61"/>
        <v>kinderverblijf ruimte</v>
      </c>
      <c r="J595" s="295" t="s">
        <v>465</v>
      </c>
      <c r="K595" s="298">
        <v>47.22</v>
      </c>
      <c r="L595" s="298"/>
      <c r="M595" s="299">
        <v>12260</v>
      </c>
      <c r="N595" s="300">
        <f t="shared" si="82"/>
        <v>260</v>
      </c>
      <c r="O595" s="484">
        <v>1</v>
      </c>
      <c r="P595" s="484">
        <v>1</v>
      </c>
      <c r="Q595" s="292">
        <f t="shared" si="83"/>
        <v>0</v>
      </c>
      <c r="R595" s="292">
        <f t="shared" si="84"/>
        <v>0</v>
      </c>
      <c r="S595" s="301">
        <f t="shared" si="79"/>
        <v>0</v>
      </c>
      <c r="T595" s="301">
        <f t="shared" si="80"/>
        <v>0</v>
      </c>
      <c r="U595" s="771" t="str">
        <f t="shared" si="81"/>
        <v>V</v>
      </c>
      <c r="V595" s="303" t="s">
        <v>1067</v>
      </c>
      <c r="W595" s="304">
        <f>(Q595+R595)*'1.0-Contractblad'!$L$37</f>
        <v>0</v>
      </c>
      <c r="X595" s="304">
        <f ca="1">VLOOKUP(E595,'1.1a-Jaarprijzen'!$B$35:$Q$57,16,FALSE)*K595</f>
        <v>0</v>
      </c>
      <c r="Z595" s="773">
        <f t="shared" si="85"/>
        <v>12277.199999999999</v>
      </c>
      <c r="AA595" s="492" t="str">
        <f t="shared" si="86"/>
        <v>12260-260</v>
      </c>
    </row>
    <row r="596" spans="2:27" s="490" customFormat="1" ht="15">
      <c r="B596" s="330"/>
      <c r="C596" s="331"/>
      <c r="D596" s="295">
        <f>VLOOKUP(E596,'1.1a-Jaarprijzen'!$B$13:$G$32,6,FALSE)</f>
        <v>2</v>
      </c>
      <c r="E596" s="686" t="s">
        <v>928</v>
      </c>
      <c r="F596" s="295" t="s">
        <v>261</v>
      </c>
      <c r="G596" s="295" t="s">
        <v>775</v>
      </c>
      <c r="H596" s="710" t="s">
        <v>476</v>
      </c>
      <c r="I596" s="297" t="str">
        <f t="shared" si="61"/>
        <v>kinderverblijf ruimte</v>
      </c>
      <c r="J596" s="295" t="s">
        <v>465</v>
      </c>
      <c r="K596" s="298">
        <v>123.2</v>
      </c>
      <c r="L596" s="298"/>
      <c r="M596" s="299">
        <v>12260</v>
      </c>
      <c r="N596" s="300">
        <f t="shared" si="82"/>
        <v>260</v>
      </c>
      <c r="O596" s="484">
        <v>1</v>
      </c>
      <c r="P596" s="484">
        <v>1</v>
      </c>
      <c r="Q596" s="292">
        <f t="shared" si="83"/>
        <v>0</v>
      </c>
      <c r="R596" s="292">
        <f t="shared" si="84"/>
        <v>0</v>
      </c>
      <c r="S596" s="301">
        <f t="shared" si="79"/>
        <v>0</v>
      </c>
      <c r="T596" s="301">
        <f t="shared" si="80"/>
        <v>0</v>
      </c>
      <c r="U596" s="771" t="str">
        <f t="shared" si="81"/>
        <v>V</v>
      </c>
      <c r="V596" s="303" t="s">
        <v>1067</v>
      </c>
      <c r="W596" s="304">
        <f>(Q596+R596)*'1.0-Contractblad'!$L$37</f>
        <v>0</v>
      </c>
      <c r="X596" s="304">
        <f ca="1">VLOOKUP(E596,'1.1a-Jaarprijzen'!$B$35:$Q$57,16,FALSE)*K596</f>
        <v>0</v>
      </c>
      <c r="Z596" s="773">
        <f t="shared" si="85"/>
        <v>32032</v>
      </c>
      <c r="AA596" s="492" t="str">
        <f t="shared" si="86"/>
        <v>12260-260</v>
      </c>
    </row>
    <row r="597" spans="2:27" s="490" customFormat="1" ht="15">
      <c r="B597" s="330"/>
      <c r="C597" s="331"/>
      <c r="D597" s="295">
        <f>VLOOKUP(E597,'1.1a-Jaarprijzen'!$B$13:$G$32,6,FALSE)</f>
        <v>2</v>
      </c>
      <c r="E597" s="686" t="s">
        <v>928</v>
      </c>
      <c r="F597" s="295" t="s">
        <v>261</v>
      </c>
      <c r="G597" s="295" t="s">
        <v>780</v>
      </c>
      <c r="H597" s="710" t="s">
        <v>693</v>
      </c>
      <c r="I597" s="297" t="str">
        <f t="shared" si="61"/>
        <v>sanitaire ruimte (toilet-/doucheruimte)</v>
      </c>
      <c r="J597" s="295" t="s">
        <v>465</v>
      </c>
      <c r="K597" s="298">
        <v>6</v>
      </c>
      <c r="L597" s="298"/>
      <c r="M597" s="299">
        <v>4260</v>
      </c>
      <c r="N597" s="300">
        <f t="shared" si="82"/>
        <v>260</v>
      </c>
      <c r="O597" s="484">
        <v>1</v>
      </c>
      <c r="P597" s="484">
        <v>1</v>
      </c>
      <c r="Q597" s="292">
        <f t="shared" si="83"/>
        <v>0</v>
      </c>
      <c r="R597" s="292">
        <f t="shared" si="84"/>
        <v>0</v>
      </c>
      <c r="S597" s="301">
        <f t="shared" si="79"/>
        <v>0</v>
      </c>
      <c r="T597" s="301">
        <f t="shared" si="80"/>
        <v>0</v>
      </c>
      <c r="U597" s="771" t="str">
        <f t="shared" si="81"/>
        <v>S</v>
      </c>
      <c r="V597" s="303" t="s">
        <v>1067</v>
      </c>
      <c r="W597" s="304">
        <f>(Q597+R597)*'1.0-Contractblad'!$L$37</f>
        <v>0</v>
      </c>
      <c r="X597" s="304">
        <f ca="1">VLOOKUP(E597,'1.1a-Jaarprijzen'!$B$35:$Q$57,16,FALSE)*K597</f>
        <v>0</v>
      </c>
      <c r="Z597" s="773">
        <f t="shared" si="85"/>
        <v>1560</v>
      </c>
      <c r="AA597" s="492" t="str">
        <f t="shared" si="86"/>
        <v>4260-260</v>
      </c>
    </row>
    <row r="598" spans="2:27" s="490" customFormat="1" ht="15">
      <c r="B598" s="330"/>
      <c r="C598" s="331"/>
      <c r="D598" s="295">
        <f>VLOOKUP(E598,'1.1a-Jaarprijzen'!$B$13:$G$32,6,FALSE)</f>
        <v>2</v>
      </c>
      <c r="E598" s="294" t="s">
        <v>941</v>
      </c>
      <c r="F598" s="295"/>
      <c r="G598" s="296" t="s">
        <v>942</v>
      </c>
      <c r="H598" s="731" t="s">
        <v>388</v>
      </c>
      <c r="I598" s="297" t="str">
        <f t="shared" si="61"/>
        <v>niet van toepassing</v>
      </c>
      <c r="J598" s="295" t="s">
        <v>1015</v>
      </c>
      <c r="K598" s="298"/>
      <c r="L598" s="298">
        <v>2.13</v>
      </c>
      <c r="M598" s="299" t="s">
        <v>17</v>
      </c>
      <c r="N598" s="300">
        <f t="shared" si="82"/>
        <v>0</v>
      </c>
      <c r="O598" s="484">
        <v>1</v>
      </c>
      <c r="P598" s="484">
        <v>1</v>
      </c>
      <c r="Q598" s="292">
        <f t="shared" si="83"/>
        <v>0</v>
      </c>
      <c r="R598" s="292">
        <f t="shared" si="84"/>
        <v>0</v>
      </c>
      <c r="S598" s="301">
        <f t="shared" si="79"/>
        <v>0</v>
      </c>
      <c r="T598" s="301">
        <f t="shared" si="80"/>
        <v>0</v>
      </c>
      <c r="U598" s="771">
        <f t="shared" si="81"/>
        <v>0</v>
      </c>
      <c r="V598" s="303"/>
      <c r="W598" s="304">
        <f>(Q598+R598)*'1.0-Contractblad'!$L$37</f>
        <v>0</v>
      </c>
      <c r="X598" s="304">
        <f ca="1">VLOOKUP(E598,'1.1a-Jaarprijzen'!$B$35:$Q$57,16,FALSE)*K598</f>
        <v>0</v>
      </c>
      <c r="Z598" s="773">
        <f t="shared" si="85"/>
        <v>0</v>
      </c>
      <c r="AA598" s="492" t="str">
        <f t="shared" si="86"/>
        <v>nvt-0</v>
      </c>
    </row>
    <row r="599" spans="2:27" s="490" customFormat="1" ht="15">
      <c r="B599" s="330"/>
      <c r="C599" s="331"/>
      <c r="D599" s="295">
        <f>VLOOKUP(E599,'1.1a-Jaarprijzen'!$B$13:$G$32,6,FALSE)</f>
        <v>2</v>
      </c>
      <c r="E599" s="294" t="s">
        <v>941</v>
      </c>
      <c r="F599" s="295"/>
      <c r="G599" s="296" t="s">
        <v>514</v>
      </c>
      <c r="H599" s="731" t="s">
        <v>400</v>
      </c>
      <c r="I599" s="297" t="str">
        <f t="shared" si="61"/>
        <v>trappenhuis</v>
      </c>
      <c r="J599" s="295" t="s">
        <v>475</v>
      </c>
      <c r="K599" s="298">
        <v>11.64</v>
      </c>
      <c r="L599" s="298"/>
      <c r="M599" s="299">
        <v>9200</v>
      </c>
      <c r="N599" s="300">
        <f t="shared" si="82"/>
        <v>200</v>
      </c>
      <c r="O599" s="484">
        <v>1</v>
      </c>
      <c r="P599" s="484">
        <v>1</v>
      </c>
      <c r="Q599" s="292">
        <f t="shared" si="83"/>
        <v>0</v>
      </c>
      <c r="R599" s="292">
        <f t="shared" si="84"/>
        <v>0</v>
      </c>
      <c r="S599" s="301">
        <f t="shared" si="79"/>
        <v>0</v>
      </c>
      <c r="T599" s="301">
        <f t="shared" si="80"/>
        <v>0</v>
      </c>
      <c r="U599" s="771" t="str">
        <f t="shared" si="81"/>
        <v>V</v>
      </c>
      <c r="V599" s="303"/>
      <c r="W599" s="304">
        <f>(Q599+R599)*'1.0-Contractblad'!$L$37</f>
        <v>0</v>
      </c>
      <c r="X599" s="304">
        <f ca="1">VLOOKUP(E599,'1.1a-Jaarprijzen'!$B$35:$Q$57,16,FALSE)*K599</f>
        <v>0</v>
      </c>
      <c r="Z599" s="773">
        <f t="shared" si="85"/>
        <v>2328</v>
      </c>
      <c r="AA599" s="492" t="str">
        <f t="shared" si="86"/>
        <v>9200-200</v>
      </c>
    </row>
    <row r="600" spans="2:27" s="490" customFormat="1" ht="15">
      <c r="B600" s="330"/>
      <c r="C600" s="331"/>
      <c r="D600" s="295">
        <f>VLOOKUP(E600,'1.1a-Jaarprijzen'!$B$13:$G$32,6,FALSE)</f>
        <v>2</v>
      </c>
      <c r="E600" s="294" t="s">
        <v>941</v>
      </c>
      <c r="F600" s="295"/>
      <c r="G600" s="296" t="s">
        <v>555</v>
      </c>
      <c r="H600" s="731" t="s">
        <v>693</v>
      </c>
      <c r="I600" s="297" t="str">
        <f t="shared" si="61"/>
        <v>sanitaire ruimte (toilet-/doucheruimte)</v>
      </c>
      <c r="J600" s="295" t="s">
        <v>465</v>
      </c>
      <c r="K600" s="298">
        <v>9.39</v>
      </c>
      <c r="L600" s="298"/>
      <c r="M600" s="299">
        <v>4200</v>
      </c>
      <c r="N600" s="300">
        <f t="shared" si="82"/>
        <v>200</v>
      </c>
      <c r="O600" s="484">
        <v>1</v>
      </c>
      <c r="P600" s="484">
        <v>1</v>
      </c>
      <c r="Q600" s="292">
        <f t="shared" si="83"/>
        <v>0</v>
      </c>
      <c r="R600" s="292">
        <f t="shared" si="84"/>
        <v>0</v>
      </c>
      <c r="S600" s="301">
        <f t="shared" si="79"/>
        <v>0</v>
      </c>
      <c r="T600" s="301">
        <f t="shared" si="80"/>
        <v>0</v>
      </c>
      <c r="U600" s="771" t="str">
        <f t="shared" si="81"/>
        <v>S</v>
      </c>
      <c r="V600" s="303"/>
      <c r="W600" s="304">
        <f>(Q600+R600)*'1.0-Contractblad'!$L$37</f>
        <v>0</v>
      </c>
      <c r="X600" s="304">
        <f ca="1">VLOOKUP(E600,'1.1a-Jaarprijzen'!$B$35:$Q$57,16,FALSE)*K600</f>
        <v>0</v>
      </c>
      <c r="Z600" s="773">
        <f t="shared" si="85"/>
        <v>1878</v>
      </c>
      <c r="AA600" s="492" t="str">
        <f t="shared" si="86"/>
        <v>4200-200</v>
      </c>
    </row>
    <row r="601" spans="2:27" s="490" customFormat="1" ht="15">
      <c r="B601" s="330"/>
      <c r="C601" s="331"/>
      <c r="D601" s="295">
        <f>VLOOKUP(E601,'1.1a-Jaarprijzen'!$B$13:$G$32,6,FALSE)</f>
        <v>2</v>
      </c>
      <c r="E601" s="294" t="s">
        <v>941</v>
      </c>
      <c r="F601" s="295"/>
      <c r="G601" s="296" t="s">
        <v>543</v>
      </c>
      <c r="H601" s="731" t="s">
        <v>477</v>
      </c>
      <c r="I601" s="297" t="str">
        <f t="shared" si="61"/>
        <v>sanitaire ruimte (toilet-/doucheruimte)</v>
      </c>
      <c r="J601" s="295" t="s">
        <v>465</v>
      </c>
      <c r="K601" s="298">
        <v>10.28</v>
      </c>
      <c r="L601" s="298"/>
      <c r="M601" s="299">
        <v>4200</v>
      </c>
      <c r="N601" s="300">
        <f t="shared" si="82"/>
        <v>200</v>
      </c>
      <c r="O601" s="484">
        <v>1</v>
      </c>
      <c r="P601" s="484">
        <v>1</v>
      </c>
      <c r="Q601" s="292">
        <f t="shared" si="83"/>
        <v>0</v>
      </c>
      <c r="R601" s="292">
        <f t="shared" si="84"/>
        <v>0</v>
      </c>
      <c r="S601" s="301">
        <f t="shared" si="79"/>
        <v>0</v>
      </c>
      <c r="T601" s="301">
        <f t="shared" si="80"/>
        <v>0</v>
      </c>
      <c r="U601" s="771" t="str">
        <f t="shared" si="81"/>
        <v>S</v>
      </c>
      <c r="V601" s="303"/>
      <c r="W601" s="304">
        <f>(Q601+R601)*'1.0-Contractblad'!$L$37</f>
        <v>0</v>
      </c>
      <c r="X601" s="304">
        <f ca="1">VLOOKUP(E601,'1.1a-Jaarprijzen'!$B$35:$Q$57,16,FALSE)*K601</f>
        <v>0</v>
      </c>
      <c r="Z601" s="773">
        <f t="shared" si="85"/>
        <v>2056</v>
      </c>
      <c r="AA601" s="492" t="str">
        <f t="shared" si="86"/>
        <v>4200-200</v>
      </c>
    </row>
    <row r="602" spans="2:27" s="490" customFormat="1" ht="15">
      <c r="B602" s="330"/>
      <c r="C602" s="331"/>
      <c r="D602" s="295">
        <f>VLOOKUP(E602,'1.1a-Jaarprijzen'!$B$13:$G$32,6,FALSE)</f>
        <v>2</v>
      </c>
      <c r="E602" s="294" t="s">
        <v>941</v>
      </c>
      <c r="F602" s="295"/>
      <c r="G602" s="296" t="s">
        <v>490</v>
      </c>
      <c r="H602" s="731" t="s">
        <v>403</v>
      </c>
      <c r="I602" s="297" t="str">
        <f t="shared" si="61"/>
        <v>leslokaal groep 1 t/m 3</v>
      </c>
      <c r="J602" s="295" t="s">
        <v>696</v>
      </c>
      <c r="K602" s="298">
        <v>54.74</v>
      </c>
      <c r="L602" s="298"/>
      <c r="M602" s="299">
        <v>7200</v>
      </c>
      <c r="N602" s="300">
        <f t="shared" si="82"/>
        <v>200</v>
      </c>
      <c r="O602" s="484">
        <v>1</v>
      </c>
      <c r="P602" s="484">
        <v>1</v>
      </c>
      <c r="Q602" s="292">
        <f t="shared" si="83"/>
        <v>0</v>
      </c>
      <c r="R602" s="292">
        <f t="shared" si="84"/>
        <v>0</v>
      </c>
      <c r="S602" s="301">
        <f t="shared" si="79"/>
        <v>0</v>
      </c>
      <c r="T602" s="301">
        <f t="shared" si="80"/>
        <v>0</v>
      </c>
      <c r="U602" s="771" t="str">
        <f t="shared" si="81"/>
        <v>L</v>
      </c>
      <c r="V602" s="303"/>
      <c r="W602" s="304">
        <f>(Q602+R602)*'1.0-Contractblad'!$L$37</f>
        <v>0</v>
      </c>
      <c r="X602" s="304">
        <f ca="1">VLOOKUP(E602,'1.1a-Jaarprijzen'!$B$35:$Q$57,16,FALSE)*K602</f>
        <v>0</v>
      </c>
      <c r="Z602" s="773">
        <f t="shared" si="85"/>
        <v>10948</v>
      </c>
      <c r="AA602" s="492" t="str">
        <f t="shared" si="86"/>
        <v>7200-200</v>
      </c>
    </row>
    <row r="603" spans="2:27" s="490" customFormat="1" ht="15">
      <c r="B603" s="330"/>
      <c r="C603" s="331"/>
      <c r="D603" s="295">
        <f>VLOOKUP(E603,'1.1a-Jaarprijzen'!$B$13:$G$32,6,FALSE)</f>
        <v>2</v>
      </c>
      <c r="E603" s="294" t="s">
        <v>941</v>
      </c>
      <c r="F603" s="295"/>
      <c r="G603" s="296" t="s">
        <v>501</v>
      </c>
      <c r="H603" s="731" t="s">
        <v>403</v>
      </c>
      <c r="I603" s="297" t="str">
        <f t="shared" si="61"/>
        <v>leslokaal groep 1 t/m 3</v>
      </c>
      <c r="J603" s="295" t="s">
        <v>696</v>
      </c>
      <c r="K603" s="298">
        <v>60.22</v>
      </c>
      <c r="L603" s="298"/>
      <c r="M603" s="299">
        <v>7200</v>
      </c>
      <c r="N603" s="300">
        <f t="shared" si="82"/>
        <v>200</v>
      </c>
      <c r="O603" s="484">
        <v>1</v>
      </c>
      <c r="P603" s="484">
        <v>1</v>
      </c>
      <c r="Q603" s="292">
        <f t="shared" si="83"/>
        <v>0</v>
      </c>
      <c r="R603" s="292">
        <f t="shared" si="84"/>
        <v>0</v>
      </c>
      <c r="S603" s="301">
        <f t="shared" si="79"/>
        <v>0</v>
      </c>
      <c r="T603" s="301">
        <f t="shared" si="80"/>
        <v>0</v>
      </c>
      <c r="U603" s="771" t="str">
        <f t="shared" si="81"/>
        <v>L</v>
      </c>
      <c r="V603" s="303"/>
      <c r="W603" s="304">
        <f>(Q603+R603)*'1.0-Contractblad'!$L$37</f>
        <v>0</v>
      </c>
      <c r="X603" s="304">
        <f ca="1">VLOOKUP(E603,'1.1a-Jaarprijzen'!$B$35:$Q$57,16,FALSE)*K603</f>
        <v>0</v>
      </c>
      <c r="Z603" s="773">
        <f t="shared" si="85"/>
        <v>12044</v>
      </c>
      <c r="AA603" s="492" t="str">
        <f t="shared" si="86"/>
        <v>7200-200</v>
      </c>
    </row>
    <row r="604" spans="2:27" s="490" customFormat="1" ht="15">
      <c r="B604" s="330"/>
      <c r="C604" s="331"/>
      <c r="D604" s="295">
        <f>VLOOKUP(E604,'1.1a-Jaarprijzen'!$B$13:$G$32,6,FALSE)</f>
        <v>2</v>
      </c>
      <c r="E604" s="294" t="s">
        <v>941</v>
      </c>
      <c r="F604" s="295"/>
      <c r="G604" s="296" t="s">
        <v>502</v>
      </c>
      <c r="H604" s="731" t="s">
        <v>403</v>
      </c>
      <c r="I604" s="297" t="str">
        <f t="shared" si="61"/>
        <v>leslokaal groep 1 t/m 3</v>
      </c>
      <c r="J604" s="295" t="s">
        <v>696</v>
      </c>
      <c r="K604" s="298">
        <v>54.74</v>
      </c>
      <c r="L604" s="298"/>
      <c r="M604" s="299">
        <v>7200</v>
      </c>
      <c r="N604" s="300">
        <f t="shared" si="82"/>
        <v>200</v>
      </c>
      <c r="O604" s="484">
        <v>1</v>
      </c>
      <c r="P604" s="484">
        <v>1</v>
      </c>
      <c r="Q604" s="292">
        <f t="shared" si="83"/>
        <v>0</v>
      </c>
      <c r="R604" s="292">
        <f t="shared" si="84"/>
        <v>0</v>
      </c>
      <c r="S604" s="301">
        <f t="shared" si="79"/>
        <v>0</v>
      </c>
      <c r="T604" s="301">
        <f t="shared" si="80"/>
        <v>0</v>
      </c>
      <c r="U604" s="771" t="str">
        <f t="shared" si="81"/>
        <v>L</v>
      </c>
      <c r="V604" s="303"/>
      <c r="W604" s="304">
        <f>(Q604+R604)*'1.0-Contractblad'!$L$37</f>
        <v>0</v>
      </c>
      <c r="X604" s="304">
        <f ca="1">VLOOKUP(E604,'1.1a-Jaarprijzen'!$B$35:$Q$57,16,FALSE)*K604</f>
        <v>0</v>
      </c>
      <c r="Z604" s="773">
        <f t="shared" si="85"/>
        <v>10948</v>
      </c>
      <c r="AA604" s="492" t="str">
        <f t="shared" si="86"/>
        <v>7200-200</v>
      </c>
    </row>
    <row r="605" spans="2:27" s="490" customFormat="1" ht="15">
      <c r="B605" s="330"/>
      <c r="C605" s="331"/>
      <c r="D605" s="295">
        <f>VLOOKUP(E605,'1.1a-Jaarprijzen'!$B$13:$G$32,6,FALSE)</f>
        <v>2</v>
      </c>
      <c r="E605" s="294" t="s">
        <v>941</v>
      </c>
      <c r="F605" s="295"/>
      <c r="G605" s="296" t="s">
        <v>531</v>
      </c>
      <c r="H605" s="731" t="s">
        <v>387</v>
      </c>
      <c r="I605" s="297" t="str">
        <f t="shared" si="61"/>
        <v>entree, gang, hal, repro</v>
      </c>
      <c r="J605" s="295" t="s">
        <v>696</v>
      </c>
      <c r="K605" s="298">
        <v>15.58</v>
      </c>
      <c r="L605" s="298"/>
      <c r="M605" s="299">
        <v>3200</v>
      </c>
      <c r="N605" s="300">
        <f t="shared" si="82"/>
        <v>200</v>
      </c>
      <c r="O605" s="484">
        <v>1</v>
      </c>
      <c r="P605" s="484">
        <v>1</v>
      </c>
      <c r="Q605" s="292">
        <f t="shared" si="83"/>
        <v>0</v>
      </c>
      <c r="R605" s="292">
        <f t="shared" si="84"/>
        <v>0</v>
      </c>
      <c r="S605" s="301">
        <f t="shared" si="79"/>
        <v>0</v>
      </c>
      <c r="T605" s="301">
        <f t="shared" si="80"/>
        <v>0</v>
      </c>
      <c r="U605" s="771" t="str">
        <f t="shared" si="81"/>
        <v>V</v>
      </c>
      <c r="V605" s="303"/>
      <c r="W605" s="304">
        <f>(Q605+R605)*'1.0-Contractblad'!$L$37</f>
        <v>0</v>
      </c>
      <c r="X605" s="304">
        <f ca="1">VLOOKUP(E605,'1.1a-Jaarprijzen'!$B$35:$Q$57,16,FALSE)*K605</f>
        <v>0</v>
      </c>
      <c r="Z605" s="773">
        <f t="shared" si="85"/>
        <v>3116</v>
      </c>
      <c r="AA605" s="492" t="str">
        <f t="shared" si="86"/>
        <v>3200-200</v>
      </c>
    </row>
    <row r="606" spans="2:27" s="490" customFormat="1" ht="15">
      <c r="B606" s="330"/>
      <c r="C606" s="331"/>
      <c r="D606" s="295">
        <f>VLOOKUP(E606,'1.1a-Jaarprijzen'!$B$13:$G$32,6,FALSE)</f>
        <v>2</v>
      </c>
      <c r="E606" s="294" t="s">
        <v>941</v>
      </c>
      <c r="F606" s="295"/>
      <c r="G606" s="296" t="s">
        <v>524</v>
      </c>
      <c r="H606" s="731" t="s">
        <v>393</v>
      </c>
      <c r="I606" s="297" t="str">
        <f t="shared" si="61"/>
        <v>entree, gang, hal, repro</v>
      </c>
      <c r="J606" s="295" t="s">
        <v>696</v>
      </c>
      <c r="K606" s="298">
        <v>30.22</v>
      </c>
      <c r="L606" s="298"/>
      <c r="M606" s="299">
        <v>3200</v>
      </c>
      <c r="N606" s="300">
        <f t="shared" si="82"/>
        <v>200</v>
      </c>
      <c r="O606" s="484">
        <v>1</v>
      </c>
      <c r="P606" s="484">
        <v>1</v>
      </c>
      <c r="Q606" s="292">
        <f t="shared" si="83"/>
        <v>0</v>
      </c>
      <c r="R606" s="292">
        <f t="shared" si="84"/>
        <v>0</v>
      </c>
      <c r="S606" s="301">
        <f t="shared" si="79"/>
        <v>0</v>
      </c>
      <c r="T606" s="301">
        <f t="shared" si="80"/>
        <v>0</v>
      </c>
      <c r="U606" s="771" t="str">
        <f t="shared" si="81"/>
        <v>V</v>
      </c>
      <c r="V606" s="303"/>
      <c r="W606" s="304">
        <f>(Q606+R606)*'1.0-Contractblad'!$L$37</f>
        <v>0</v>
      </c>
      <c r="X606" s="304">
        <f ca="1">VLOOKUP(E606,'1.1a-Jaarprijzen'!$B$35:$Q$57,16,FALSE)*K606</f>
        <v>0</v>
      </c>
      <c r="Z606" s="773">
        <f t="shared" si="85"/>
        <v>6044</v>
      </c>
      <c r="AA606" s="492" t="str">
        <f t="shared" si="86"/>
        <v>3200-200</v>
      </c>
    </row>
    <row r="607" spans="2:27" s="490" customFormat="1" ht="15">
      <c r="B607" s="330"/>
      <c r="C607" s="331"/>
      <c r="D607" s="295">
        <f>VLOOKUP(E607,'1.1a-Jaarprijzen'!$B$13:$G$32,6,FALSE)</f>
        <v>2</v>
      </c>
      <c r="E607" s="294" t="s">
        <v>941</v>
      </c>
      <c r="F607" s="295"/>
      <c r="G607" s="296" t="s">
        <v>943</v>
      </c>
      <c r="H607" s="731" t="s">
        <v>391</v>
      </c>
      <c r="I607" s="297" t="str">
        <f t="shared" si="61"/>
        <v>niet van toepassing</v>
      </c>
      <c r="J607" s="295" t="s">
        <v>1015</v>
      </c>
      <c r="K607" s="298"/>
      <c r="L607" s="298">
        <v>13.63</v>
      </c>
      <c r="M607" s="299" t="s">
        <v>17</v>
      </c>
      <c r="N607" s="300">
        <f t="shared" si="82"/>
        <v>0</v>
      </c>
      <c r="O607" s="484">
        <v>1</v>
      </c>
      <c r="P607" s="484">
        <v>1</v>
      </c>
      <c r="Q607" s="292">
        <f t="shared" si="83"/>
        <v>0</v>
      </c>
      <c r="R607" s="292">
        <f t="shared" si="84"/>
        <v>0</v>
      </c>
      <c r="S607" s="301">
        <f t="shared" si="79"/>
        <v>0</v>
      </c>
      <c r="T607" s="301">
        <f t="shared" si="80"/>
        <v>0</v>
      </c>
      <c r="U607" s="771">
        <f t="shared" si="81"/>
        <v>0</v>
      </c>
      <c r="V607" s="303"/>
      <c r="W607" s="304">
        <f>(Q607+R607)*'1.0-Contractblad'!$L$37</f>
        <v>0</v>
      </c>
      <c r="X607" s="304">
        <f ca="1">VLOOKUP(E607,'1.1a-Jaarprijzen'!$B$35:$Q$57,16,FALSE)*K607</f>
        <v>0</v>
      </c>
      <c r="Z607" s="773">
        <f t="shared" si="85"/>
        <v>0</v>
      </c>
      <c r="AA607" s="492" t="str">
        <f t="shared" si="86"/>
        <v>nvt-0</v>
      </c>
    </row>
    <row r="608" spans="2:27" s="490" customFormat="1" ht="15">
      <c r="B608" s="330"/>
      <c r="C608" s="331"/>
      <c r="D608" s="295">
        <f>VLOOKUP(E608,'1.1a-Jaarprijzen'!$B$13:$G$32,6,FALSE)</f>
        <v>2</v>
      </c>
      <c r="E608" s="294" t="s">
        <v>941</v>
      </c>
      <c r="F608" s="295"/>
      <c r="G608" s="296" t="s">
        <v>544</v>
      </c>
      <c r="H608" s="731" t="s">
        <v>693</v>
      </c>
      <c r="I608" s="297" t="str">
        <f t="shared" si="61"/>
        <v>sanitaire ruimte (toilet-/doucheruimte)</v>
      </c>
      <c r="J608" s="295" t="s">
        <v>465</v>
      </c>
      <c r="K608" s="298">
        <v>10.82</v>
      </c>
      <c r="L608" s="298"/>
      <c r="M608" s="299">
        <v>4200</v>
      </c>
      <c r="N608" s="300">
        <f t="shared" si="82"/>
        <v>200</v>
      </c>
      <c r="O608" s="484">
        <v>1</v>
      </c>
      <c r="P608" s="484">
        <v>1</v>
      </c>
      <c r="Q608" s="292">
        <f t="shared" si="83"/>
        <v>0</v>
      </c>
      <c r="R608" s="292">
        <f t="shared" si="84"/>
        <v>0</v>
      </c>
      <c r="S608" s="301">
        <f t="shared" si="79"/>
        <v>0</v>
      </c>
      <c r="T608" s="301">
        <f t="shared" si="80"/>
        <v>0</v>
      </c>
      <c r="U608" s="771" t="str">
        <f t="shared" si="81"/>
        <v>S</v>
      </c>
      <c r="V608" s="303"/>
      <c r="W608" s="304">
        <f>(Q608+R608)*'1.0-Contractblad'!$L$37</f>
        <v>0</v>
      </c>
      <c r="X608" s="304">
        <f ca="1">VLOOKUP(E608,'1.1a-Jaarprijzen'!$B$35:$Q$57,16,FALSE)*K608</f>
        <v>0</v>
      </c>
      <c r="Z608" s="773">
        <f t="shared" si="85"/>
        <v>2164</v>
      </c>
      <c r="AA608" s="492" t="str">
        <f t="shared" si="86"/>
        <v>4200-200</v>
      </c>
    </row>
    <row r="609" spans="2:27" s="490" customFormat="1" ht="15">
      <c r="B609" s="330"/>
      <c r="C609" s="331"/>
      <c r="D609" s="295">
        <f>VLOOKUP(E609,'1.1a-Jaarprijzen'!$B$13:$G$32,6,FALSE)</f>
        <v>2</v>
      </c>
      <c r="E609" s="294" t="s">
        <v>941</v>
      </c>
      <c r="F609" s="295"/>
      <c r="G609" s="296" t="s">
        <v>491</v>
      </c>
      <c r="H609" s="731" t="s">
        <v>403</v>
      </c>
      <c r="I609" s="297" t="str">
        <f t="shared" si="61"/>
        <v>leslokaal groep 1 t/m 3</v>
      </c>
      <c r="J609" s="295" t="s">
        <v>696</v>
      </c>
      <c r="K609" s="298">
        <v>54.75</v>
      </c>
      <c r="L609" s="298"/>
      <c r="M609" s="299">
        <v>7200</v>
      </c>
      <c r="N609" s="300">
        <f t="shared" si="82"/>
        <v>200</v>
      </c>
      <c r="O609" s="484">
        <v>1</v>
      </c>
      <c r="P609" s="484">
        <v>1</v>
      </c>
      <c r="Q609" s="292">
        <f t="shared" si="83"/>
        <v>0</v>
      </c>
      <c r="R609" s="292">
        <f t="shared" si="84"/>
        <v>0</v>
      </c>
      <c r="S609" s="301">
        <f t="shared" si="79"/>
        <v>0</v>
      </c>
      <c r="T609" s="301">
        <f t="shared" si="80"/>
        <v>0</v>
      </c>
      <c r="U609" s="771" t="str">
        <f t="shared" si="81"/>
        <v>L</v>
      </c>
      <c r="V609" s="303"/>
      <c r="W609" s="304">
        <f>(Q609+R609)*'1.0-Contractblad'!$L$37</f>
        <v>0</v>
      </c>
      <c r="X609" s="304">
        <f ca="1">VLOOKUP(E609,'1.1a-Jaarprijzen'!$B$35:$Q$57,16,FALSE)*K609</f>
        <v>0</v>
      </c>
      <c r="Z609" s="773">
        <f t="shared" si="85"/>
        <v>10950</v>
      </c>
      <c r="AA609" s="492" t="str">
        <f t="shared" si="86"/>
        <v>7200-200</v>
      </c>
    </row>
    <row r="610" spans="2:27" s="490" customFormat="1" ht="15">
      <c r="B610" s="330"/>
      <c r="C610" s="331"/>
      <c r="D610" s="295">
        <f>VLOOKUP(E610,'1.1a-Jaarprijzen'!$B$13:$G$32,6,FALSE)</f>
        <v>2</v>
      </c>
      <c r="E610" s="294" t="s">
        <v>941</v>
      </c>
      <c r="F610" s="295"/>
      <c r="G610" s="296" t="s">
        <v>492</v>
      </c>
      <c r="H610" s="731" t="s">
        <v>403</v>
      </c>
      <c r="I610" s="297" t="str">
        <f t="shared" si="61"/>
        <v>leslokaal groep 1 t/m 3</v>
      </c>
      <c r="J610" s="295" t="s">
        <v>696</v>
      </c>
      <c r="K610" s="298">
        <v>58.14</v>
      </c>
      <c r="L610" s="298"/>
      <c r="M610" s="299">
        <v>7200</v>
      </c>
      <c r="N610" s="300">
        <f t="shared" si="82"/>
        <v>200</v>
      </c>
      <c r="O610" s="484">
        <v>1</v>
      </c>
      <c r="P610" s="484">
        <v>1</v>
      </c>
      <c r="Q610" s="292">
        <f t="shared" si="83"/>
        <v>0</v>
      </c>
      <c r="R610" s="292">
        <f t="shared" si="84"/>
        <v>0</v>
      </c>
      <c r="S610" s="301">
        <f t="shared" si="79"/>
        <v>0</v>
      </c>
      <c r="T610" s="301">
        <f t="shared" si="80"/>
        <v>0</v>
      </c>
      <c r="U610" s="771" t="str">
        <f t="shared" si="81"/>
        <v>L</v>
      </c>
      <c r="V610" s="303"/>
      <c r="W610" s="304">
        <f>(Q610+R610)*'1.0-Contractblad'!$L$37</f>
        <v>0</v>
      </c>
      <c r="X610" s="304">
        <f ca="1">VLOOKUP(E610,'1.1a-Jaarprijzen'!$B$35:$Q$57,16,FALSE)*K610</f>
        <v>0</v>
      </c>
      <c r="Z610" s="773">
        <f t="shared" si="85"/>
        <v>11628</v>
      </c>
      <c r="AA610" s="492" t="str">
        <f t="shared" si="86"/>
        <v>7200-200</v>
      </c>
    </row>
    <row r="611" spans="2:27" s="490" customFormat="1" ht="15">
      <c r="B611" s="330"/>
      <c r="C611" s="331"/>
      <c r="D611" s="295">
        <f>VLOOKUP(E611,'1.1a-Jaarprijzen'!$B$13:$G$32,6,FALSE)</f>
        <v>2</v>
      </c>
      <c r="E611" s="294" t="s">
        <v>941</v>
      </c>
      <c r="F611" s="295"/>
      <c r="G611" s="296" t="s">
        <v>493</v>
      </c>
      <c r="H611" s="731" t="s">
        <v>403</v>
      </c>
      <c r="I611" s="297" t="str">
        <f t="shared" si="61"/>
        <v>leslokaal groep 1 t/m 3</v>
      </c>
      <c r="J611" s="295" t="s">
        <v>696</v>
      </c>
      <c r="K611" s="298">
        <v>60.16</v>
      </c>
      <c r="L611" s="298"/>
      <c r="M611" s="299">
        <v>7200</v>
      </c>
      <c r="N611" s="300">
        <f t="shared" si="82"/>
        <v>200</v>
      </c>
      <c r="O611" s="484">
        <v>1</v>
      </c>
      <c r="P611" s="484">
        <v>1</v>
      </c>
      <c r="Q611" s="292">
        <f t="shared" si="83"/>
        <v>0</v>
      </c>
      <c r="R611" s="292">
        <f t="shared" si="84"/>
        <v>0</v>
      </c>
      <c r="S611" s="301">
        <f t="shared" si="79"/>
        <v>0</v>
      </c>
      <c r="T611" s="301">
        <f t="shared" si="80"/>
        <v>0</v>
      </c>
      <c r="U611" s="771" t="str">
        <f t="shared" si="81"/>
        <v>L</v>
      </c>
      <c r="V611" s="303"/>
      <c r="W611" s="304">
        <f>(Q611+R611)*'1.0-Contractblad'!$L$37</f>
        <v>0</v>
      </c>
      <c r="X611" s="304">
        <f ca="1">VLOOKUP(E611,'1.1a-Jaarprijzen'!$B$35:$Q$57,16,FALSE)*K611</f>
        <v>0</v>
      </c>
      <c r="Z611" s="773">
        <f t="shared" si="85"/>
        <v>12032</v>
      </c>
      <c r="AA611" s="492" t="str">
        <f t="shared" si="86"/>
        <v>7200-200</v>
      </c>
    </row>
    <row r="612" spans="2:27" s="490" customFormat="1" ht="15">
      <c r="B612" s="330"/>
      <c r="C612" s="331"/>
      <c r="D612" s="295">
        <f>VLOOKUP(E612,'1.1a-Jaarprijzen'!$B$13:$G$32,6,FALSE)</f>
        <v>2</v>
      </c>
      <c r="E612" s="294" t="s">
        <v>941</v>
      </c>
      <c r="F612" s="295"/>
      <c r="G612" s="296" t="s">
        <v>503</v>
      </c>
      <c r="H612" s="731" t="s">
        <v>403</v>
      </c>
      <c r="I612" s="297" t="str">
        <f t="shared" si="61"/>
        <v>leslokaal groep 1 t/m 3</v>
      </c>
      <c r="J612" s="295" t="s">
        <v>696</v>
      </c>
      <c r="K612" s="298">
        <v>54.81</v>
      </c>
      <c r="L612" s="298"/>
      <c r="M612" s="299">
        <v>7200</v>
      </c>
      <c r="N612" s="300">
        <f t="shared" si="82"/>
        <v>200</v>
      </c>
      <c r="O612" s="484">
        <v>1</v>
      </c>
      <c r="P612" s="484">
        <v>1</v>
      </c>
      <c r="Q612" s="292">
        <f t="shared" si="83"/>
        <v>0</v>
      </c>
      <c r="R612" s="292">
        <f t="shared" si="84"/>
        <v>0</v>
      </c>
      <c r="S612" s="301">
        <f t="shared" si="79"/>
        <v>0</v>
      </c>
      <c r="T612" s="301">
        <f t="shared" si="80"/>
        <v>0</v>
      </c>
      <c r="U612" s="771" t="str">
        <f t="shared" si="81"/>
        <v>L</v>
      </c>
      <c r="V612" s="303"/>
      <c r="W612" s="304">
        <f>(Q612+R612)*'1.0-Contractblad'!$L$37</f>
        <v>0</v>
      </c>
      <c r="X612" s="304">
        <f ca="1">VLOOKUP(E612,'1.1a-Jaarprijzen'!$B$35:$Q$57,16,FALSE)*K612</f>
        <v>0</v>
      </c>
      <c r="Z612" s="773">
        <f t="shared" si="85"/>
        <v>10962</v>
      </c>
      <c r="AA612" s="492" t="str">
        <f t="shared" si="86"/>
        <v>7200-200</v>
      </c>
    </row>
    <row r="613" spans="2:27" s="490" customFormat="1" ht="15">
      <c r="B613" s="330"/>
      <c r="C613" s="331"/>
      <c r="D613" s="295">
        <f>VLOOKUP(E613,'1.1a-Jaarprijzen'!$B$13:$G$32,6,FALSE)</f>
        <v>2</v>
      </c>
      <c r="E613" s="294" t="s">
        <v>941</v>
      </c>
      <c r="F613" s="295"/>
      <c r="G613" s="296" t="s">
        <v>872</v>
      </c>
      <c r="H613" s="731" t="s">
        <v>403</v>
      </c>
      <c r="I613" s="297" t="str">
        <f t="shared" si="61"/>
        <v>leslokaal groep 1 t/m 3</v>
      </c>
      <c r="J613" s="295" t="s">
        <v>696</v>
      </c>
      <c r="K613" s="298">
        <v>58.34</v>
      </c>
      <c r="L613" s="298"/>
      <c r="M613" s="299">
        <v>7200</v>
      </c>
      <c r="N613" s="300">
        <f t="shared" si="82"/>
        <v>200</v>
      </c>
      <c r="O613" s="484">
        <v>1</v>
      </c>
      <c r="P613" s="484">
        <v>1</v>
      </c>
      <c r="Q613" s="292">
        <f t="shared" si="83"/>
        <v>0</v>
      </c>
      <c r="R613" s="292">
        <f t="shared" si="84"/>
        <v>0</v>
      </c>
      <c r="S613" s="301">
        <f t="shared" ref="S613:S676" si="87">IF($M613=0,0,VLOOKUP($M613,Kengetal,6,FALSE))</f>
        <v>0</v>
      </c>
      <c r="T613" s="301">
        <f t="shared" ref="T613:T676" si="88">IF($M613=0,0,VLOOKUP($M613,Kengetal,7,FALSE))</f>
        <v>0</v>
      </c>
      <c r="U613" s="771" t="str">
        <f t="shared" si="81"/>
        <v>L</v>
      </c>
      <c r="V613" s="303"/>
      <c r="W613" s="304">
        <f>(Q613+R613)*'1.0-Contractblad'!$L$37</f>
        <v>0</v>
      </c>
      <c r="X613" s="304">
        <f ca="1">VLOOKUP(E613,'1.1a-Jaarprijzen'!$B$35:$Q$57,16,FALSE)*K613</f>
        <v>0</v>
      </c>
      <c r="Z613" s="773">
        <f t="shared" si="85"/>
        <v>11668</v>
      </c>
      <c r="AA613" s="492" t="str">
        <f t="shared" si="86"/>
        <v>7200-200</v>
      </c>
    </row>
    <row r="614" spans="2:27" s="490" customFormat="1" ht="15">
      <c r="B614" s="330"/>
      <c r="C614" s="331"/>
      <c r="D614" s="295">
        <f>VLOOKUP(E614,'1.1a-Jaarprijzen'!$B$13:$G$32,6,FALSE)</f>
        <v>2</v>
      </c>
      <c r="E614" s="294" t="s">
        <v>941</v>
      </c>
      <c r="F614" s="295"/>
      <c r="G614" s="296" t="s">
        <v>533</v>
      </c>
      <c r="H614" s="731" t="s">
        <v>387</v>
      </c>
      <c r="I614" s="297" t="str">
        <f t="shared" si="61"/>
        <v>entree, gang, hal, repro</v>
      </c>
      <c r="J614" s="295" t="s">
        <v>696</v>
      </c>
      <c r="K614" s="298">
        <v>15.31</v>
      </c>
      <c r="L614" s="298"/>
      <c r="M614" s="299">
        <v>3200</v>
      </c>
      <c r="N614" s="300">
        <f t="shared" si="82"/>
        <v>200</v>
      </c>
      <c r="O614" s="484">
        <v>1</v>
      </c>
      <c r="P614" s="484">
        <v>1</v>
      </c>
      <c r="Q614" s="292">
        <f t="shared" si="83"/>
        <v>0</v>
      </c>
      <c r="R614" s="292">
        <f t="shared" si="84"/>
        <v>0</v>
      </c>
      <c r="S614" s="301">
        <f t="shared" si="87"/>
        <v>0</v>
      </c>
      <c r="T614" s="301">
        <f t="shared" si="88"/>
        <v>0</v>
      </c>
      <c r="U614" s="771" t="str">
        <f t="shared" si="81"/>
        <v>V</v>
      </c>
      <c r="V614" s="303"/>
      <c r="W614" s="304">
        <f>(Q614+R614)*'1.0-Contractblad'!$L$37</f>
        <v>0</v>
      </c>
      <c r="X614" s="304">
        <f ca="1">VLOOKUP(E614,'1.1a-Jaarprijzen'!$B$35:$Q$57,16,FALSE)*K614</f>
        <v>0</v>
      </c>
      <c r="Z614" s="773">
        <f t="shared" si="85"/>
        <v>3062</v>
      </c>
      <c r="AA614" s="492" t="str">
        <f t="shared" si="86"/>
        <v>3200-200</v>
      </c>
    </row>
    <row r="615" spans="2:27" s="490" customFormat="1" ht="15">
      <c r="B615" s="330"/>
      <c r="C615" s="331"/>
      <c r="D615" s="295">
        <f>VLOOKUP(E615,'1.1a-Jaarprijzen'!$B$13:$G$32,6,FALSE)</f>
        <v>2</v>
      </c>
      <c r="E615" s="294" t="s">
        <v>941</v>
      </c>
      <c r="F615" s="295"/>
      <c r="G615" s="296" t="s">
        <v>525</v>
      </c>
      <c r="H615" s="731" t="s">
        <v>393</v>
      </c>
      <c r="I615" s="297" t="str">
        <f t="shared" si="61"/>
        <v>entree, gang, hal, repro</v>
      </c>
      <c r="J615" s="295" t="s">
        <v>696</v>
      </c>
      <c r="K615" s="298">
        <v>18.12</v>
      </c>
      <c r="L615" s="298"/>
      <c r="M615" s="299">
        <v>3200</v>
      </c>
      <c r="N615" s="300">
        <f t="shared" si="82"/>
        <v>200</v>
      </c>
      <c r="O615" s="484">
        <v>1</v>
      </c>
      <c r="P615" s="484">
        <v>1</v>
      </c>
      <c r="Q615" s="292">
        <f t="shared" si="83"/>
        <v>0</v>
      </c>
      <c r="R615" s="292">
        <f t="shared" si="84"/>
        <v>0</v>
      </c>
      <c r="S615" s="301">
        <f t="shared" si="87"/>
        <v>0</v>
      </c>
      <c r="T615" s="301">
        <f t="shared" si="88"/>
        <v>0</v>
      </c>
      <c r="U615" s="771" t="str">
        <f t="shared" si="81"/>
        <v>V</v>
      </c>
      <c r="V615" s="303"/>
      <c r="W615" s="304">
        <f>(Q615+R615)*'1.0-Contractblad'!$L$37</f>
        <v>0</v>
      </c>
      <c r="X615" s="304">
        <f ca="1">VLOOKUP(E615,'1.1a-Jaarprijzen'!$B$35:$Q$57,16,FALSE)*K615</f>
        <v>0</v>
      </c>
      <c r="Z615" s="773">
        <f t="shared" si="85"/>
        <v>3624</v>
      </c>
      <c r="AA615" s="492" t="str">
        <f t="shared" si="86"/>
        <v>3200-200</v>
      </c>
    </row>
    <row r="616" spans="2:27" s="490" customFormat="1" ht="15">
      <c r="B616" s="330"/>
      <c r="C616" s="331"/>
      <c r="D616" s="295">
        <f>VLOOKUP(E616,'1.1a-Jaarprijzen'!$B$13:$G$32,6,FALSE)</f>
        <v>2</v>
      </c>
      <c r="E616" s="294" t="s">
        <v>941</v>
      </c>
      <c r="F616" s="295"/>
      <c r="G616" s="296" t="s">
        <v>562</v>
      </c>
      <c r="H616" s="731" t="s">
        <v>558</v>
      </c>
      <c r="I616" s="297" t="str">
        <f t="shared" si="61"/>
        <v>administratieve -,  vergaderruimte</v>
      </c>
      <c r="J616" s="295" t="s">
        <v>696</v>
      </c>
      <c r="K616" s="298">
        <v>30.35</v>
      </c>
      <c r="L616" s="298"/>
      <c r="M616" s="299">
        <v>1200</v>
      </c>
      <c r="N616" s="300">
        <f t="shared" si="82"/>
        <v>200</v>
      </c>
      <c r="O616" s="484">
        <v>1</v>
      </c>
      <c r="P616" s="484">
        <v>1</v>
      </c>
      <c r="Q616" s="292">
        <f t="shared" si="83"/>
        <v>0</v>
      </c>
      <c r="R616" s="292">
        <f t="shared" si="84"/>
        <v>0</v>
      </c>
      <c r="S616" s="301">
        <f t="shared" si="87"/>
        <v>0</v>
      </c>
      <c r="T616" s="301">
        <f t="shared" si="88"/>
        <v>0</v>
      </c>
      <c r="U616" s="771" t="str">
        <f t="shared" si="81"/>
        <v>V</v>
      </c>
      <c r="V616" s="303"/>
      <c r="W616" s="304">
        <f>(Q616+R616)*'1.0-Contractblad'!$L$37</f>
        <v>0</v>
      </c>
      <c r="X616" s="304">
        <f ca="1">VLOOKUP(E616,'1.1a-Jaarprijzen'!$B$35:$Q$57,16,FALSE)*K616</f>
        <v>0</v>
      </c>
      <c r="Z616" s="773">
        <f t="shared" si="85"/>
        <v>6070</v>
      </c>
      <c r="AA616" s="492" t="str">
        <f t="shared" si="86"/>
        <v>1200-200</v>
      </c>
    </row>
    <row r="617" spans="2:27" s="490" customFormat="1" ht="15">
      <c r="B617" s="330"/>
      <c r="C617" s="331"/>
      <c r="D617" s="295">
        <f>VLOOKUP(E617,'1.1a-Jaarprijzen'!$B$13:$G$32,6,FALSE)</f>
        <v>2</v>
      </c>
      <c r="E617" s="294" t="s">
        <v>941</v>
      </c>
      <c r="F617" s="295"/>
      <c r="G617" s="296" t="s">
        <v>944</v>
      </c>
      <c r="H617" s="731" t="s">
        <v>388</v>
      </c>
      <c r="I617" s="297" t="str">
        <f t="shared" si="61"/>
        <v>niet van toepassing</v>
      </c>
      <c r="J617" s="295" t="s">
        <v>1015</v>
      </c>
      <c r="K617" s="298"/>
      <c r="L617" s="298">
        <v>3.74</v>
      </c>
      <c r="M617" s="299" t="s">
        <v>17</v>
      </c>
      <c r="N617" s="300">
        <f t="shared" si="82"/>
        <v>0</v>
      </c>
      <c r="O617" s="484">
        <v>1</v>
      </c>
      <c r="P617" s="484">
        <v>1</v>
      </c>
      <c r="Q617" s="292">
        <f t="shared" si="83"/>
        <v>0</v>
      </c>
      <c r="R617" s="292">
        <f t="shared" si="84"/>
        <v>0</v>
      </c>
      <c r="S617" s="301">
        <f t="shared" si="87"/>
        <v>0</v>
      </c>
      <c r="T617" s="301">
        <f t="shared" si="88"/>
        <v>0</v>
      </c>
      <c r="U617" s="771">
        <f t="shared" si="81"/>
        <v>0</v>
      </c>
      <c r="V617" s="303"/>
      <c r="W617" s="304">
        <f>(Q617+R617)*'1.0-Contractblad'!$L$37</f>
        <v>0</v>
      </c>
      <c r="X617" s="304">
        <f ca="1">VLOOKUP(E617,'1.1a-Jaarprijzen'!$B$35:$Q$57,16,FALSE)*K617</f>
        <v>0</v>
      </c>
      <c r="Z617" s="773">
        <f t="shared" si="85"/>
        <v>0</v>
      </c>
      <c r="AA617" s="492" t="str">
        <f t="shared" si="86"/>
        <v>nvt-0</v>
      </c>
    </row>
    <row r="618" spans="2:27" s="490" customFormat="1" ht="15">
      <c r="B618" s="330"/>
      <c r="C618" s="331"/>
      <c r="D618" s="295">
        <f>VLOOKUP(E618,'1.1a-Jaarprijzen'!$B$13:$G$32,6,FALSE)</f>
        <v>2</v>
      </c>
      <c r="E618" s="294" t="s">
        <v>941</v>
      </c>
      <c r="F618" s="295"/>
      <c r="G618" s="296" t="s">
        <v>515</v>
      </c>
      <c r="H618" s="731" t="s">
        <v>400</v>
      </c>
      <c r="I618" s="297" t="str">
        <f t="shared" si="61"/>
        <v>trappenhuis</v>
      </c>
      <c r="J618" s="295" t="s">
        <v>475</v>
      </c>
      <c r="K618" s="298">
        <v>11.61</v>
      </c>
      <c r="L618" s="298"/>
      <c r="M618" s="299">
        <v>9200</v>
      </c>
      <c r="N618" s="300">
        <f t="shared" si="82"/>
        <v>200</v>
      </c>
      <c r="O618" s="484">
        <v>1</v>
      </c>
      <c r="P618" s="484">
        <v>1</v>
      </c>
      <c r="Q618" s="292">
        <f t="shared" si="83"/>
        <v>0</v>
      </c>
      <c r="R618" s="292">
        <f t="shared" si="84"/>
        <v>0</v>
      </c>
      <c r="S618" s="301">
        <f t="shared" si="87"/>
        <v>0</v>
      </c>
      <c r="T618" s="301">
        <f t="shared" si="88"/>
        <v>0</v>
      </c>
      <c r="U618" s="771" t="str">
        <f t="shared" si="81"/>
        <v>V</v>
      </c>
      <c r="V618" s="303"/>
      <c r="W618" s="304">
        <f>(Q618+R618)*'1.0-Contractblad'!$L$37</f>
        <v>0</v>
      </c>
      <c r="X618" s="304">
        <f ca="1">VLOOKUP(E618,'1.1a-Jaarprijzen'!$B$35:$Q$57,16,FALSE)*K618</f>
        <v>0</v>
      </c>
      <c r="Z618" s="773">
        <f t="shared" si="85"/>
        <v>2322</v>
      </c>
      <c r="AA618" s="492" t="str">
        <f t="shared" si="86"/>
        <v>9200-200</v>
      </c>
    </row>
    <row r="619" spans="2:27" s="490" customFormat="1" ht="15">
      <c r="B619" s="330"/>
      <c r="C619" s="331"/>
      <c r="D619" s="295">
        <f>VLOOKUP(E619,'1.1a-Jaarprijzen'!$B$13:$G$32,6,FALSE)</f>
        <v>2</v>
      </c>
      <c r="E619" s="294" t="s">
        <v>941</v>
      </c>
      <c r="F619" s="295"/>
      <c r="G619" s="296" t="s">
        <v>519</v>
      </c>
      <c r="H619" s="731" t="s">
        <v>400</v>
      </c>
      <c r="I619" s="297" t="str">
        <f t="shared" si="61"/>
        <v>trappenhuis</v>
      </c>
      <c r="J619" s="295" t="s">
        <v>475</v>
      </c>
      <c r="K619" s="298">
        <v>8.14</v>
      </c>
      <c r="L619" s="298"/>
      <c r="M619" s="299">
        <v>9200</v>
      </c>
      <c r="N619" s="300">
        <f t="shared" si="82"/>
        <v>200</v>
      </c>
      <c r="O619" s="484">
        <v>1</v>
      </c>
      <c r="P619" s="484">
        <v>1</v>
      </c>
      <c r="Q619" s="292">
        <f t="shared" si="83"/>
        <v>0</v>
      </c>
      <c r="R619" s="292">
        <f t="shared" si="84"/>
        <v>0</v>
      </c>
      <c r="S619" s="301">
        <f t="shared" si="87"/>
        <v>0</v>
      </c>
      <c r="T619" s="301">
        <f t="shared" si="88"/>
        <v>0</v>
      </c>
      <c r="U619" s="771" t="str">
        <f t="shared" si="81"/>
        <v>V</v>
      </c>
      <c r="V619" s="303"/>
      <c r="W619" s="304">
        <f>(Q619+R619)*'1.0-Contractblad'!$L$37</f>
        <v>0</v>
      </c>
      <c r="X619" s="304">
        <f ca="1">VLOOKUP(E619,'1.1a-Jaarprijzen'!$B$35:$Q$57,16,FALSE)*K619</f>
        <v>0</v>
      </c>
      <c r="Z619" s="773">
        <f t="shared" si="85"/>
        <v>1628</v>
      </c>
      <c r="AA619" s="492" t="str">
        <f t="shared" si="86"/>
        <v>9200-200</v>
      </c>
    </row>
    <row r="620" spans="2:27" s="490" customFormat="1" ht="15">
      <c r="B620" s="330"/>
      <c r="C620" s="331"/>
      <c r="D620" s="295">
        <f>VLOOKUP(E620,'1.1a-Jaarprijzen'!$B$13:$G$32,6,FALSE)</f>
        <v>2</v>
      </c>
      <c r="E620" s="294" t="s">
        <v>941</v>
      </c>
      <c r="F620" s="295"/>
      <c r="G620" s="296" t="s">
        <v>522</v>
      </c>
      <c r="H620" s="731" t="s">
        <v>400</v>
      </c>
      <c r="I620" s="297" t="str">
        <f t="shared" si="61"/>
        <v>trappenhuis</v>
      </c>
      <c r="J620" s="295" t="s">
        <v>475</v>
      </c>
      <c r="K620" s="298">
        <v>7.58</v>
      </c>
      <c r="L620" s="298"/>
      <c r="M620" s="299">
        <v>9200</v>
      </c>
      <c r="N620" s="300">
        <f t="shared" si="82"/>
        <v>200</v>
      </c>
      <c r="O620" s="484">
        <v>1</v>
      </c>
      <c r="P620" s="484">
        <v>1</v>
      </c>
      <c r="Q620" s="292">
        <f t="shared" si="83"/>
        <v>0</v>
      </c>
      <c r="R620" s="292">
        <f t="shared" si="84"/>
        <v>0</v>
      </c>
      <c r="S620" s="301">
        <f t="shared" si="87"/>
        <v>0</v>
      </c>
      <c r="T620" s="301">
        <f t="shared" si="88"/>
        <v>0</v>
      </c>
      <c r="U620" s="771" t="str">
        <f t="shared" ref="U620:U683" si="89">IF(M620="","",VLOOKUP(M620,Kengetal,14,FALSE))</f>
        <v>V</v>
      </c>
      <c r="V620" s="303"/>
      <c r="W620" s="304">
        <f>(Q620+R620)*'1.0-Contractblad'!$L$37</f>
        <v>0</v>
      </c>
      <c r="X620" s="304">
        <f ca="1">VLOOKUP(E620,'1.1a-Jaarprijzen'!$B$35:$Q$57,16,FALSE)*K620</f>
        <v>0</v>
      </c>
      <c r="Z620" s="773">
        <f t="shared" si="85"/>
        <v>1516</v>
      </c>
      <c r="AA620" s="492" t="str">
        <f t="shared" si="86"/>
        <v>9200-200</v>
      </c>
    </row>
    <row r="621" spans="2:27" s="490" customFormat="1" ht="15">
      <c r="B621" s="330"/>
      <c r="C621" s="331"/>
      <c r="D621" s="295">
        <f>VLOOKUP(E621,'1.1a-Jaarprijzen'!$B$13:$G$32,6,FALSE)</f>
        <v>2</v>
      </c>
      <c r="E621" s="294" t="s">
        <v>941</v>
      </c>
      <c r="F621" s="295"/>
      <c r="G621" s="296" t="s">
        <v>556</v>
      </c>
      <c r="H621" s="731" t="s">
        <v>693</v>
      </c>
      <c r="I621" s="297" t="str">
        <f t="shared" si="61"/>
        <v>sanitaire ruimte (toilet-/doucheruimte)</v>
      </c>
      <c r="J621" s="295" t="s">
        <v>465</v>
      </c>
      <c r="K621" s="298">
        <v>9.3699999999999992</v>
      </c>
      <c r="L621" s="298"/>
      <c r="M621" s="299">
        <v>4200</v>
      </c>
      <c r="N621" s="300">
        <f t="shared" ref="N621:N684" si="90">VLOOKUP(M621,Kengetal,3,FALSE)</f>
        <v>200</v>
      </c>
      <c r="O621" s="484">
        <v>1</v>
      </c>
      <c r="P621" s="484">
        <v>1</v>
      </c>
      <c r="Q621" s="292">
        <f t="shared" ref="Q621:Q684" si="91">S621*K621*O621</f>
        <v>0</v>
      </c>
      <c r="R621" s="292">
        <f t="shared" ref="R621:R684" si="92">T621*K621*P621</f>
        <v>0</v>
      </c>
      <c r="S621" s="301">
        <f t="shared" si="87"/>
        <v>0</v>
      </c>
      <c r="T621" s="301">
        <f t="shared" si="88"/>
        <v>0</v>
      </c>
      <c r="U621" s="771" t="str">
        <f t="shared" si="89"/>
        <v>S</v>
      </c>
      <c r="V621" s="303"/>
      <c r="W621" s="304">
        <f>(Q621+R621)*'1.0-Contractblad'!$L$37</f>
        <v>0</v>
      </c>
      <c r="X621" s="304">
        <f ca="1">VLOOKUP(E621,'1.1a-Jaarprijzen'!$B$35:$Q$57,16,FALSE)*K621</f>
        <v>0</v>
      </c>
      <c r="Z621" s="773">
        <f t="shared" ref="Z621:Z684" si="93">K621*N621</f>
        <v>1873.9999999999998</v>
      </c>
      <c r="AA621" s="492" t="str">
        <f t="shared" ref="AA621:AA684" si="94">CONCATENATE(M621,"-",N621)</f>
        <v>4200-200</v>
      </c>
    </row>
    <row r="622" spans="2:27" s="490" customFormat="1" ht="15">
      <c r="B622" s="330"/>
      <c r="C622" s="331"/>
      <c r="D622" s="295">
        <f>VLOOKUP(E622,'1.1a-Jaarprijzen'!$B$13:$G$32,6,FALSE)</f>
        <v>2</v>
      </c>
      <c r="E622" s="294" t="s">
        <v>941</v>
      </c>
      <c r="F622" s="295"/>
      <c r="G622" s="296" t="s">
        <v>690</v>
      </c>
      <c r="H622" s="731" t="s">
        <v>387</v>
      </c>
      <c r="I622" s="297" t="str">
        <f t="shared" si="61"/>
        <v>entree, gang, hal, repro</v>
      </c>
      <c r="J622" s="295" t="s">
        <v>696</v>
      </c>
      <c r="K622" s="298">
        <v>70.81</v>
      </c>
      <c r="L622" s="298"/>
      <c r="M622" s="299">
        <v>3200</v>
      </c>
      <c r="N622" s="300">
        <f t="shared" si="90"/>
        <v>200</v>
      </c>
      <c r="O622" s="484">
        <v>1</v>
      </c>
      <c r="P622" s="484">
        <v>1</v>
      </c>
      <c r="Q622" s="292">
        <f t="shared" si="91"/>
        <v>0</v>
      </c>
      <c r="R622" s="292">
        <f t="shared" si="92"/>
        <v>0</v>
      </c>
      <c r="S622" s="301">
        <f t="shared" si="87"/>
        <v>0</v>
      </c>
      <c r="T622" s="301">
        <f t="shared" si="88"/>
        <v>0</v>
      </c>
      <c r="U622" s="771" t="str">
        <f t="shared" si="89"/>
        <v>V</v>
      </c>
      <c r="V622" s="303"/>
      <c r="W622" s="304">
        <f>(Q622+R622)*'1.0-Contractblad'!$L$37</f>
        <v>0</v>
      </c>
      <c r="X622" s="304">
        <f ca="1">VLOOKUP(E622,'1.1a-Jaarprijzen'!$B$35:$Q$57,16,FALSE)*K622</f>
        <v>0</v>
      </c>
      <c r="Z622" s="773">
        <f t="shared" si="93"/>
        <v>14162</v>
      </c>
      <c r="AA622" s="492" t="str">
        <f t="shared" si="94"/>
        <v>3200-200</v>
      </c>
    </row>
    <row r="623" spans="2:27" s="490" customFormat="1" ht="15">
      <c r="B623" s="330"/>
      <c r="C623" s="331"/>
      <c r="D623" s="295">
        <f>VLOOKUP(E623,'1.1a-Jaarprijzen'!$B$13:$G$32,6,FALSE)</f>
        <v>2</v>
      </c>
      <c r="E623" s="294" t="s">
        <v>941</v>
      </c>
      <c r="F623" s="295"/>
      <c r="G623" s="296" t="s">
        <v>532</v>
      </c>
      <c r="H623" s="731" t="s">
        <v>387</v>
      </c>
      <c r="I623" s="297" t="str">
        <f t="shared" si="61"/>
        <v>entree, gang, hal, repro</v>
      </c>
      <c r="J623" s="295" t="s">
        <v>696</v>
      </c>
      <c r="K623" s="298">
        <v>34.799999999999997</v>
      </c>
      <c r="L623" s="298"/>
      <c r="M623" s="299">
        <v>3200</v>
      </c>
      <c r="N623" s="300">
        <f t="shared" si="90"/>
        <v>200</v>
      </c>
      <c r="O623" s="484">
        <v>1</v>
      </c>
      <c r="P623" s="484">
        <v>1</v>
      </c>
      <c r="Q623" s="292">
        <f t="shared" si="91"/>
        <v>0</v>
      </c>
      <c r="R623" s="292">
        <f t="shared" si="92"/>
        <v>0</v>
      </c>
      <c r="S623" s="301">
        <f t="shared" si="87"/>
        <v>0</v>
      </c>
      <c r="T623" s="301">
        <f t="shared" si="88"/>
        <v>0</v>
      </c>
      <c r="U623" s="771" t="str">
        <f t="shared" si="89"/>
        <v>V</v>
      </c>
      <c r="V623" s="303"/>
      <c r="W623" s="304">
        <f>(Q623+R623)*'1.0-Contractblad'!$L$37</f>
        <v>0</v>
      </c>
      <c r="X623" s="304">
        <f ca="1">VLOOKUP(E623,'1.1a-Jaarprijzen'!$B$35:$Q$57,16,FALSE)*K623</f>
        <v>0</v>
      </c>
      <c r="Z623" s="773">
        <f t="shared" si="93"/>
        <v>6959.9999999999991</v>
      </c>
      <c r="AA623" s="492" t="str">
        <f t="shared" si="94"/>
        <v>3200-200</v>
      </c>
    </row>
    <row r="624" spans="2:27" s="490" customFormat="1" ht="15">
      <c r="B624" s="330"/>
      <c r="C624" s="331"/>
      <c r="D624" s="295">
        <f>VLOOKUP(E624,'1.1a-Jaarprijzen'!$B$13:$G$32,6,FALSE)</f>
        <v>2</v>
      </c>
      <c r="E624" s="294" t="s">
        <v>941</v>
      </c>
      <c r="F624" s="295"/>
      <c r="G624" s="296" t="s">
        <v>945</v>
      </c>
      <c r="H624" s="731" t="s">
        <v>400</v>
      </c>
      <c r="I624" s="297" t="str">
        <f t="shared" si="61"/>
        <v>trappenhuis</v>
      </c>
      <c r="J624" s="295" t="s">
        <v>475</v>
      </c>
      <c r="K624" s="298">
        <v>8.9600000000000009</v>
      </c>
      <c r="L624" s="298"/>
      <c r="M624" s="299">
        <v>9200</v>
      </c>
      <c r="N624" s="300">
        <f t="shared" si="90"/>
        <v>200</v>
      </c>
      <c r="O624" s="484">
        <v>1</v>
      </c>
      <c r="P624" s="484">
        <v>1</v>
      </c>
      <c r="Q624" s="292">
        <f t="shared" si="91"/>
        <v>0</v>
      </c>
      <c r="R624" s="292">
        <f t="shared" si="92"/>
        <v>0</v>
      </c>
      <c r="S624" s="301">
        <f t="shared" si="87"/>
        <v>0</v>
      </c>
      <c r="T624" s="301">
        <f t="shared" si="88"/>
        <v>0</v>
      </c>
      <c r="U624" s="771" t="str">
        <f t="shared" si="89"/>
        <v>V</v>
      </c>
      <c r="V624" s="303"/>
      <c r="W624" s="304">
        <f>(Q624+R624)*'1.0-Contractblad'!$L$37</f>
        <v>0</v>
      </c>
      <c r="X624" s="304">
        <f ca="1">VLOOKUP(E624,'1.1a-Jaarprijzen'!$B$35:$Q$57,16,FALSE)*K624</f>
        <v>0</v>
      </c>
      <c r="Z624" s="773">
        <f t="shared" si="93"/>
        <v>1792.0000000000002</v>
      </c>
      <c r="AA624" s="492" t="str">
        <f t="shared" si="94"/>
        <v>9200-200</v>
      </c>
    </row>
    <row r="625" spans="2:27" s="490" customFormat="1" ht="15">
      <c r="B625" s="330"/>
      <c r="C625" s="331"/>
      <c r="D625" s="295">
        <f>VLOOKUP(E625,'1.1a-Jaarprijzen'!$B$13:$G$32,6,FALSE)</f>
        <v>2</v>
      </c>
      <c r="E625" s="294" t="s">
        <v>941</v>
      </c>
      <c r="F625" s="295"/>
      <c r="G625" s="296" t="s">
        <v>946</v>
      </c>
      <c r="H625" s="731" t="s">
        <v>391</v>
      </c>
      <c r="I625" s="297" t="str">
        <f t="shared" si="61"/>
        <v>niet van toepassing</v>
      </c>
      <c r="J625" s="295" t="s">
        <v>1015</v>
      </c>
      <c r="K625" s="298"/>
      <c r="L625" s="298">
        <v>5.49</v>
      </c>
      <c r="M625" s="299" t="s">
        <v>17</v>
      </c>
      <c r="N625" s="300">
        <f t="shared" si="90"/>
        <v>0</v>
      </c>
      <c r="O625" s="484">
        <v>1</v>
      </c>
      <c r="P625" s="484">
        <v>1</v>
      </c>
      <c r="Q625" s="292">
        <f t="shared" si="91"/>
        <v>0</v>
      </c>
      <c r="R625" s="292">
        <f t="shared" si="92"/>
        <v>0</v>
      </c>
      <c r="S625" s="301">
        <f t="shared" si="87"/>
        <v>0</v>
      </c>
      <c r="T625" s="301">
        <f t="shared" si="88"/>
        <v>0</v>
      </c>
      <c r="U625" s="771">
        <f t="shared" si="89"/>
        <v>0</v>
      </c>
      <c r="V625" s="303"/>
      <c r="W625" s="304">
        <f>(Q625+R625)*'1.0-Contractblad'!$L$37</f>
        <v>0</v>
      </c>
      <c r="X625" s="304">
        <f ca="1">VLOOKUP(E625,'1.1a-Jaarprijzen'!$B$35:$Q$57,16,FALSE)*K625</f>
        <v>0</v>
      </c>
      <c r="Z625" s="773">
        <f t="shared" si="93"/>
        <v>0</v>
      </c>
      <c r="AA625" s="492" t="str">
        <f t="shared" si="94"/>
        <v>nvt-0</v>
      </c>
    </row>
    <row r="626" spans="2:27" s="490" customFormat="1" ht="15">
      <c r="B626" s="330"/>
      <c r="C626" s="331"/>
      <c r="D626" s="295">
        <f>VLOOKUP(E626,'1.1a-Jaarprijzen'!$B$13:$G$32,6,FALSE)</f>
        <v>2</v>
      </c>
      <c r="E626" s="294" t="s">
        <v>947</v>
      </c>
      <c r="F626" s="295"/>
      <c r="G626" s="296" t="s">
        <v>517</v>
      </c>
      <c r="H626" s="731" t="s">
        <v>400</v>
      </c>
      <c r="I626" s="297" t="str">
        <f t="shared" si="61"/>
        <v>trappenhuis</v>
      </c>
      <c r="J626" s="295" t="s">
        <v>475</v>
      </c>
      <c r="K626" s="298">
        <v>11.62</v>
      </c>
      <c r="L626" s="298"/>
      <c r="M626" s="299">
        <v>9200</v>
      </c>
      <c r="N626" s="300">
        <f t="shared" si="90"/>
        <v>200</v>
      </c>
      <c r="O626" s="484">
        <v>1</v>
      </c>
      <c r="P626" s="484">
        <v>1</v>
      </c>
      <c r="Q626" s="292">
        <f t="shared" si="91"/>
        <v>0</v>
      </c>
      <c r="R626" s="292">
        <f t="shared" si="92"/>
        <v>0</v>
      </c>
      <c r="S626" s="301">
        <f t="shared" si="87"/>
        <v>0</v>
      </c>
      <c r="T626" s="301">
        <f t="shared" si="88"/>
        <v>0</v>
      </c>
      <c r="U626" s="771" t="str">
        <f t="shared" si="89"/>
        <v>V</v>
      </c>
      <c r="V626" s="303"/>
      <c r="W626" s="304">
        <f>(Q626+R626)*'1.0-Contractblad'!$L$37</f>
        <v>0</v>
      </c>
      <c r="X626" s="304">
        <f ca="1">VLOOKUP(E626,'1.1a-Jaarprijzen'!$B$35:$Q$57,16,FALSE)*K626</f>
        <v>0</v>
      </c>
      <c r="Z626" s="773">
        <f t="shared" si="93"/>
        <v>2324</v>
      </c>
      <c r="AA626" s="492" t="str">
        <f t="shared" si="94"/>
        <v>9200-200</v>
      </c>
    </row>
    <row r="627" spans="2:27" s="490" customFormat="1" ht="15">
      <c r="B627" s="330"/>
      <c r="C627" s="331"/>
      <c r="D627" s="295">
        <f>VLOOKUP(E627,'1.1a-Jaarprijzen'!$B$13:$G$32,6,FALSE)</f>
        <v>2</v>
      </c>
      <c r="E627" s="294" t="s">
        <v>947</v>
      </c>
      <c r="F627" s="295"/>
      <c r="G627" s="296" t="s">
        <v>546</v>
      </c>
      <c r="H627" s="731" t="s">
        <v>693</v>
      </c>
      <c r="I627" s="297" t="str">
        <f t="shared" si="61"/>
        <v>sanitaire ruimte (toilet-/doucheruimte)</v>
      </c>
      <c r="J627" s="295" t="s">
        <v>465</v>
      </c>
      <c r="K627" s="298">
        <v>10.85</v>
      </c>
      <c r="L627" s="298"/>
      <c r="M627" s="299">
        <v>4200</v>
      </c>
      <c r="N627" s="300">
        <f t="shared" si="90"/>
        <v>200</v>
      </c>
      <c r="O627" s="484">
        <v>1</v>
      </c>
      <c r="P627" s="484">
        <v>1</v>
      </c>
      <c r="Q627" s="292">
        <f t="shared" si="91"/>
        <v>0</v>
      </c>
      <c r="R627" s="292">
        <f t="shared" si="92"/>
        <v>0</v>
      </c>
      <c r="S627" s="301">
        <f t="shared" si="87"/>
        <v>0</v>
      </c>
      <c r="T627" s="301">
        <f t="shared" si="88"/>
        <v>0</v>
      </c>
      <c r="U627" s="771" t="str">
        <f t="shared" si="89"/>
        <v>S</v>
      </c>
      <c r="V627" s="303"/>
      <c r="W627" s="304">
        <f>(Q627+R627)*'1.0-Contractblad'!$L$37</f>
        <v>0</v>
      </c>
      <c r="X627" s="304">
        <f ca="1">VLOOKUP(E627,'1.1a-Jaarprijzen'!$B$35:$Q$57,16,FALSE)*K627</f>
        <v>0</v>
      </c>
      <c r="Z627" s="773">
        <f t="shared" si="93"/>
        <v>2170</v>
      </c>
      <c r="AA627" s="492" t="str">
        <f t="shared" si="94"/>
        <v>4200-200</v>
      </c>
    </row>
    <row r="628" spans="2:27" s="490" customFormat="1" ht="15">
      <c r="B628" s="330"/>
      <c r="C628" s="331"/>
      <c r="D628" s="295">
        <f>VLOOKUP(E628,'1.1a-Jaarprijzen'!$B$13:$G$32,6,FALSE)</f>
        <v>2</v>
      </c>
      <c r="E628" s="294" t="s">
        <v>947</v>
      </c>
      <c r="F628" s="295"/>
      <c r="G628" s="296" t="s">
        <v>948</v>
      </c>
      <c r="H628" s="731" t="s">
        <v>693</v>
      </c>
      <c r="I628" s="297" t="str">
        <f t="shared" si="61"/>
        <v>sanitaire ruimte (toilet-/doucheruimte)</v>
      </c>
      <c r="J628" s="295" t="s">
        <v>465</v>
      </c>
      <c r="K628" s="298">
        <v>9.36</v>
      </c>
      <c r="L628" s="298"/>
      <c r="M628" s="299">
        <v>4200</v>
      </c>
      <c r="N628" s="300">
        <f t="shared" si="90"/>
        <v>200</v>
      </c>
      <c r="O628" s="484">
        <v>1</v>
      </c>
      <c r="P628" s="484">
        <v>1</v>
      </c>
      <c r="Q628" s="292">
        <f t="shared" si="91"/>
        <v>0</v>
      </c>
      <c r="R628" s="292">
        <f t="shared" si="92"/>
        <v>0</v>
      </c>
      <c r="S628" s="301">
        <f t="shared" si="87"/>
        <v>0</v>
      </c>
      <c r="T628" s="301">
        <f t="shared" si="88"/>
        <v>0</v>
      </c>
      <c r="U628" s="771" t="str">
        <f t="shared" si="89"/>
        <v>S</v>
      </c>
      <c r="V628" s="303"/>
      <c r="W628" s="304">
        <f>(Q628+R628)*'1.0-Contractblad'!$L$37</f>
        <v>0</v>
      </c>
      <c r="X628" s="304">
        <f ca="1">VLOOKUP(E628,'1.1a-Jaarprijzen'!$B$35:$Q$57,16,FALSE)*K628</f>
        <v>0</v>
      </c>
      <c r="Z628" s="773">
        <f t="shared" si="93"/>
        <v>1872</v>
      </c>
      <c r="AA628" s="492" t="str">
        <f t="shared" si="94"/>
        <v>4200-200</v>
      </c>
    </row>
    <row r="629" spans="2:27" s="490" customFormat="1" ht="15">
      <c r="B629" s="330"/>
      <c r="C629" s="331"/>
      <c r="D629" s="295">
        <f>VLOOKUP(E629,'1.1a-Jaarprijzen'!$B$13:$G$32,6,FALSE)</f>
        <v>2</v>
      </c>
      <c r="E629" s="294" t="s">
        <v>947</v>
      </c>
      <c r="F629" s="295"/>
      <c r="G629" s="296" t="s">
        <v>494</v>
      </c>
      <c r="H629" s="731" t="s">
        <v>403</v>
      </c>
      <c r="I629" s="297" t="str">
        <f t="shared" si="61"/>
        <v>leslokaal groep 1 t/m 3</v>
      </c>
      <c r="J629" s="295" t="s">
        <v>696</v>
      </c>
      <c r="K629" s="298">
        <v>59.73</v>
      </c>
      <c r="L629" s="298"/>
      <c r="M629" s="299">
        <v>7200</v>
      </c>
      <c r="N629" s="300">
        <f t="shared" si="90"/>
        <v>200</v>
      </c>
      <c r="O629" s="484">
        <v>1</v>
      </c>
      <c r="P629" s="484">
        <v>1</v>
      </c>
      <c r="Q629" s="292">
        <f t="shared" si="91"/>
        <v>0</v>
      </c>
      <c r="R629" s="292">
        <f t="shared" si="92"/>
        <v>0</v>
      </c>
      <c r="S629" s="301">
        <f t="shared" si="87"/>
        <v>0</v>
      </c>
      <c r="T629" s="301">
        <f t="shared" si="88"/>
        <v>0</v>
      </c>
      <c r="U629" s="771" t="str">
        <f t="shared" si="89"/>
        <v>L</v>
      </c>
      <c r="V629" s="303"/>
      <c r="W629" s="304">
        <f>(Q629+R629)*'1.0-Contractblad'!$L$37</f>
        <v>0</v>
      </c>
      <c r="X629" s="304">
        <f ca="1">VLOOKUP(E629,'1.1a-Jaarprijzen'!$B$35:$Q$57,16,FALSE)*K629</f>
        <v>0</v>
      </c>
      <c r="Z629" s="773">
        <f t="shared" si="93"/>
        <v>11946</v>
      </c>
      <c r="AA629" s="492" t="str">
        <f t="shared" si="94"/>
        <v>7200-200</v>
      </c>
    </row>
    <row r="630" spans="2:27" s="490" customFormat="1" ht="15">
      <c r="B630" s="330"/>
      <c r="C630" s="331"/>
      <c r="D630" s="295">
        <f>VLOOKUP(E630,'1.1a-Jaarprijzen'!$B$13:$G$32,6,FALSE)</f>
        <v>2</v>
      </c>
      <c r="E630" s="294" t="s">
        <v>947</v>
      </c>
      <c r="F630" s="295"/>
      <c r="G630" s="296" t="s">
        <v>495</v>
      </c>
      <c r="H630" s="731" t="s">
        <v>403</v>
      </c>
      <c r="I630" s="297" t="str">
        <f t="shared" si="61"/>
        <v>leslokaal groep 1 t/m 3</v>
      </c>
      <c r="J630" s="295" t="s">
        <v>696</v>
      </c>
      <c r="K630" s="298">
        <v>58.45</v>
      </c>
      <c r="L630" s="298"/>
      <c r="M630" s="299">
        <v>7200</v>
      </c>
      <c r="N630" s="300">
        <f t="shared" si="90"/>
        <v>200</v>
      </c>
      <c r="O630" s="484">
        <v>1</v>
      </c>
      <c r="P630" s="484">
        <v>1</v>
      </c>
      <c r="Q630" s="292">
        <f t="shared" si="91"/>
        <v>0</v>
      </c>
      <c r="R630" s="292">
        <f t="shared" si="92"/>
        <v>0</v>
      </c>
      <c r="S630" s="301">
        <f t="shared" si="87"/>
        <v>0</v>
      </c>
      <c r="T630" s="301">
        <f t="shared" si="88"/>
        <v>0</v>
      </c>
      <c r="U630" s="771" t="str">
        <f t="shared" si="89"/>
        <v>L</v>
      </c>
      <c r="V630" s="303"/>
      <c r="W630" s="304">
        <f>(Q630+R630)*'1.0-Contractblad'!$L$37</f>
        <v>0</v>
      </c>
      <c r="X630" s="304">
        <f ca="1">VLOOKUP(E630,'1.1a-Jaarprijzen'!$B$35:$Q$57,16,FALSE)*K630</f>
        <v>0</v>
      </c>
      <c r="Z630" s="773">
        <f t="shared" si="93"/>
        <v>11690</v>
      </c>
      <c r="AA630" s="492" t="str">
        <f t="shared" si="94"/>
        <v>7200-200</v>
      </c>
    </row>
    <row r="631" spans="2:27" s="490" customFormat="1" ht="15">
      <c r="B631" s="330"/>
      <c r="C631" s="331"/>
      <c r="D631" s="295">
        <f>VLOOKUP(E631,'1.1a-Jaarprijzen'!$B$13:$G$32,6,FALSE)</f>
        <v>2</v>
      </c>
      <c r="E631" s="294" t="s">
        <v>947</v>
      </c>
      <c r="F631" s="295"/>
      <c r="G631" s="296" t="s">
        <v>496</v>
      </c>
      <c r="H631" s="731" t="s">
        <v>403</v>
      </c>
      <c r="I631" s="297" t="str">
        <f t="shared" si="61"/>
        <v>leslokaal groep 1 t/m 3</v>
      </c>
      <c r="J631" s="295" t="s">
        <v>696</v>
      </c>
      <c r="K631" s="298">
        <v>54.71</v>
      </c>
      <c r="L631" s="298"/>
      <c r="M631" s="299">
        <v>7200</v>
      </c>
      <c r="N631" s="300">
        <f t="shared" si="90"/>
        <v>200</v>
      </c>
      <c r="O631" s="484">
        <v>1</v>
      </c>
      <c r="P631" s="484">
        <v>1</v>
      </c>
      <c r="Q631" s="292">
        <f t="shared" si="91"/>
        <v>0</v>
      </c>
      <c r="R631" s="292">
        <f t="shared" si="92"/>
        <v>0</v>
      </c>
      <c r="S631" s="301">
        <f t="shared" si="87"/>
        <v>0</v>
      </c>
      <c r="T631" s="301">
        <f t="shared" si="88"/>
        <v>0</v>
      </c>
      <c r="U631" s="771" t="str">
        <f t="shared" si="89"/>
        <v>L</v>
      </c>
      <c r="V631" s="303"/>
      <c r="W631" s="304">
        <f>(Q631+R631)*'1.0-Contractblad'!$L$37</f>
        <v>0</v>
      </c>
      <c r="X631" s="304">
        <f ca="1">VLOOKUP(E631,'1.1a-Jaarprijzen'!$B$35:$Q$57,16,FALSE)*K631</f>
        <v>0</v>
      </c>
      <c r="Z631" s="773">
        <f t="shared" si="93"/>
        <v>10942</v>
      </c>
      <c r="AA631" s="492" t="str">
        <f t="shared" si="94"/>
        <v>7200-200</v>
      </c>
    </row>
    <row r="632" spans="2:27" s="490" customFormat="1" ht="15">
      <c r="B632" s="330"/>
      <c r="C632" s="331"/>
      <c r="D632" s="295">
        <f>VLOOKUP(E632,'1.1a-Jaarprijzen'!$B$13:$G$32,6,FALSE)</f>
        <v>2</v>
      </c>
      <c r="E632" s="294" t="s">
        <v>947</v>
      </c>
      <c r="F632" s="295"/>
      <c r="G632" s="296" t="s">
        <v>506</v>
      </c>
      <c r="H632" s="731" t="s">
        <v>403</v>
      </c>
      <c r="I632" s="297" t="str">
        <f t="shared" ref="I632:I695" si="95">IF($M632="",0,VLOOKUP($M632,Kengetal,4,FALSE))</f>
        <v>leslokaal groep 1 t/m 3</v>
      </c>
      <c r="J632" s="295" t="s">
        <v>696</v>
      </c>
      <c r="K632" s="298">
        <v>58.25</v>
      </c>
      <c r="L632" s="298"/>
      <c r="M632" s="299">
        <v>7200</v>
      </c>
      <c r="N632" s="300">
        <f t="shared" si="90"/>
        <v>200</v>
      </c>
      <c r="O632" s="484">
        <v>1</v>
      </c>
      <c r="P632" s="484">
        <v>1</v>
      </c>
      <c r="Q632" s="292">
        <f t="shared" si="91"/>
        <v>0</v>
      </c>
      <c r="R632" s="292">
        <f t="shared" si="92"/>
        <v>0</v>
      </c>
      <c r="S632" s="301">
        <f t="shared" si="87"/>
        <v>0</v>
      </c>
      <c r="T632" s="301">
        <f t="shared" si="88"/>
        <v>0</v>
      </c>
      <c r="U632" s="771" t="str">
        <f t="shared" si="89"/>
        <v>L</v>
      </c>
      <c r="V632" s="303"/>
      <c r="W632" s="304">
        <f>(Q632+R632)*'1.0-Contractblad'!$L$37</f>
        <v>0</v>
      </c>
      <c r="X632" s="304">
        <f ca="1">VLOOKUP(E632,'1.1a-Jaarprijzen'!$B$35:$Q$57,16,FALSE)*K632</f>
        <v>0</v>
      </c>
      <c r="Z632" s="773">
        <f t="shared" si="93"/>
        <v>11650</v>
      </c>
      <c r="AA632" s="492" t="str">
        <f t="shared" si="94"/>
        <v>7200-200</v>
      </c>
    </row>
    <row r="633" spans="2:27" s="490" customFormat="1" ht="15">
      <c r="B633" s="330"/>
      <c r="C633" s="331"/>
      <c r="D633" s="295">
        <f>VLOOKUP(E633,'1.1a-Jaarprijzen'!$B$13:$G$32,6,FALSE)</f>
        <v>2</v>
      </c>
      <c r="E633" s="294" t="s">
        <v>947</v>
      </c>
      <c r="F633" s="295"/>
      <c r="G633" s="296" t="s">
        <v>507</v>
      </c>
      <c r="H633" s="731" t="s">
        <v>403</v>
      </c>
      <c r="I633" s="297" t="str">
        <f t="shared" si="95"/>
        <v>leslokaal groep 1 t/m 3</v>
      </c>
      <c r="J633" s="295" t="s">
        <v>696</v>
      </c>
      <c r="K633" s="298">
        <v>54.86</v>
      </c>
      <c r="L633" s="298"/>
      <c r="M633" s="299">
        <v>7200</v>
      </c>
      <c r="N633" s="300">
        <f t="shared" si="90"/>
        <v>200</v>
      </c>
      <c r="O633" s="484">
        <v>1</v>
      </c>
      <c r="P633" s="484">
        <v>1</v>
      </c>
      <c r="Q633" s="292">
        <f t="shared" si="91"/>
        <v>0</v>
      </c>
      <c r="R633" s="292">
        <f t="shared" si="92"/>
        <v>0</v>
      </c>
      <c r="S633" s="301">
        <f t="shared" si="87"/>
        <v>0</v>
      </c>
      <c r="T633" s="301">
        <f t="shared" si="88"/>
        <v>0</v>
      </c>
      <c r="U633" s="771" t="str">
        <f t="shared" si="89"/>
        <v>L</v>
      </c>
      <c r="V633" s="303"/>
      <c r="W633" s="304">
        <f>(Q633+R633)*'1.0-Contractblad'!$L$37</f>
        <v>0</v>
      </c>
      <c r="X633" s="304">
        <f ca="1">VLOOKUP(E633,'1.1a-Jaarprijzen'!$B$35:$Q$57,16,FALSE)*K633</f>
        <v>0</v>
      </c>
      <c r="Z633" s="773">
        <f t="shared" si="93"/>
        <v>10972</v>
      </c>
      <c r="AA633" s="492" t="str">
        <f t="shared" si="94"/>
        <v>7200-200</v>
      </c>
    </row>
    <row r="634" spans="2:27" s="490" customFormat="1" ht="15">
      <c r="B634" s="330"/>
      <c r="C634" s="331"/>
      <c r="D634" s="295">
        <f>VLOOKUP(E634,'1.1a-Jaarprijzen'!$B$13:$G$32,6,FALSE)</f>
        <v>2</v>
      </c>
      <c r="E634" s="294" t="s">
        <v>947</v>
      </c>
      <c r="F634" s="295"/>
      <c r="G634" s="296" t="s">
        <v>949</v>
      </c>
      <c r="H634" s="731" t="s">
        <v>387</v>
      </c>
      <c r="I634" s="297" t="str">
        <f t="shared" si="95"/>
        <v>entree, gang, hal, repro</v>
      </c>
      <c r="J634" s="295" t="s">
        <v>696</v>
      </c>
      <c r="K634" s="298">
        <v>15.29</v>
      </c>
      <c r="L634" s="298"/>
      <c r="M634" s="299">
        <v>3200</v>
      </c>
      <c r="N634" s="300">
        <f t="shared" si="90"/>
        <v>200</v>
      </c>
      <c r="O634" s="484">
        <v>1</v>
      </c>
      <c r="P634" s="484">
        <v>1</v>
      </c>
      <c r="Q634" s="292">
        <f t="shared" si="91"/>
        <v>0</v>
      </c>
      <c r="R634" s="292">
        <f t="shared" si="92"/>
        <v>0</v>
      </c>
      <c r="S634" s="301">
        <f t="shared" si="87"/>
        <v>0</v>
      </c>
      <c r="T634" s="301">
        <f t="shared" si="88"/>
        <v>0</v>
      </c>
      <c r="U634" s="771" t="str">
        <f t="shared" si="89"/>
        <v>V</v>
      </c>
      <c r="V634" s="303"/>
      <c r="W634" s="304">
        <f>(Q634+R634)*'1.0-Contractblad'!$L$37</f>
        <v>0</v>
      </c>
      <c r="X634" s="304">
        <f ca="1">VLOOKUP(E634,'1.1a-Jaarprijzen'!$B$35:$Q$57,16,FALSE)*K634</f>
        <v>0</v>
      </c>
      <c r="Z634" s="773">
        <f t="shared" si="93"/>
        <v>3058</v>
      </c>
      <c r="AA634" s="492" t="str">
        <f t="shared" si="94"/>
        <v>3200-200</v>
      </c>
    </row>
    <row r="635" spans="2:27" s="490" customFormat="1" ht="15">
      <c r="B635" s="330"/>
      <c r="C635" s="331"/>
      <c r="D635" s="295">
        <f>VLOOKUP(E635,'1.1a-Jaarprijzen'!$B$13:$G$32,6,FALSE)</f>
        <v>2</v>
      </c>
      <c r="E635" s="294" t="s">
        <v>947</v>
      </c>
      <c r="F635" s="295"/>
      <c r="G635" s="296" t="s">
        <v>950</v>
      </c>
      <c r="H635" s="731" t="s">
        <v>393</v>
      </c>
      <c r="I635" s="297" t="str">
        <f t="shared" si="95"/>
        <v>entree, gang, hal, repro</v>
      </c>
      <c r="J635" s="295" t="s">
        <v>696</v>
      </c>
      <c r="K635" s="298">
        <v>17.920000000000002</v>
      </c>
      <c r="L635" s="298"/>
      <c r="M635" s="299">
        <v>3200</v>
      </c>
      <c r="N635" s="300">
        <f t="shared" si="90"/>
        <v>200</v>
      </c>
      <c r="O635" s="484">
        <v>1</v>
      </c>
      <c r="P635" s="484">
        <v>1</v>
      </c>
      <c r="Q635" s="292">
        <f t="shared" si="91"/>
        <v>0</v>
      </c>
      <c r="R635" s="292">
        <f t="shared" si="92"/>
        <v>0</v>
      </c>
      <c r="S635" s="301">
        <f t="shared" si="87"/>
        <v>0</v>
      </c>
      <c r="T635" s="301">
        <f t="shared" si="88"/>
        <v>0</v>
      </c>
      <c r="U635" s="771" t="str">
        <f t="shared" si="89"/>
        <v>V</v>
      </c>
      <c r="V635" s="303"/>
      <c r="W635" s="304">
        <f>(Q635+R635)*'1.0-Contractblad'!$L$37</f>
        <v>0</v>
      </c>
      <c r="X635" s="304">
        <f ca="1">VLOOKUP(E635,'1.1a-Jaarprijzen'!$B$35:$Q$57,16,FALSE)*K635</f>
        <v>0</v>
      </c>
      <c r="Z635" s="773">
        <f t="shared" si="93"/>
        <v>3584.0000000000005</v>
      </c>
      <c r="AA635" s="492" t="str">
        <f t="shared" si="94"/>
        <v>3200-200</v>
      </c>
    </row>
    <row r="636" spans="2:27" s="490" customFormat="1" ht="15">
      <c r="B636" s="330"/>
      <c r="C636" s="331"/>
      <c r="D636" s="295">
        <f>VLOOKUP(E636,'1.1a-Jaarprijzen'!$B$13:$G$32,6,FALSE)</f>
        <v>2</v>
      </c>
      <c r="E636" s="294" t="s">
        <v>947</v>
      </c>
      <c r="F636" s="295"/>
      <c r="G636" s="296" t="s">
        <v>567</v>
      </c>
      <c r="H636" s="731" t="s">
        <v>558</v>
      </c>
      <c r="I636" s="297" t="str">
        <f t="shared" si="95"/>
        <v>administratieve -,  vergaderruimte</v>
      </c>
      <c r="J636" s="295" t="s">
        <v>696</v>
      </c>
      <c r="K636" s="298">
        <v>27.69</v>
      </c>
      <c r="L636" s="298"/>
      <c r="M636" s="299">
        <v>1200</v>
      </c>
      <c r="N636" s="300">
        <f t="shared" si="90"/>
        <v>200</v>
      </c>
      <c r="O636" s="484">
        <v>1</v>
      </c>
      <c r="P636" s="484">
        <v>1</v>
      </c>
      <c r="Q636" s="292">
        <f t="shared" si="91"/>
        <v>0</v>
      </c>
      <c r="R636" s="292">
        <f t="shared" si="92"/>
        <v>0</v>
      </c>
      <c r="S636" s="301">
        <f t="shared" si="87"/>
        <v>0</v>
      </c>
      <c r="T636" s="301">
        <f t="shared" si="88"/>
        <v>0</v>
      </c>
      <c r="U636" s="771" t="str">
        <f t="shared" si="89"/>
        <v>V</v>
      </c>
      <c r="V636" s="303"/>
      <c r="W636" s="304">
        <f>(Q636+R636)*'1.0-Contractblad'!$L$37</f>
        <v>0</v>
      </c>
      <c r="X636" s="304">
        <f ca="1">VLOOKUP(E636,'1.1a-Jaarprijzen'!$B$35:$Q$57,16,FALSE)*K636</f>
        <v>0</v>
      </c>
      <c r="Z636" s="773">
        <f t="shared" si="93"/>
        <v>5538</v>
      </c>
      <c r="AA636" s="492" t="str">
        <f t="shared" si="94"/>
        <v>1200-200</v>
      </c>
    </row>
    <row r="637" spans="2:27" s="490" customFormat="1" ht="15">
      <c r="B637" s="330"/>
      <c r="C637" s="331"/>
      <c r="D637" s="295">
        <f>VLOOKUP(E637,'1.1a-Jaarprijzen'!$B$13:$G$32,6,FALSE)</f>
        <v>2</v>
      </c>
      <c r="E637" s="294" t="s">
        <v>947</v>
      </c>
      <c r="F637" s="295"/>
      <c r="G637" s="296" t="s">
        <v>497</v>
      </c>
      <c r="H637" s="731" t="s">
        <v>403</v>
      </c>
      <c r="I637" s="297" t="str">
        <f t="shared" si="95"/>
        <v>leslokaal groep 1 t/m 3</v>
      </c>
      <c r="J637" s="295" t="s">
        <v>696</v>
      </c>
      <c r="K637" s="298">
        <v>54.72</v>
      </c>
      <c r="L637" s="298"/>
      <c r="M637" s="299">
        <v>7200</v>
      </c>
      <c r="N637" s="300">
        <f t="shared" si="90"/>
        <v>200</v>
      </c>
      <c r="O637" s="484">
        <v>1</v>
      </c>
      <c r="P637" s="484">
        <v>1</v>
      </c>
      <c r="Q637" s="292">
        <f t="shared" si="91"/>
        <v>0</v>
      </c>
      <c r="R637" s="292">
        <f t="shared" si="92"/>
        <v>0</v>
      </c>
      <c r="S637" s="301">
        <f t="shared" si="87"/>
        <v>0</v>
      </c>
      <c r="T637" s="301">
        <f t="shared" si="88"/>
        <v>0</v>
      </c>
      <c r="U637" s="771" t="str">
        <f t="shared" si="89"/>
        <v>L</v>
      </c>
      <c r="V637" s="303"/>
      <c r="W637" s="304">
        <f>(Q637+R637)*'1.0-Contractblad'!$L$37</f>
        <v>0</v>
      </c>
      <c r="X637" s="304">
        <f ca="1">VLOOKUP(E637,'1.1a-Jaarprijzen'!$B$35:$Q$57,16,FALSE)*K637</f>
        <v>0</v>
      </c>
      <c r="Z637" s="773">
        <f t="shared" si="93"/>
        <v>10944</v>
      </c>
      <c r="AA637" s="492" t="str">
        <f t="shared" si="94"/>
        <v>7200-200</v>
      </c>
    </row>
    <row r="638" spans="2:27" s="490" customFormat="1" ht="15">
      <c r="B638" s="330"/>
      <c r="C638" s="331"/>
      <c r="D638" s="295">
        <f>VLOOKUP(E638,'1.1a-Jaarprijzen'!$B$13:$G$32,6,FALSE)</f>
        <v>2</v>
      </c>
      <c r="E638" s="294" t="s">
        <v>947</v>
      </c>
      <c r="F638" s="295"/>
      <c r="G638" s="296" t="s">
        <v>504</v>
      </c>
      <c r="H638" s="731" t="s">
        <v>403</v>
      </c>
      <c r="I638" s="297" t="str">
        <f t="shared" si="95"/>
        <v>leslokaal groep 1 t/m 3</v>
      </c>
      <c r="J638" s="295" t="s">
        <v>696</v>
      </c>
      <c r="K638" s="298">
        <v>60.18</v>
      </c>
      <c r="L638" s="298"/>
      <c r="M638" s="299">
        <v>7200</v>
      </c>
      <c r="N638" s="300">
        <f t="shared" si="90"/>
        <v>200</v>
      </c>
      <c r="O638" s="484">
        <v>1</v>
      </c>
      <c r="P638" s="484">
        <v>1</v>
      </c>
      <c r="Q638" s="292">
        <f t="shared" si="91"/>
        <v>0</v>
      </c>
      <c r="R638" s="292">
        <f t="shared" si="92"/>
        <v>0</v>
      </c>
      <c r="S638" s="301">
        <f t="shared" si="87"/>
        <v>0</v>
      </c>
      <c r="T638" s="301">
        <f t="shared" si="88"/>
        <v>0</v>
      </c>
      <c r="U638" s="771" t="str">
        <f t="shared" si="89"/>
        <v>L</v>
      </c>
      <c r="V638" s="303"/>
      <c r="W638" s="304">
        <f>(Q638+R638)*'1.0-Contractblad'!$L$37</f>
        <v>0</v>
      </c>
      <c r="X638" s="304">
        <f ca="1">VLOOKUP(E638,'1.1a-Jaarprijzen'!$B$35:$Q$57,16,FALSE)*K638</f>
        <v>0</v>
      </c>
      <c r="Z638" s="773">
        <f t="shared" si="93"/>
        <v>12036</v>
      </c>
      <c r="AA638" s="492" t="str">
        <f t="shared" si="94"/>
        <v>7200-200</v>
      </c>
    </row>
    <row r="639" spans="2:27" s="490" customFormat="1" ht="15">
      <c r="B639" s="330"/>
      <c r="C639" s="331"/>
      <c r="D639" s="295">
        <f>VLOOKUP(E639,'1.1a-Jaarprijzen'!$B$13:$G$32,6,FALSE)</f>
        <v>2</v>
      </c>
      <c r="E639" s="294" t="s">
        <v>947</v>
      </c>
      <c r="F639" s="295"/>
      <c r="G639" s="296" t="s">
        <v>505</v>
      </c>
      <c r="H639" s="731" t="s">
        <v>403</v>
      </c>
      <c r="I639" s="297" t="str">
        <f t="shared" si="95"/>
        <v>leslokaal groep 1 t/m 3</v>
      </c>
      <c r="J639" s="295" t="s">
        <v>696</v>
      </c>
      <c r="K639" s="298">
        <v>59.73</v>
      </c>
      <c r="L639" s="298"/>
      <c r="M639" s="299">
        <v>7200</v>
      </c>
      <c r="N639" s="300">
        <f t="shared" si="90"/>
        <v>200</v>
      </c>
      <c r="O639" s="484">
        <v>1</v>
      </c>
      <c r="P639" s="484">
        <v>1</v>
      </c>
      <c r="Q639" s="292">
        <f t="shared" si="91"/>
        <v>0</v>
      </c>
      <c r="R639" s="292">
        <f t="shared" si="92"/>
        <v>0</v>
      </c>
      <c r="S639" s="301">
        <f t="shared" si="87"/>
        <v>0</v>
      </c>
      <c r="T639" s="301">
        <f t="shared" si="88"/>
        <v>0</v>
      </c>
      <c r="U639" s="771" t="str">
        <f t="shared" si="89"/>
        <v>L</v>
      </c>
      <c r="V639" s="303"/>
      <c r="W639" s="304">
        <f>(Q639+R639)*'1.0-Contractblad'!$L$37</f>
        <v>0</v>
      </c>
      <c r="X639" s="304">
        <f ca="1">VLOOKUP(E639,'1.1a-Jaarprijzen'!$B$35:$Q$57,16,FALSE)*K639</f>
        <v>0</v>
      </c>
      <c r="Z639" s="773">
        <f t="shared" si="93"/>
        <v>11946</v>
      </c>
      <c r="AA639" s="492" t="str">
        <f t="shared" si="94"/>
        <v>7200-200</v>
      </c>
    </row>
    <row r="640" spans="2:27" s="490" customFormat="1" ht="15">
      <c r="B640" s="330"/>
      <c r="C640" s="331"/>
      <c r="D640" s="295">
        <f>VLOOKUP(E640,'1.1a-Jaarprijzen'!$B$13:$G$32,6,FALSE)</f>
        <v>2</v>
      </c>
      <c r="E640" s="294" t="s">
        <v>947</v>
      </c>
      <c r="F640" s="295"/>
      <c r="G640" s="296" t="s">
        <v>508</v>
      </c>
      <c r="H640" s="731" t="s">
        <v>403</v>
      </c>
      <c r="I640" s="297" t="str">
        <f t="shared" si="95"/>
        <v>leslokaal groep 1 t/m 3</v>
      </c>
      <c r="J640" s="295" t="s">
        <v>696</v>
      </c>
      <c r="K640" s="298">
        <v>54.72</v>
      </c>
      <c r="L640" s="298"/>
      <c r="M640" s="299">
        <v>7200</v>
      </c>
      <c r="N640" s="300">
        <f t="shared" si="90"/>
        <v>200</v>
      </c>
      <c r="O640" s="484">
        <v>1</v>
      </c>
      <c r="P640" s="484">
        <v>1</v>
      </c>
      <c r="Q640" s="292">
        <f t="shared" si="91"/>
        <v>0</v>
      </c>
      <c r="R640" s="292">
        <f t="shared" si="92"/>
        <v>0</v>
      </c>
      <c r="S640" s="301">
        <f t="shared" si="87"/>
        <v>0</v>
      </c>
      <c r="T640" s="301">
        <f t="shared" si="88"/>
        <v>0</v>
      </c>
      <c r="U640" s="771" t="str">
        <f t="shared" si="89"/>
        <v>L</v>
      </c>
      <c r="V640" s="303"/>
      <c r="W640" s="304">
        <f>(Q640+R640)*'1.0-Contractblad'!$L$37</f>
        <v>0</v>
      </c>
      <c r="X640" s="304">
        <f ca="1">VLOOKUP(E640,'1.1a-Jaarprijzen'!$B$35:$Q$57,16,FALSE)*K640</f>
        <v>0</v>
      </c>
      <c r="Z640" s="773">
        <f t="shared" si="93"/>
        <v>10944</v>
      </c>
      <c r="AA640" s="492" t="str">
        <f t="shared" si="94"/>
        <v>7200-200</v>
      </c>
    </row>
    <row r="641" spans="2:27" s="490" customFormat="1" ht="15">
      <c r="B641" s="330"/>
      <c r="C641" s="331"/>
      <c r="D641" s="295">
        <f>VLOOKUP(E641,'1.1a-Jaarprijzen'!$B$13:$G$32,6,FALSE)</f>
        <v>2</v>
      </c>
      <c r="E641" s="294" t="s">
        <v>947</v>
      </c>
      <c r="F641" s="295"/>
      <c r="G641" s="296" t="s">
        <v>530</v>
      </c>
      <c r="H641" s="731" t="s">
        <v>387</v>
      </c>
      <c r="I641" s="297" t="str">
        <f t="shared" si="95"/>
        <v>entree, gang, hal, repro</v>
      </c>
      <c r="J641" s="295" t="s">
        <v>696</v>
      </c>
      <c r="K641" s="298">
        <v>15.56</v>
      </c>
      <c r="L641" s="298"/>
      <c r="M641" s="299">
        <v>3200</v>
      </c>
      <c r="N641" s="300">
        <f t="shared" si="90"/>
        <v>200</v>
      </c>
      <c r="O641" s="484">
        <v>1</v>
      </c>
      <c r="P641" s="484">
        <v>1</v>
      </c>
      <c r="Q641" s="292">
        <f t="shared" si="91"/>
        <v>0</v>
      </c>
      <c r="R641" s="292">
        <f t="shared" si="92"/>
        <v>0</v>
      </c>
      <c r="S641" s="301">
        <f t="shared" si="87"/>
        <v>0</v>
      </c>
      <c r="T641" s="301">
        <f t="shared" si="88"/>
        <v>0</v>
      </c>
      <c r="U641" s="771" t="str">
        <f t="shared" si="89"/>
        <v>V</v>
      </c>
      <c r="V641" s="303"/>
      <c r="W641" s="304">
        <f>(Q641+R641)*'1.0-Contractblad'!$L$37</f>
        <v>0</v>
      </c>
      <c r="X641" s="304">
        <f ca="1">VLOOKUP(E641,'1.1a-Jaarprijzen'!$B$35:$Q$57,16,FALSE)*K641</f>
        <v>0</v>
      </c>
      <c r="Z641" s="773">
        <f t="shared" si="93"/>
        <v>3112</v>
      </c>
      <c r="AA641" s="492" t="str">
        <f t="shared" si="94"/>
        <v>3200-200</v>
      </c>
    </row>
    <row r="642" spans="2:27" s="490" customFormat="1" ht="15">
      <c r="B642" s="330"/>
      <c r="C642" s="331"/>
      <c r="D642" s="295">
        <f>VLOOKUP(E642,'1.1a-Jaarprijzen'!$B$13:$G$32,6,FALSE)</f>
        <v>2</v>
      </c>
      <c r="E642" s="294" t="s">
        <v>947</v>
      </c>
      <c r="F642" s="295"/>
      <c r="G642" s="296" t="s">
        <v>951</v>
      </c>
      <c r="H642" s="731" t="s">
        <v>393</v>
      </c>
      <c r="I642" s="297" t="str">
        <f t="shared" si="95"/>
        <v>entree, gang, hal, repro</v>
      </c>
      <c r="J642" s="295" t="s">
        <v>696</v>
      </c>
      <c r="K642" s="298">
        <v>30.18</v>
      </c>
      <c r="L642" s="298"/>
      <c r="M642" s="299">
        <v>3200</v>
      </c>
      <c r="N642" s="300">
        <f t="shared" si="90"/>
        <v>200</v>
      </c>
      <c r="O642" s="484">
        <v>1</v>
      </c>
      <c r="P642" s="484">
        <v>1</v>
      </c>
      <c r="Q642" s="292">
        <f t="shared" si="91"/>
        <v>0</v>
      </c>
      <c r="R642" s="292">
        <f t="shared" si="92"/>
        <v>0</v>
      </c>
      <c r="S642" s="301">
        <f t="shared" si="87"/>
        <v>0</v>
      </c>
      <c r="T642" s="301">
        <f t="shared" si="88"/>
        <v>0</v>
      </c>
      <c r="U642" s="771" t="str">
        <f t="shared" si="89"/>
        <v>V</v>
      </c>
      <c r="V642" s="303"/>
      <c r="W642" s="304">
        <f>(Q642+R642)*'1.0-Contractblad'!$L$37</f>
        <v>0</v>
      </c>
      <c r="X642" s="304">
        <f ca="1">VLOOKUP(E642,'1.1a-Jaarprijzen'!$B$35:$Q$57,16,FALSE)*K642</f>
        <v>0</v>
      </c>
      <c r="Z642" s="773">
        <f t="shared" si="93"/>
        <v>6036</v>
      </c>
      <c r="AA642" s="492" t="str">
        <f t="shared" si="94"/>
        <v>3200-200</v>
      </c>
    </row>
    <row r="643" spans="2:27" s="490" customFormat="1" ht="15">
      <c r="B643" s="330"/>
      <c r="C643" s="331"/>
      <c r="D643" s="295">
        <f>VLOOKUP(E643,'1.1a-Jaarprijzen'!$B$13:$G$32,6,FALSE)</f>
        <v>2</v>
      </c>
      <c r="E643" s="294" t="s">
        <v>947</v>
      </c>
      <c r="F643" s="295"/>
      <c r="G643" s="296" t="s">
        <v>952</v>
      </c>
      <c r="H643" s="731" t="s">
        <v>388</v>
      </c>
      <c r="I643" s="297" t="str">
        <f t="shared" si="95"/>
        <v>niet van toepassing</v>
      </c>
      <c r="J643" s="295" t="s">
        <v>1015</v>
      </c>
      <c r="K643" s="298"/>
      <c r="L643" s="298">
        <v>2.14</v>
      </c>
      <c r="M643" s="299" t="s">
        <v>17</v>
      </c>
      <c r="N643" s="300">
        <f t="shared" si="90"/>
        <v>0</v>
      </c>
      <c r="O643" s="484">
        <v>1</v>
      </c>
      <c r="P643" s="484">
        <v>1</v>
      </c>
      <c r="Q643" s="292">
        <f t="shared" si="91"/>
        <v>0</v>
      </c>
      <c r="R643" s="292">
        <f t="shared" si="92"/>
        <v>0</v>
      </c>
      <c r="S643" s="301">
        <f t="shared" si="87"/>
        <v>0</v>
      </c>
      <c r="T643" s="301">
        <f t="shared" si="88"/>
        <v>0</v>
      </c>
      <c r="U643" s="771">
        <f t="shared" si="89"/>
        <v>0</v>
      </c>
      <c r="V643" s="303"/>
      <c r="W643" s="304">
        <f>(Q643+R643)*'1.0-Contractblad'!$L$37</f>
        <v>0</v>
      </c>
      <c r="X643" s="304">
        <f ca="1">VLOOKUP(E643,'1.1a-Jaarprijzen'!$B$35:$Q$57,16,FALSE)*K643</f>
        <v>0</v>
      </c>
      <c r="Z643" s="773">
        <f t="shared" si="93"/>
        <v>0</v>
      </c>
      <c r="AA643" s="492" t="str">
        <f t="shared" si="94"/>
        <v>nvt-0</v>
      </c>
    </row>
    <row r="644" spans="2:27" s="490" customFormat="1" ht="15">
      <c r="B644" s="330"/>
      <c r="C644" s="331"/>
      <c r="D644" s="295">
        <f>VLOOKUP(E644,'1.1a-Jaarprijzen'!$B$13:$G$32,6,FALSE)</f>
        <v>2</v>
      </c>
      <c r="E644" s="294" t="s">
        <v>947</v>
      </c>
      <c r="F644" s="295"/>
      <c r="G644" s="296" t="s">
        <v>518</v>
      </c>
      <c r="H644" s="731" t="s">
        <v>400</v>
      </c>
      <c r="I644" s="297" t="str">
        <f t="shared" si="95"/>
        <v>trappenhuis</v>
      </c>
      <c r="J644" s="295" t="s">
        <v>475</v>
      </c>
      <c r="K644" s="298">
        <v>11.63</v>
      </c>
      <c r="L644" s="298"/>
      <c r="M644" s="299">
        <v>9200</v>
      </c>
      <c r="N644" s="300">
        <f t="shared" si="90"/>
        <v>200</v>
      </c>
      <c r="O644" s="484">
        <v>1</v>
      </c>
      <c r="P644" s="484">
        <v>1</v>
      </c>
      <c r="Q644" s="292">
        <f t="shared" si="91"/>
        <v>0</v>
      </c>
      <c r="R644" s="292">
        <f t="shared" si="92"/>
        <v>0</v>
      </c>
      <c r="S644" s="301">
        <f t="shared" si="87"/>
        <v>0</v>
      </c>
      <c r="T644" s="301">
        <f t="shared" si="88"/>
        <v>0</v>
      </c>
      <c r="U644" s="771" t="str">
        <f t="shared" si="89"/>
        <v>V</v>
      </c>
      <c r="V644" s="303"/>
      <c r="W644" s="304">
        <f>(Q644+R644)*'1.0-Contractblad'!$L$37</f>
        <v>0</v>
      </c>
      <c r="X644" s="304">
        <f ca="1">VLOOKUP(E644,'1.1a-Jaarprijzen'!$B$35:$Q$57,16,FALSE)*K644</f>
        <v>0</v>
      </c>
      <c r="Z644" s="773">
        <f t="shared" si="93"/>
        <v>2326</v>
      </c>
      <c r="AA644" s="492" t="str">
        <f t="shared" si="94"/>
        <v>9200-200</v>
      </c>
    </row>
    <row r="645" spans="2:27" s="490" customFormat="1" ht="15">
      <c r="B645" s="330"/>
      <c r="C645" s="331"/>
      <c r="D645" s="295">
        <f>VLOOKUP(E645,'1.1a-Jaarprijzen'!$B$13:$G$32,6,FALSE)</f>
        <v>2</v>
      </c>
      <c r="E645" s="294" t="s">
        <v>947</v>
      </c>
      <c r="F645" s="295"/>
      <c r="G645" s="296" t="s">
        <v>520</v>
      </c>
      <c r="H645" s="731" t="s">
        <v>400</v>
      </c>
      <c r="I645" s="297" t="str">
        <f t="shared" si="95"/>
        <v>trappenhuis</v>
      </c>
      <c r="J645" s="295" t="s">
        <v>475</v>
      </c>
      <c r="K645" s="298">
        <v>7.96</v>
      </c>
      <c r="L645" s="298"/>
      <c r="M645" s="299">
        <v>9200</v>
      </c>
      <c r="N645" s="300">
        <f t="shared" si="90"/>
        <v>200</v>
      </c>
      <c r="O645" s="484">
        <v>1</v>
      </c>
      <c r="P645" s="484">
        <v>1</v>
      </c>
      <c r="Q645" s="292">
        <f t="shared" si="91"/>
        <v>0</v>
      </c>
      <c r="R645" s="292">
        <f t="shared" si="92"/>
        <v>0</v>
      </c>
      <c r="S645" s="301">
        <f t="shared" si="87"/>
        <v>0</v>
      </c>
      <c r="T645" s="301">
        <f t="shared" si="88"/>
        <v>0</v>
      </c>
      <c r="U645" s="771" t="str">
        <f t="shared" si="89"/>
        <v>V</v>
      </c>
      <c r="V645" s="303"/>
      <c r="W645" s="304">
        <f>(Q645+R645)*'1.0-Contractblad'!$L$37</f>
        <v>0</v>
      </c>
      <c r="X645" s="304">
        <f ca="1">VLOOKUP(E645,'1.1a-Jaarprijzen'!$B$35:$Q$57,16,FALSE)*K645</f>
        <v>0</v>
      </c>
      <c r="Z645" s="773">
        <f t="shared" si="93"/>
        <v>1592</v>
      </c>
      <c r="AA645" s="492" t="str">
        <f t="shared" si="94"/>
        <v>9200-200</v>
      </c>
    </row>
    <row r="646" spans="2:27" s="490" customFormat="1" ht="15">
      <c r="B646" s="330"/>
      <c r="C646" s="331"/>
      <c r="D646" s="295">
        <f>VLOOKUP(E646,'1.1a-Jaarprijzen'!$B$13:$G$32,6,FALSE)</f>
        <v>2</v>
      </c>
      <c r="E646" s="294" t="s">
        <v>947</v>
      </c>
      <c r="F646" s="295"/>
      <c r="G646" s="296" t="s">
        <v>521</v>
      </c>
      <c r="H646" s="731" t="s">
        <v>400</v>
      </c>
      <c r="I646" s="297" t="str">
        <f t="shared" si="95"/>
        <v>trappenhuis</v>
      </c>
      <c r="J646" s="295" t="s">
        <v>475</v>
      </c>
      <c r="K646" s="298">
        <v>7.11</v>
      </c>
      <c r="L646" s="298"/>
      <c r="M646" s="299">
        <v>9200</v>
      </c>
      <c r="N646" s="300">
        <f t="shared" si="90"/>
        <v>200</v>
      </c>
      <c r="O646" s="484">
        <v>1</v>
      </c>
      <c r="P646" s="484">
        <v>1</v>
      </c>
      <c r="Q646" s="292">
        <f t="shared" si="91"/>
        <v>0</v>
      </c>
      <c r="R646" s="292">
        <f t="shared" si="92"/>
        <v>0</v>
      </c>
      <c r="S646" s="301">
        <f t="shared" si="87"/>
        <v>0</v>
      </c>
      <c r="T646" s="301">
        <f t="shared" si="88"/>
        <v>0</v>
      </c>
      <c r="U646" s="771" t="str">
        <f t="shared" si="89"/>
        <v>V</v>
      </c>
      <c r="V646" s="303"/>
      <c r="W646" s="304">
        <f>(Q646+R646)*'1.0-Contractblad'!$L$37</f>
        <v>0</v>
      </c>
      <c r="X646" s="304">
        <f ca="1">VLOOKUP(E646,'1.1a-Jaarprijzen'!$B$35:$Q$57,16,FALSE)*K646</f>
        <v>0</v>
      </c>
      <c r="Z646" s="773">
        <f t="shared" si="93"/>
        <v>1422</v>
      </c>
      <c r="AA646" s="492" t="str">
        <f t="shared" si="94"/>
        <v>9200-200</v>
      </c>
    </row>
    <row r="647" spans="2:27" s="490" customFormat="1" ht="15">
      <c r="B647" s="330"/>
      <c r="C647" s="331"/>
      <c r="D647" s="295">
        <f>VLOOKUP(E647,'1.1a-Jaarprijzen'!$B$13:$G$32,6,FALSE)</f>
        <v>2</v>
      </c>
      <c r="E647" s="294" t="s">
        <v>947</v>
      </c>
      <c r="F647" s="295"/>
      <c r="G647" s="296" t="s">
        <v>547</v>
      </c>
      <c r="H647" s="731" t="s">
        <v>693</v>
      </c>
      <c r="I647" s="297" t="str">
        <f t="shared" si="95"/>
        <v>sanitaire ruimte (toilet-/doucheruimte)</v>
      </c>
      <c r="J647" s="295" t="s">
        <v>465</v>
      </c>
      <c r="K647" s="298">
        <v>10.91</v>
      </c>
      <c r="L647" s="298"/>
      <c r="M647" s="299">
        <v>4200</v>
      </c>
      <c r="N647" s="300">
        <f t="shared" si="90"/>
        <v>200</v>
      </c>
      <c r="O647" s="484">
        <v>1</v>
      </c>
      <c r="P647" s="484">
        <v>1</v>
      </c>
      <c r="Q647" s="292">
        <f t="shared" si="91"/>
        <v>0</v>
      </c>
      <c r="R647" s="292">
        <f t="shared" si="92"/>
        <v>0</v>
      </c>
      <c r="S647" s="301">
        <f t="shared" si="87"/>
        <v>0</v>
      </c>
      <c r="T647" s="301">
        <f t="shared" si="88"/>
        <v>0</v>
      </c>
      <c r="U647" s="771" t="str">
        <f t="shared" si="89"/>
        <v>S</v>
      </c>
      <c r="V647" s="303"/>
      <c r="W647" s="304">
        <f>(Q647+R647)*'1.0-Contractblad'!$L$37</f>
        <v>0</v>
      </c>
      <c r="X647" s="304">
        <f ca="1">VLOOKUP(E647,'1.1a-Jaarprijzen'!$B$35:$Q$57,16,FALSE)*K647</f>
        <v>0</v>
      </c>
      <c r="Z647" s="773">
        <f t="shared" si="93"/>
        <v>2182</v>
      </c>
      <c r="AA647" s="492" t="str">
        <f t="shared" si="94"/>
        <v>4200-200</v>
      </c>
    </row>
    <row r="648" spans="2:27" s="490" customFormat="1" ht="15">
      <c r="B648" s="330"/>
      <c r="C648" s="331"/>
      <c r="D648" s="295">
        <f>VLOOKUP(E648,'1.1a-Jaarprijzen'!$B$13:$G$32,6,FALSE)</f>
        <v>2</v>
      </c>
      <c r="E648" s="294" t="s">
        <v>947</v>
      </c>
      <c r="F648" s="295"/>
      <c r="G648" s="296" t="s">
        <v>553</v>
      </c>
      <c r="H648" s="731" t="s">
        <v>693</v>
      </c>
      <c r="I648" s="297" t="str">
        <f t="shared" si="95"/>
        <v>sanitaire ruimte (toilet-/doucheruimte)</v>
      </c>
      <c r="J648" s="295" t="s">
        <v>465</v>
      </c>
      <c r="K648" s="298">
        <v>9.3800000000000008</v>
      </c>
      <c r="L648" s="298"/>
      <c r="M648" s="299">
        <v>4200</v>
      </c>
      <c r="N648" s="300">
        <f t="shared" si="90"/>
        <v>200</v>
      </c>
      <c r="O648" s="484">
        <v>1</v>
      </c>
      <c r="P648" s="484">
        <v>1</v>
      </c>
      <c r="Q648" s="292">
        <f t="shared" si="91"/>
        <v>0</v>
      </c>
      <c r="R648" s="292">
        <f t="shared" si="92"/>
        <v>0</v>
      </c>
      <c r="S648" s="301">
        <f t="shared" si="87"/>
        <v>0</v>
      </c>
      <c r="T648" s="301">
        <f t="shared" si="88"/>
        <v>0</v>
      </c>
      <c r="U648" s="771" t="str">
        <f t="shared" si="89"/>
        <v>S</v>
      </c>
      <c r="V648" s="303"/>
      <c r="W648" s="304">
        <f>(Q648+R648)*'1.0-Contractblad'!$L$37</f>
        <v>0</v>
      </c>
      <c r="X648" s="304">
        <f ca="1">VLOOKUP(E648,'1.1a-Jaarprijzen'!$B$35:$Q$57,16,FALSE)*K648</f>
        <v>0</v>
      </c>
      <c r="Z648" s="773">
        <f t="shared" si="93"/>
        <v>1876.0000000000002</v>
      </c>
      <c r="AA648" s="492" t="str">
        <f t="shared" si="94"/>
        <v>4200-200</v>
      </c>
    </row>
    <row r="649" spans="2:27" s="490" customFormat="1" ht="15">
      <c r="B649" s="330"/>
      <c r="C649" s="331"/>
      <c r="D649" s="295">
        <f>VLOOKUP(E649,'1.1a-Jaarprijzen'!$B$13:$G$32,6,FALSE)</f>
        <v>2</v>
      </c>
      <c r="E649" s="294" t="s">
        <v>947</v>
      </c>
      <c r="F649" s="295"/>
      <c r="G649" s="296" t="s">
        <v>500</v>
      </c>
      <c r="H649" s="731" t="s">
        <v>403</v>
      </c>
      <c r="I649" s="297" t="str">
        <f t="shared" si="95"/>
        <v>leslokaal groep 1 t/m 3</v>
      </c>
      <c r="J649" s="295" t="s">
        <v>696</v>
      </c>
      <c r="K649" s="298">
        <v>60.45</v>
      </c>
      <c r="L649" s="298"/>
      <c r="M649" s="299">
        <v>7200</v>
      </c>
      <c r="N649" s="300">
        <f t="shared" si="90"/>
        <v>200</v>
      </c>
      <c r="O649" s="484">
        <v>1</v>
      </c>
      <c r="P649" s="484">
        <v>1</v>
      </c>
      <c r="Q649" s="292">
        <f t="shared" si="91"/>
        <v>0</v>
      </c>
      <c r="R649" s="292">
        <f t="shared" si="92"/>
        <v>0</v>
      </c>
      <c r="S649" s="301">
        <f t="shared" si="87"/>
        <v>0</v>
      </c>
      <c r="T649" s="301">
        <f t="shared" si="88"/>
        <v>0</v>
      </c>
      <c r="U649" s="771" t="str">
        <f t="shared" si="89"/>
        <v>L</v>
      </c>
      <c r="V649" s="303"/>
      <c r="W649" s="304">
        <f>(Q649+R649)*'1.0-Contractblad'!$L$37</f>
        <v>0</v>
      </c>
      <c r="X649" s="304">
        <f ca="1">VLOOKUP(E649,'1.1a-Jaarprijzen'!$B$35:$Q$57,16,FALSE)*K649</f>
        <v>0</v>
      </c>
      <c r="Z649" s="773">
        <f t="shared" si="93"/>
        <v>12090</v>
      </c>
      <c r="AA649" s="492" t="str">
        <f t="shared" si="94"/>
        <v>7200-200</v>
      </c>
    </row>
    <row r="650" spans="2:27" s="490" customFormat="1" ht="15">
      <c r="B650" s="330"/>
      <c r="C650" s="331"/>
      <c r="D650" s="295">
        <f>VLOOKUP(E650,'1.1a-Jaarprijzen'!$B$13:$G$32,6,FALSE)</f>
        <v>2</v>
      </c>
      <c r="E650" s="294" t="s">
        <v>947</v>
      </c>
      <c r="F650" s="295"/>
      <c r="G650" s="296" t="s">
        <v>529</v>
      </c>
      <c r="H650" s="731" t="s">
        <v>387</v>
      </c>
      <c r="I650" s="297" t="str">
        <f t="shared" si="95"/>
        <v>entree, gang, hal, repro</v>
      </c>
      <c r="J650" s="295" t="s">
        <v>696</v>
      </c>
      <c r="K650" s="298">
        <v>69.44</v>
      </c>
      <c r="L650" s="298"/>
      <c r="M650" s="299">
        <v>3200</v>
      </c>
      <c r="N650" s="300">
        <f t="shared" si="90"/>
        <v>200</v>
      </c>
      <c r="O650" s="484">
        <v>1</v>
      </c>
      <c r="P650" s="484">
        <v>1</v>
      </c>
      <c r="Q650" s="292">
        <f t="shared" si="91"/>
        <v>0</v>
      </c>
      <c r="R650" s="292">
        <f t="shared" si="92"/>
        <v>0</v>
      </c>
      <c r="S650" s="301">
        <f t="shared" si="87"/>
        <v>0</v>
      </c>
      <c r="T650" s="301">
        <f t="shared" si="88"/>
        <v>0</v>
      </c>
      <c r="U650" s="771" t="str">
        <f t="shared" si="89"/>
        <v>V</v>
      </c>
      <c r="V650" s="303"/>
      <c r="W650" s="304">
        <f>(Q650+R650)*'1.0-Contractblad'!$L$37</f>
        <v>0</v>
      </c>
      <c r="X650" s="304">
        <f ca="1">VLOOKUP(E650,'1.1a-Jaarprijzen'!$B$35:$Q$57,16,FALSE)*K650</f>
        <v>0</v>
      </c>
      <c r="Z650" s="773">
        <f t="shared" si="93"/>
        <v>13888</v>
      </c>
      <c r="AA650" s="492" t="str">
        <f t="shared" si="94"/>
        <v>3200-200</v>
      </c>
    </row>
    <row r="651" spans="2:27" s="490" customFormat="1" ht="15">
      <c r="B651" s="330"/>
      <c r="C651" s="331"/>
      <c r="D651" s="295">
        <f>VLOOKUP(E651,'1.1a-Jaarprijzen'!$B$13:$G$32,6,FALSE)</f>
        <v>2</v>
      </c>
      <c r="E651" s="294" t="s">
        <v>947</v>
      </c>
      <c r="F651" s="295"/>
      <c r="G651" s="296" t="s">
        <v>953</v>
      </c>
      <c r="H651" s="731" t="s">
        <v>387</v>
      </c>
      <c r="I651" s="297" t="str">
        <f t="shared" si="95"/>
        <v>entree, gang, hal, repro</v>
      </c>
      <c r="J651" s="295" t="s">
        <v>696</v>
      </c>
      <c r="K651" s="298">
        <v>34.81</v>
      </c>
      <c r="L651" s="298"/>
      <c r="M651" s="299">
        <v>3200</v>
      </c>
      <c r="N651" s="300">
        <f t="shared" si="90"/>
        <v>200</v>
      </c>
      <c r="O651" s="484">
        <v>1</v>
      </c>
      <c r="P651" s="484">
        <v>1</v>
      </c>
      <c r="Q651" s="292">
        <f t="shared" si="91"/>
        <v>0</v>
      </c>
      <c r="R651" s="292">
        <f t="shared" si="92"/>
        <v>0</v>
      </c>
      <c r="S651" s="301">
        <f t="shared" si="87"/>
        <v>0</v>
      </c>
      <c r="T651" s="301">
        <f t="shared" si="88"/>
        <v>0</v>
      </c>
      <c r="U651" s="771" t="str">
        <f t="shared" si="89"/>
        <v>V</v>
      </c>
      <c r="V651" s="303"/>
      <c r="W651" s="304">
        <f>(Q651+R651)*'1.0-Contractblad'!$L$37</f>
        <v>0</v>
      </c>
      <c r="X651" s="304">
        <f ca="1">VLOOKUP(E651,'1.1a-Jaarprijzen'!$B$35:$Q$57,16,FALSE)*K651</f>
        <v>0</v>
      </c>
      <c r="Z651" s="773">
        <f t="shared" si="93"/>
        <v>6962</v>
      </c>
      <c r="AA651" s="492" t="str">
        <f t="shared" si="94"/>
        <v>3200-200</v>
      </c>
    </row>
    <row r="652" spans="2:27" s="490" customFormat="1" ht="15">
      <c r="B652" s="330"/>
      <c r="C652" s="331"/>
      <c r="D652" s="295">
        <f>VLOOKUP(E652,'1.1a-Jaarprijzen'!$B$13:$G$32,6,FALSE)</f>
        <v>2</v>
      </c>
      <c r="E652" s="294" t="s">
        <v>947</v>
      </c>
      <c r="F652" s="295"/>
      <c r="G652" s="296" t="s">
        <v>954</v>
      </c>
      <c r="H652" s="731" t="s">
        <v>391</v>
      </c>
      <c r="I652" s="297" t="str">
        <f t="shared" si="95"/>
        <v>niet van toepassing</v>
      </c>
      <c r="J652" s="295" t="s">
        <v>1015</v>
      </c>
      <c r="K652" s="298"/>
      <c r="L652" s="298">
        <v>3.79</v>
      </c>
      <c r="M652" s="299" t="s">
        <v>17</v>
      </c>
      <c r="N652" s="300">
        <f t="shared" si="90"/>
        <v>0</v>
      </c>
      <c r="O652" s="484">
        <v>1</v>
      </c>
      <c r="P652" s="484">
        <v>1</v>
      </c>
      <c r="Q652" s="292">
        <f t="shared" si="91"/>
        <v>0</v>
      </c>
      <c r="R652" s="292">
        <f t="shared" si="92"/>
        <v>0</v>
      </c>
      <c r="S652" s="301">
        <f t="shared" si="87"/>
        <v>0</v>
      </c>
      <c r="T652" s="301">
        <f t="shared" si="88"/>
        <v>0</v>
      </c>
      <c r="U652" s="771">
        <f t="shared" si="89"/>
        <v>0</v>
      </c>
      <c r="V652" s="303"/>
      <c r="W652" s="304">
        <f>(Q652+R652)*'1.0-Contractblad'!$L$37</f>
        <v>0</v>
      </c>
      <c r="X652" s="304">
        <f ca="1">VLOOKUP(E652,'1.1a-Jaarprijzen'!$B$35:$Q$57,16,FALSE)*K652</f>
        <v>0</v>
      </c>
      <c r="Z652" s="773">
        <f t="shared" si="93"/>
        <v>0</v>
      </c>
      <c r="AA652" s="492" t="str">
        <f t="shared" si="94"/>
        <v>nvt-0</v>
      </c>
    </row>
    <row r="653" spans="2:27" s="490" customFormat="1" ht="15">
      <c r="B653" s="330"/>
      <c r="C653" s="331"/>
      <c r="D653" s="295">
        <f>VLOOKUP(E653,'1.1a-Jaarprijzen'!$B$13:$G$32,6,FALSE)</f>
        <v>2</v>
      </c>
      <c r="E653" s="294" t="s">
        <v>947</v>
      </c>
      <c r="F653" s="295"/>
      <c r="G653" s="296" t="s">
        <v>955</v>
      </c>
      <c r="H653" s="731" t="s">
        <v>391</v>
      </c>
      <c r="I653" s="297" t="str">
        <f t="shared" si="95"/>
        <v>niet van toepassing</v>
      </c>
      <c r="J653" s="295" t="s">
        <v>1015</v>
      </c>
      <c r="K653" s="298"/>
      <c r="L653" s="298">
        <v>5.53</v>
      </c>
      <c r="M653" s="299" t="s">
        <v>17</v>
      </c>
      <c r="N653" s="300">
        <f t="shared" si="90"/>
        <v>0</v>
      </c>
      <c r="O653" s="484">
        <v>1</v>
      </c>
      <c r="P653" s="484">
        <v>1</v>
      </c>
      <c r="Q653" s="292">
        <f t="shared" si="91"/>
        <v>0</v>
      </c>
      <c r="R653" s="292">
        <f t="shared" si="92"/>
        <v>0</v>
      </c>
      <c r="S653" s="301">
        <f t="shared" si="87"/>
        <v>0</v>
      </c>
      <c r="T653" s="301">
        <f t="shared" si="88"/>
        <v>0</v>
      </c>
      <c r="U653" s="771">
        <f t="shared" si="89"/>
        <v>0</v>
      </c>
      <c r="V653" s="303"/>
      <c r="W653" s="304">
        <f>(Q653+R653)*'1.0-Contractblad'!$L$37</f>
        <v>0</v>
      </c>
      <c r="X653" s="304">
        <f ca="1">VLOOKUP(E653,'1.1a-Jaarprijzen'!$B$35:$Q$57,16,FALSE)*K653</f>
        <v>0</v>
      </c>
      <c r="Z653" s="773">
        <f t="shared" si="93"/>
        <v>0</v>
      </c>
      <c r="AA653" s="492" t="str">
        <f t="shared" si="94"/>
        <v>nvt-0</v>
      </c>
    </row>
    <row r="654" spans="2:27" s="490" customFormat="1" ht="15">
      <c r="B654" s="330"/>
      <c r="C654" s="331"/>
      <c r="D654" s="295">
        <f>VLOOKUP(E654,'1.1a-Jaarprijzen'!$B$13:$G$32,6,FALSE)</f>
        <v>2</v>
      </c>
      <c r="E654" s="294" t="s">
        <v>947</v>
      </c>
      <c r="F654" s="295"/>
      <c r="G654" s="296" t="s">
        <v>956</v>
      </c>
      <c r="H654" s="731" t="s">
        <v>391</v>
      </c>
      <c r="I654" s="297" t="str">
        <f t="shared" si="95"/>
        <v>niet van toepassing</v>
      </c>
      <c r="J654" s="295" t="s">
        <v>1015</v>
      </c>
      <c r="K654" s="298"/>
      <c r="L654" s="298">
        <v>13.64</v>
      </c>
      <c r="M654" s="299" t="s">
        <v>17</v>
      </c>
      <c r="N654" s="300">
        <f t="shared" si="90"/>
        <v>0</v>
      </c>
      <c r="O654" s="484">
        <v>1</v>
      </c>
      <c r="P654" s="484">
        <v>1</v>
      </c>
      <c r="Q654" s="292">
        <f t="shared" si="91"/>
        <v>0</v>
      </c>
      <c r="R654" s="292">
        <f t="shared" si="92"/>
        <v>0</v>
      </c>
      <c r="S654" s="301">
        <f t="shared" si="87"/>
        <v>0</v>
      </c>
      <c r="T654" s="301">
        <f t="shared" si="88"/>
        <v>0</v>
      </c>
      <c r="U654" s="771">
        <f t="shared" si="89"/>
        <v>0</v>
      </c>
      <c r="V654" s="303"/>
      <c r="W654" s="304">
        <f>(Q654+R654)*'1.0-Contractblad'!$L$37</f>
        <v>0</v>
      </c>
      <c r="X654" s="304">
        <f ca="1">VLOOKUP(E654,'1.1a-Jaarprijzen'!$B$35:$Q$57,16,FALSE)*K654</f>
        <v>0</v>
      </c>
      <c r="Z654" s="773">
        <f t="shared" si="93"/>
        <v>0</v>
      </c>
      <c r="AA654" s="492" t="str">
        <f t="shared" si="94"/>
        <v>nvt-0</v>
      </c>
    </row>
    <row r="655" spans="2:27" s="490" customFormat="1" ht="15">
      <c r="B655" s="330"/>
      <c r="C655" s="331"/>
      <c r="D655" s="295">
        <f>VLOOKUP(E655,'1.1a-Jaarprijzen'!$B$13:$G$32,6,FALSE)</f>
        <v>2</v>
      </c>
      <c r="E655" s="294" t="s">
        <v>957</v>
      </c>
      <c r="F655" s="295" t="s">
        <v>605</v>
      </c>
      <c r="G655" s="296" t="s">
        <v>692</v>
      </c>
      <c r="H655" s="731" t="s">
        <v>958</v>
      </c>
      <c r="I655" s="297" t="str">
        <f t="shared" si="95"/>
        <v>entree, gang, hal, repro</v>
      </c>
      <c r="J655" s="295" t="s">
        <v>696</v>
      </c>
      <c r="K655" s="298">
        <v>61.64</v>
      </c>
      <c r="L655" s="298"/>
      <c r="M655" s="299">
        <v>3200</v>
      </c>
      <c r="N655" s="300">
        <f t="shared" si="90"/>
        <v>200</v>
      </c>
      <c r="O655" s="484">
        <v>1</v>
      </c>
      <c r="P655" s="484">
        <v>1</v>
      </c>
      <c r="Q655" s="292">
        <f t="shared" si="91"/>
        <v>0</v>
      </c>
      <c r="R655" s="292">
        <f t="shared" si="92"/>
        <v>0</v>
      </c>
      <c r="S655" s="301">
        <f t="shared" si="87"/>
        <v>0</v>
      </c>
      <c r="T655" s="301">
        <f t="shared" si="88"/>
        <v>0</v>
      </c>
      <c r="U655" s="771" t="str">
        <f t="shared" si="89"/>
        <v>V</v>
      </c>
      <c r="V655" s="303"/>
      <c r="W655" s="304">
        <f>(Q655+R655)*'1.0-Contractblad'!$L$37</f>
        <v>0</v>
      </c>
      <c r="X655" s="304">
        <f ca="1">VLOOKUP(E655,'1.1a-Jaarprijzen'!$B$35:$Q$57,16,FALSE)*K655</f>
        <v>0</v>
      </c>
      <c r="Z655" s="773">
        <f t="shared" si="93"/>
        <v>12328</v>
      </c>
      <c r="AA655" s="492" t="str">
        <f t="shared" si="94"/>
        <v>3200-200</v>
      </c>
    </row>
    <row r="656" spans="2:27" s="490" customFormat="1" ht="15">
      <c r="B656" s="330"/>
      <c r="C656" s="331"/>
      <c r="D656" s="295">
        <f>VLOOKUP(E656,'1.1a-Jaarprijzen'!$B$13:$G$32,6,FALSE)</f>
        <v>2</v>
      </c>
      <c r="E656" s="294" t="s">
        <v>957</v>
      </c>
      <c r="F656" s="295" t="s">
        <v>605</v>
      </c>
      <c r="G656" s="296" t="s">
        <v>534</v>
      </c>
      <c r="H656" s="731" t="s">
        <v>1061</v>
      </c>
      <c r="I656" s="297" t="str">
        <f t="shared" si="95"/>
        <v>sanitaire ruimte (toilet-/doucheruimte)</v>
      </c>
      <c r="J656" s="295" t="s">
        <v>465</v>
      </c>
      <c r="K656" s="298">
        <v>6.59</v>
      </c>
      <c r="L656" s="298"/>
      <c r="M656" s="299">
        <v>4200</v>
      </c>
      <c r="N656" s="300">
        <f t="shared" si="90"/>
        <v>200</v>
      </c>
      <c r="O656" s="484">
        <v>1</v>
      </c>
      <c r="P656" s="484">
        <v>1</v>
      </c>
      <c r="Q656" s="292">
        <f t="shared" si="91"/>
        <v>0</v>
      </c>
      <c r="R656" s="292">
        <f t="shared" si="92"/>
        <v>0</v>
      </c>
      <c r="S656" s="301">
        <f t="shared" si="87"/>
        <v>0</v>
      </c>
      <c r="T656" s="301">
        <f t="shared" si="88"/>
        <v>0</v>
      </c>
      <c r="U656" s="771" t="str">
        <f t="shared" si="89"/>
        <v>S</v>
      </c>
      <c r="V656" s="303"/>
      <c r="W656" s="304">
        <f>(Q656+R656)*'1.0-Contractblad'!$L$37</f>
        <v>0</v>
      </c>
      <c r="X656" s="304">
        <f ca="1">VLOOKUP(E656,'1.1a-Jaarprijzen'!$B$35:$Q$57,16,FALSE)*K656</f>
        <v>0</v>
      </c>
      <c r="Z656" s="773">
        <f t="shared" si="93"/>
        <v>1318</v>
      </c>
      <c r="AA656" s="492" t="str">
        <f t="shared" si="94"/>
        <v>4200-200</v>
      </c>
    </row>
    <row r="657" spans="2:27" s="490" customFormat="1" ht="15">
      <c r="B657" s="330"/>
      <c r="C657" s="331"/>
      <c r="D657" s="295">
        <f>VLOOKUP(E657,'1.1a-Jaarprijzen'!$B$13:$G$32,6,FALSE)</f>
        <v>2</v>
      </c>
      <c r="E657" s="294" t="s">
        <v>957</v>
      </c>
      <c r="F657" s="295" t="s">
        <v>605</v>
      </c>
      <c r="G657" s="296" t="s">
        <v>512</v>
      </c>
      <c r="H657" s="731" t="s">
        <v>959</v>
      </c>
      <c r="I657" s="297" t="str">
        <f t="shared" si="95"/>
        <v>speellokaal</v>
      </c>
      <c r="J657" s="295" t="s">
        <v>462</v>
      </c>
      <c r="K657" s="298">
        <v>131.08000000000001</v>
      </c>
      <c r="L657" s="298"/>
      <c r="M657" s="299">
        <v>8200</v>
      </c>
      <c r="N657" s="300">
        <f t="shared" si="90"/>
        <v>200</v>
      </c>
      <c r="O657" s="484">
        <v>1</v>
      </c>
      <c r="P657" s="484">
        <v>1</v>
      </c>
      <c r="Q657" s="292">
        <f t="shared" si="91"/>
        <v>0</v>
      </c>
      <c r="R657" s="292">
        <f t="shared" si="92"/>
        <v>0</v>
      </c>
      <c r="S657" s="301">
        <f t="shared" si="87"/>
        <v>0</v>
      </c>
      <c r="T657" s="301">
        <f t="shared" si="88"/>
        <v>0</v>
      </c>
      <c r="U657" s="771" t="str">
        <f t="shared" si="89"/>
        <v>L</v>
      </c>
      <c r="V657" s="303"/>
      <c r="W657" s="304">
        <f>(Q657+R657)*'1.0-Contractblad'!$L$37</f>
        <v>0</v>
      </c>
      <c r="X657" s="304">
        <f ca="1">VLOOKUP(E657,'1.1a-Jaarprijzen'!$B$35:$Q$57,16,FALSE)*K657</f>
        <v>0</v>
      </c>
      <c r="Z657" s="773">
        <f t="shared" si="93"/>
        <v>26216.000000000004</v>
      </c>
      <c r="AA657" s="492" t="str">
        <f t="shared" si="94"/>
        <v>8200-200</v>
      </c>
    </row>
    <row r="658" spans="2:27" s="490" customFormat="1" ht="15">
      <c r="B658" s="330"/>
      <c r="C658" s="331"/>
      <c r="D658" s="295">
        <f>VLOOKUP(E658,'1.1a-Jaarprijzen'!$B$13:$G$32,6,FALSE)</f>
        <v>2</v>
      </c>
      <c r="E658" s="294" t="s">
        <v>957</v>
      </c>
      <c r="F658" s="295" t="s">
        <v>605</v>
      </c>
      <c r="G658" s="296" t="s">
        <v>489</v>
      </c>
      <c r="H658" s="731" t="s">
        <v>960</v>
      </c>
      <c r="I658" s="297" t="str">
        <f t="shared" si="95"/>
        <v>speellokaal</v>
      </c>
      <c r="J658" s="295" t="s">
        <v>696</v>
      </c>
      <c r="K658" s="298">
        <v>66.459999999999994</v>
      </c>
      <c r="L658" s="298"/>
      <c r="M658" s="299">
        <v>8200</v>
      </c>
      <c r="N658" s="300">
        <f t="shared" si="90"/>
        <v>200</v>
      </c>
      <c r="O658" s="484">
        <v>1</v>
      </c>
      <c r="P658" s="484">
        <v>1</v>
      </c>
      <c r="Q658" s="292">
        <f t="shared" si="91"/>
        <v>0</v>
      </c>
      <c r="R658" s="292">
        <f t="shared" si="92"/>
        <v>0</v>
      </c>
      <c r="S658" s="301">
        <f t="shared" si="87"/>
        <v>0</v>
      </c>
      <c r="T658" s="301">
        <f t="shared" si="88"/>
        <v>0</v>
      </c>
      <c r="U658" s="771" t="str">
        <f t="shared" si="89"/>
        <v>L</v>
      </c>
      <c r="V658" s="303"/>
      <c r="W658" s="304">
        <f>(Q658+R658)*'1.0-Contractblad'!$L$37</f>
        <v>0</v>
      </c>
      <c r="X658" s="304">
        <f ca="1">VLOOKUP(E658,'1.1a-Jaarprijzen'!$B$35:$Q$57,16,FALSE)*K658</f>
        <v>0</v>
      </c>
      <c r="Z658" s="773">
        <f t="shared" si="93"/>
        <v>13291.999999999998</v>
      </c>
      <c r="AA658" s="492" t="str">
        <f t="shared" si="94"/>
        <v>8200-200</v>
      </c>
    </row>
    <row r="659" spans="2:27" s="490" customFormat="1" ht="15">
      <c r="B659" s="330"/>
      <c r="C659" s="331"/>
      <c r="D659" s="295">
        <f>VLOOKUP(E659,'1.1a-Jaarprijzen'!$B$13:$G$32,6,FALSE)</f>
        <v>2</v>
      </c>
      <c r="E659" s="294" t="s">
        <v>957</v>
      </c>
      <c r="F659" s="295" t="s">
        <v>605</v>
      </c>
      <c r="G659" s="296" t="s">
        <v>498</v>
      </c>
      <c r="H659" s="731" t="s">
        <v>961</v>
      </c>
      <c r="I659" s="297" t="str">
        <f t="shared" si="95"/>
        <v>leslokaal groep 1 t/m 3</v>
      </c>
      <c r="J659" s="295" t="s">
        <v>696</v>
      </c>
      <c r="K659" s="298">
        <v>66.17</v>
      </c>
      <c r="L659" s="298"/>
      <c r="M659" s="299">
        <v>7200</v>
      </c>
      <c r="N659" s="300">
        <f t="shared" si="90"/>
        <v>200</v>
      </c>
      <c r="O659" s="484">
        <v>1</v>
      </c>
      <c r="P659" s="484">
        <v>1</v>
      </c>
      <c r="Q659" s="292">
        <f t="shared" si="91"/>
        <v>0</v>
      </c>
      <c r="R659" s="292">
        <f t="shared" si="92"/>
        <v>0</v>
      </c>
      <c r="S659" s="301">
        <f t="shared" si="87"/>
        <v>0</v>
      </c>
      <c r="T659" s="301">
        <f t="shared" si="88"/>
        <v>0</v>
      </c>
      <c r="U659" s="771" t="str">
        <f t="shared" si="89"/>
        <v>L</v>
      </c>
      <c r="V659" s="303"/>
      <c r="W659" s="304">
        <f>(Q659+R659)*'1.0-Contractblad'!$L$37</f>
        <v>0</v>
      </c>
      <c r="X659" s="304">
        <f ca="1">VLOOKUP(E659,'1.1a-Jaarprijzen'!$B$35:$Q$57,16,FALSE)*K659</f>
        <v>0</v>
      </c>
      <c r="Z659" s="773">
        <f t="shared" si="93"/>
        <v>13234</v>
      </c>
      <c r="AA659" s="492" t="str">
        <f t="shared" si="94"/>
        <v>7200-200</v>
      </c>
    </row>
    <row r="660" spans="2:27" s="490" customFormat="1" ht="15">
      <c r="B660" s="330"/>
      <c r="C660" s="331"/>
      <c r="D660" s="295">
        <f>VLOOKUP(E660,'1.1a-Jaarprijzen'!$B$13:$G$32,6,FALSE)</f>
        <v>2</v>
      </c>
      <c r="E660" s="294" t="s">
        <v>957</v>
      </c>
      <c r="F660" s="295" t="s">
        <v>605</v>
      </c>
      <c r="G660" s="296" t="s">
        <v>499</v>
      </c>
      <c r="H660" s="731" t="s">
        <v>961</v>
      </c>
      <c r="I660" s="297" t="str">
        <f t="shared" si="95"/>
        <v>leslokaal groep 1 t/m 3</v>
      </c>
      <c r="J660" s="295" t="s">
        <v>696</v>
      </c>
      <c r="K660" s="298">
        <v>64.02</v>
      </c>
      <c r="L660" s="298"/>
      <c r="M660" s="299">
        <v>7200</v>
      </c>
      <c r="N660" s="300">
        <f t="shared" si="90"/>
        <v>200</v>
      </c>
      <c r="O660" s="484">
        <v>1</v>
      </c>
      <c r="P660" s="484">
        <v>1</v>
      </c>
      <c r="Q660" s="292">
        <f t="shared" si="91"/>
        <v>0</v>
      </c>
      <c r="R660" s="292">
        <f t="shared" si="92"/>
        <v>0</v>
      </c>
      <c r="S660" s="301">
        <f t="shared" si="87"/>
        <v>0</v>
      </c>
      <c r="T660" s="301">
        <f t="shared" si="88"/>
        <v>0</v>
      </c>
      <c r="U660" s="771" t="str">
        <f t="shared" si="89"/>
        <v>L</v>
      </c>
      <c r="V660" s="303"/>
      <c r="W660" s="304">
        <f>(Q660+R660)*'1.0-Contractblad'!$L$37</f>
        <v>0</v>
      </c>
      <c r="X660" s="304">
        <f ca="1">VLOOKUP(E660,'1.1a-Jaarprijzen'!$B$35:$Q$57,16,FALSE)*K660</f>
        <v>0</v>
      </c>
      <c r="Z660" s="773">
        <f t="shared" si="93"/>
        <v>12804</v>
      </c>
      <c r="AA660" s="492" t="str">
        <f t="shared" si="94"/>
        <v>7200-200</v>
      </c>
    </row>
    <row r="661" spans="2:27" s="490" customFormat="1" ht="15">
      <c r="B661" s="330"/>
      <c r="C661" s="331"/>
      <c r="D661" s="295">
        <f>VLOOKUP(E661,'1.1a-Jaarprijzen'!$B$13:$G$32,6,FALSE)</f>
        <v>2</v>
      </c>
      <c r="E661" s="294" t="s">
        <v>957</v>
      </c>
      <c r="F661" s="295" t="s">
        <v>605</v>
      </c>
      <c r="G661" s="296" t="s">
        <v>570</v>
      </c>
      <c r="H661" s="731" t="s">
        <v>391</v>
      </c>
      <c r="I661" s="297" t="str">
        <f t="shared" si="95"/>
        <v>niet van toepassing</v>
      </c>
      <c r="J661" s="295" t="s">
        <v>1015</v>
      </c>
      <c r="K661" s="298"/>
      <c r="L661" s="298">
        <v>6.28</v>
      </c>
      <c r="M661" s="299" t="s">
        <v>17</v>
      </c>
      <c r="N661" s="300">
        <f t="shared" si="90"/>
        <v>0</v>
      </c>
      <c r="O661" s="484">
        <v>1</v>
      </c>
      <c r="P661" s="484">
        <v>1</v>
      </c>
      <c r="Q661" s="292">
        <f t="shared" si="91"/>
        <v>0</v>
      </c>
      <c r="R661" s="292">
        <f t="shared" si="92"/>
        <v>0</v>
      </c>
      <c r="S661" s="301">
        <f t="shared" si="87"/>
        <v>0</v>
      </c>
      <c r="T661" s="301">
        <f t="shared" si="88"/>
        <v>0</v>
      </c>
      <c r="U661" s="771">
        <f t="shared" si="89"/>
        <v>0</v>
      </c>
      <c r="V661" s="303"/>
      <c r="W661" s="304">
        <f>(Q661+R661)*'1.0-Contractblad'!$L$37</f>
        <v>0</v>
      </c>
      <c r="X661" s="304">
        <f ca="1">VLOOKUP(E661,'1.1a-Jaarprijzen'!$B$35:$Q$57,16,FALSE)*K661</f>
        <v>0</v>
      </c>
      <c r="Z661" s="773">
        <f t="shared" si="93"/>
        <v>0</v>
      </c>
      <c r="AA661" s="492" t="str">
        <f t="shared" si="94"/>
        <v>nvt-0</v>
      </c>
    </row>
    <row r="662" spans="2:27" s="490" customFormat="1" ht="15">
      <c r="B662" s="330"/>
      <c r="C662" s="331"/>
      <c r="D662" s="295">
        <f>VLOOKUP(E662,'1.1a-Jaarprijzen'!$B$13:$G$32,6,FALSE)</f>
        <v>2</v>
      </c>
      <c r="E662" s="294" t="s">
        <v>957</v>
      </c>
      <c r="F662" s="295" t="s">
        <v>605</v>
      </c>
      <c r="G662" s="296" t="s">
        <v>962</v>
      </c>
      <c r="H662" s="731" t="s">
        <v>963</v>
      </c>
      <c r="I662" s="297" t="str">
        <f t="shared" si="95"/>
        <v>niet van toepassing</v>
      </c>
      <c r="J662" s="295" t="s">
        <v>1015</v>
      </c>
      <c r="K662" s="298"/>
      <c r="L662" s="298">
        <v>21.51</v>
      </c>
      <c r="M662" s="299" t="s">
        <v>17</v>
      </c>
      <c r="N662" s="300">
        <f t="shared" si="90"/>
        <v>0</v>
      </c>
      <c r="O662" s="484">
        <v>1</v>
      </c>
      <c r="P662" s="484">
        <v>1</v>
      </c>
      <c r="Q662" s="292">
        <f t="shared" si="91"/>
        <v>0</v>
      </c>
      <c r="R662" s="292">
        <f t="shared" si="92"/>
        <v>0</v>
      </c>
      <c r="S662" s="301">
        <f t="shared" si="87"/>
        <v>0</v>
      </c>
      <c r="T662" s="301">
        <f t="shared" si="88"/>
        <v>0</v>
      </c>
      <c r="U662" s="771">
        <f t="shared" si="89"/>
        <v>0</v>
      </c>
      <c r="V662" s="303"/>
      <c r="W662" s="304">
        <f>(Q662+R662)*'1.0-Contractblad'!$L$37</f>
        <v>0</v>
      </c>
      <c r="X662" s="304">
        <f ca="1">VLOOKUP(E662,'1.1a-Jaarprijzen'!$B$35:$Q$57,16,FALSE)*K662</f>
        <v>0</v>
      </c>
      <c r="Z662" s="773">
        <f t="shared" si="93"/>
        <v>0</v>
      </c>
      <c r="AA662" s="492" t="str">
        <f t="shared" si="94"/>
        <v>nvt-0</v>
      </c>
    </row>
    <row r="663" spans="2:27" s="490" customFormat="1" ht="15">
      <c r="B663" s="330"/>
      <c r="C663" s="331"/>
      <c r="D663" s="295">
        <f>VLOOKUP(E663,'1.1a-Jaarprijzen'!$B$13:$G$32,6,FALSE)</f>
        <v>2</v>
      </c>
      <c r="E663" s="735" t="s">
        <v>957</v>
      </c>
      <c r="F663" s="295" t="s">
        <v>605</v>
      </c>
      <c r="G663" s="296" t="s">
        <v>964</v>
      </c>
      <c r="H663" s="731" t="s">
        <v>965</v>
      </c>
      <c r="I663" s="297" t="str">
        <f t="shared" si="95"/>
        <v>sanitaire ruimte (toilet-/doucheruimte)</v>
      </c>
      <c r="J663" s="295" t="s">
        <v>895</v>
      </c>
      <c r="K663" s="298">
        <v>9.5</v>
      </c>
      <c r="L663" s="298"/>
      <c r="M663" s="299">
        <v>4260</v>
      </c>
      <c r="N663" s="300">
        <f t="shared" si="90"/>
        <v>260</v>
      </c>
      <c r="O663" s="484">
        <v>1</v>
      </c>
      <c r="P663" s="484">
        <v>1</v>
      </c>
      <c r="Q663" s="292">
        <f t="shared" si="91"/>
        <v>0</v>
      </c>
      <c r="R663" s="292">
        <f t="shared" si="92"/>
        <v>0</v>
      </c>
      <c r="S663" s="301">
        <f t="shared" si="87"/>
        <v>0</v>
      </c>
      <c r="T663" s="301">
        <f t="shared" si="88"/>
        <v>0</v>
      </c>
      <c r="U663" s="771" t="str">
        <f t="shared" si="89"/>
        <v>S</v>
      </c>
      <c r="V663" s="303"/>
      <c r="W663" s="304">
        <f>(Q663+R663)*'1.0-Contractblad'!$L$37</f>
        <v>0</v>
      </c>
      <c r="X663" s="304">
        <f ca="1">VLOOKUP(E663,'1.1a-Jaarprijzen'!$B$35:$Q$57,16,FALSE)*K663</f>
        <v>0</v>
      </c>
      <c r="Z663" s="773">
        <f t="shared" si="93"/>
        <v>2470</v>
      </c>
      <c r="AA663" s="492" t="str">
        <f t="shared" si="94"/>
        <v>4260-260</v>
      </c>
    </row>
    <row r="664" spans="2:27" s="490" customFormat="1" ht="15">
      <c r="B664" s="330"/>
      <c r="C664" s="331"/>
      <c r="D664" s="295">
        <f>VLOOKUP(E664,'1.1a-Jaarprijzen'!$B$13:$G$32,6,FALSE)</f>
        <v>2</v>
      </c>
      <c r="E664" s="735" t="s">
        <v>957</v>
      </c>
      <c r="F664" s="295" t="s">
        <v>605</v>
      </c>
      <c r="G664" s="296" t="s">
        <v>534</v>
      </c>
      <c r="H664" s="731" t="s">
        <v>966</v>
      </c>
      <c r="I664" s="297" t="str">
        <f t="shared" si="95"/>
        <v>sanitaire ruimte (toilet-/doucheruimte)</v>
      </c>
      <c r="J664" s="295" t="s">
        <v>895</v>
      </c>
      <c r="K664" s="298">
        <v>6.0293923611111113</v>
      </c>
      <c r="L664" s="298"/>
      <c r="M664" s="299">
        <v>4260</v>
      </c>
      <c r="N664" s="300">
        <f t="shared" si="90"/>
        <v>260</v>
      </c>
      <c r="O664" s="484">
        <v>1</v>
      </c>
      <c r="P664" s="484">
        <v>1</v>
      </c>
      <c r="Q664" s="292">
        <f t="shared" si="91"/>
        <v>0</v>
      </c>
      <c r="R664" s="292">
        <f t="shared" si="92"/>
        <v>0</v>
      </c>
      <c r="S664" s="301">
        <f t="shared" si="87"/>
        <v>0</v>
      </c>
      <c r="T664" s="301">
        <f t="shared" si="88"/>
        <v>0</v>
      </c>
      <c r="U664" s="771" t="str">
        <f t="shared" si="89"/>
        <v>S</v>
      </c>
      <c r="V664" s="303"/>
      <c r="W664" s="304">
        <f>(Q664+R664)*'1.0-Contractblad'!$L$37</f>
        <v>0</v>
      </c>
      <c r="X664" s="304">
        <f ca="1">VLOOKUP(E664,'1.1a-Jaarprijzen'!$B$35:$Q$57,16,FALSE)*K664</f>
        <v>0</v>
      </c>
      <c r="Z664" s="773">
        <f t="shared" si="93"/>
        <v>1567.6420138888889</v>
      </c>
      <c r="AA664" s="492" t="str">
        <f t="shared" si="94"/>
        <v>4260-260</v>
      </c>
    </row>
    <row r="665" spans="2:27" s="490" customFormat="1" ht="15">
      <c r="B665" s="330"/>
      <c r="C665" s="331"/>
      <c r="D665" s="295">
        <f>VLOOKUP(E665,'1.1a-Jaarprijzen'!$B$13:$G$32,6,FALSE)</f>
        <v>2</v>
      </c>
      <c r="E665" s="735" t="s">
        <v>957</v>
      </c>
      <c r="F665" s="295" t="s">
        <v>605</v>
      </c>
      <c r="G665" s="296" t="s">
        <v>548</v>
      </c>
      <c r="H665" s="731" t="s">
        <v>966</v>
      </c>
      <c r="I665" s="297" t="str">
        <f t="shared" si="95"/>
        <v>sanitaire ruimte (toilet-/doucheruimte)</v>
      </c>
      <c r="J665" s="295" t="s">
        <v>895</v>
      </c>
      <c r="K665" s="298">
        <v>6.047690972222223</v>
      </c>
      <c r="L665" s="298"/>
      <c r="M665" s="299">
        <v>4260</v>
      </c>
      <c r="N665" s="300">
        <f t="shared" si="90"/>
        <v>260</v>
      </c>
      <c r="O665" s="484">
        <v>1</v>
      </c>
      <c r="P665" s="484">
        <v>1</v>
      </c>
      <c r="Q665" s="292">
        <f t="shared" si="91"/>
        <v>0</v>
      </c>
      <c r="R665" s="292">
        <f t="shared" si="92"/>
        <v>0</v>
      </c>
      <c r="S665" s="301">
        <f t="shared" si="87"/>
        <v>0</v>
      </c>
      <c r="T665" s="301">
        <f t="shared" si="88"/>
        <v>0</v>
      </c>
      <c r="U665" s="771" t="str">
        <f t="shared" si="89"/>
        <v>S</v>
      </c>
      <c r="V665" s="303"/>
      <c r="W665" s="304">
        <f>(Q665+R665)*'1.0-Contractblad'!$L$37</f>
        <v>0</v>
      </c>
      <c r="X665" s="304">
        <f ca="1">VLOOKUP(E665,'1.1a-Jaarprijzen'!$B$35:$Q$57,16,FALSE)*K665</f>
        <v>0</v>
      </c>
      <c r="Z665" s="773">
        <f t="shared" si="93"/>
        <v>1572.3996527777779</v>
      </c>
      <c r="AA665" s="492" t="str">
        <f t="shared" si="94"/>
        <v>4260-260</v>
      </c>
    </row>
    <row r="666" spans="2:27" s="490" customFormat="1" ht="15">
      <c r="B666" s="330"/>
      <c r="C666" s="331"/>
      <c r="D666" s="295">
        <f>VLOOKUP(E666,'1.1a-Jaarprijzen'!$B$13:$G$32,6,FALSE)</f>
        <v>2</v>
      </c>
      <c r="E666" s="735" t="s">
        <v>957</v>
      </c>
      <c r="F666" s="295" t="s">
        <v>605</v>
      </c>
      <c r="G666" s="296" t="s">
        <v>584</v>
      </c>
      <c r="H666" s="731" t="s">
        <v>967</v>
      </c>
      <c r="I666" s="297" t="str">
        <f t="shared" si="95"/>
        <v>administratieve -,  vergaderruimte</v>
      </c>
      <c r="J666" s="295" t="s">
        <v>895</v>
      </c>
      <c r="K666" s="298">
        <v>11.62</v>
      </c>
      <c r="L666" s="298"/>
      <c r="M666" s="299">
        <v>1260</v>
      </c>
      <c r="N666" s="300">
        <f t="shared" si="90"/>
        <v>260</v>
      </c>
      <c r="O666" s="484">
        <v>1</v>
      </c>
      <c r="P666" s="484">
        <v>1</v>
      </c>
      <c r="Q666" s="292">
        <f t="shared" si="91"/>
        <v>0</v>
      </c>
      <c r="R666" s="292">
        <f t="shared" si="92"/>
        <v>0</v>
      </c>
      <c r="S666" s="301">
        <f t="shared" si="87"/>
        <v>0</v>
      </c>
      <c r="T666" s="301">
        <f t="shared" si="88"/>
        <v>0</v>
      </c>
      <c r="U666" s="771" t="str">
        <f t="shared" si="89"/>
        <v>V</v>
      </c>
      <c r="V666" s="303"/>
      <c r="W666" s="304">
        <f>(Q666+R666)*'1.0-Contractblad'!$L$37</f>
        <v>0</v>
      </c>
      <c r="X666" s="304">
        <f ca="1">VLOOKUP(E666,'1.1a-Jaarprijzen'!$B$35:$Q$57,16,FALSE)*K666</f>
        <v>0</v>
      </c>
      <c r="Z666" s="773">
        <f t="shared" si="93"/>
        <v>3021.2</v>
      </c>
      <c r="AA666" s="492" t="str">
        <f t="shared" si="94"/>
        <v>1260-260</v>
      </c>
    </row>
    <row r="667" spans="2:27" s="490" customFormat="1" ht="15">
      <c r="B667" s="330"/>
      <c r="C667" s="331"/>
      <c r="D667" s="295">
        <f>VLOOKUP(E667,'1.1a-Jaarprijzen'!$B$13:$G$32,6,FALSE)</f>
        <v>2</v>
      </c>
      <c r="E667" s="294" t="s">
        <v>957</v>
      </c>
      <c r="F667" s="295" t="s">
        <v>605</v>
      </c>
      <c r="G667" s="296" t="s">
        <v>968</v>
      </c>
      <c r="H667" s="731" t="s">
        <v>969</v>
      </c>
      <c r="I667" s="297" t="str">
        <f t="shared" si="95"/>
        <v>niet van toepassing</v>
      </c>
      <c r="J667" s="295" t="s">
        <v>17</v>
      </c>
      <c r="K667" s="298">
        <v>0</v>
      </c>
      <c r="L667" s="298">
        <v>3.03</v>
      </c>
      <c r="M667" s="299" t="s">
        <v>17</v>
      </c>
      <c r="N667" s="300">
        <f t="shared" si="90"/>
        <v>0</v>
      </c>
      <c r="O667" s="484">
        <v>1</v>
      </c>
      <c r="P667" s="484">
        <v>1</v>
      </c>
      <c r="Q667" s="292">
        <f t="shared" si="91"/>
        <v>0</v>
      </c>
      <c r="R667" s="292">
        <f t="shared" si="92"/>
        <v>0</v>
      </c>
      <c r="S667" s="301">
        <f t="shared" si="87"/>
        <v>0</v>
      </c>
      <c r="T667" s="301">
        <f t="shared" si="88"/>
        <v>0</v>
      </c>
      <c r="U667" s="771">
        <f t="shared" si="89"/>
        <v>0</v>
      </c>
      <c r="V667" s="303"/>
      <c r="W667" s="304">
        <f>(Q667+R667)*'1.0-Contractblad'!$L$37</f>
        <v>0</v>
      </c>
      <c r="X667" s="304">
        <f ca="1">VLOOKUP(E667,'1.1a-Jaarprijzen'!$B$35:$Q$57,16,FALSE)*K667</f>
        <v>0</v>
      </c>
      <c r="Z667" s="773">
        <f t="shared" si="93"/>
        <v>0</v>
      </c>
      <c r="AA667" s="492" t="str">
        <f t="shared" si="94"/>
        <v>nvt-0</v>
      </c>
    </row>
    <row r="668" spans="2:27" s="490" customFormat="1" ht="15">
      <c r="B668" s="330"/>
      <c r="C668" s="331"/>
      <c r="D668" s="295">
        <f>VLOOKUP(E668,'1.1a-Jaarprijzen'!$B$13:$G$32,6,FALSE)</f>
        <v>2</v>
      </c>
      <c r="E668" s="294" t="s">
        <v>957</v>
      </c>
      <c r="F668" s="295" t="s">
        <v>605</v>
      </c>
      <c r="G668" s="296" t="s">
        <v>596</v>
      </c>
      <c r="H668" s="731" t="s">
        <v>463</v>
      </c>
      <c r="I668" s="297" t="str">
        <f t="shared" si="95"/>
        <v>niet van toepassing</v>
      </c>
      <c r="J668" s="295" t="s">
        <v>17</v>
      </c>
      <c r="K668" s="298">
        <v>0</v>
      </c>
      <c r="L668" s="298">
        <v>4.33</v>
      </c>
      <c r="M668" s="299" t="s">
        <v>17</v>
      </c>
      <c r="N668" s="300">
        <f t="shared" si="90"/>
        <v>0</v>
      </c>
      <c r="O668" s="484">
        <v>1</v>
      </c>
      <c r="P668" s="484">
        <v>1</v>
      </c>
      <c r="Q668" s="292">
        <f t="shared" si="91"/>
        <v>0</v>
      </c>
      <c r="R668" s="292">
        <f t="shared" si="92"/>
        <v>0</v>
      </c>
      <c r="S668" s="301">
        <f t="shared" si="87"/>
        <v>0</v>
      </c>
      <c r="T668" s="301">
        <f t="shared" si="88"/>
        <v>0</v>
      </c>
      <c r="U668" s="771">
        <f t="shared" si="89"/>
        <v>0</v>
      </c>
      <c r="V668" s="303"/>
      <c r="W668" s="304">
        <f>(Q668+R668)*'1.0-Contractblad'!$L$37</f>
        <v>0</v>
      </c>
      <c r="X668" s="304">
        <f ca="1">VLOOKUP(E668,'1.1a-Jaarprijzen'!$B$35:$Q$57,16,FALSE)*K668</f>
        <v>0</v>
      </c>
      <c r="Z668" s="773">
        <f t="shared" si="93"/>
        <v>0</v>
      </c>
      <c r="AA668" s="492" t="str">
        <f t="shared" si="94"/>
        <v>nvt-0</v>
      </c>
    </row>
    <row r="669" spans="2:27" s="490" customFormat="1" ht="15">
      <c r="B669" s="330"/>
      <c r="C669" s="331"/>
      <c r="D669" s="295">
        <f>VLOOKUP(E669,'1.1a-Jaarprijzen'!$B$13:$G$32,6,FALSE)</f>
        <v>2</v>
      </c>
      <c r="E669" s="294" t="s">
        <v>957</v>
      </c>
      <c r="F669" s="295" t="s">
        <v>605</v>
      </c>
      <c r="G669" s="296" t="s">
        <v>585</v>
      </c>
      <c r="H669" s="731" t="s">
        <v>463</v>
      </c>
      <c r="I669" s="297" t="str">
        <f t="shared" si="95"/>
        <v>niet van toepassing</v>
      </c>
      <c r="J669" s="295" t="s">
        <v>17</v>
      </c>
      <c r="K669" s="298">
        <v>0</v>
      </c>
      <c r="L669" s="298">
        <v>7.57</v>
      </c>
      <c r="M669" s="299" t="s">
        <v>17</v>
      </c>
      <c r="N669" s="300">
        <f t="shared" si="90"/>
        <v>0</v>
      </c>
      <c r="O669" s="484">
        <v>1</v>
      </c>
      <c r="P669" s="484">
        <v>1</v>
      </c>
      <c r="Q669" s="292">
        <f t="shared" si="91"/>
        <v>0</v>
      </c>
      <c r="R669" s="292">
        <f t="shared" si="92"/>
        <v>0</v>
      </c>
      <c r="S669" s="301">
        <f t="shared" si="87"/>
        <v>0</v>
      </c>
      <c r="T669" s="301">
        <f t="shared" si="88"/>
        <v>0</v>
      </c>
      <c r="U669" s="771">
        <f t="shared" si="89"/>
        <v>0</v>
      </c>
      <c r="V669" s="303"/>
      <c r="W669" s="304">
        <f>(Q669+R669)*'1.0-Contractblad'!$L$37</f>
        <v>0</v>
      </c>
      <c r="X669" s="304">
        <f ca="1">VLOOKUP(E669,'1.1a-Jaarprijzen'!$B$35:$Q$57,16,FALSE)*K669</f>
        <v>0</v>
      </c>
      <c r="Z669" s="773">
        <f t="shared" si="93"/>
        <v>0</v>
      </c>
      <c r="AA669" s="492" t="str">
        <f t="shared" si="94"/>
        <v>nvt-0</v>
      </c>
    </row>
    <row r="670" spans="2:27" s="490" customFormat="1" ht="15">
      <c r="B670" s="330"/>
      <c r="C670" s="331"/>
      <c r="D670" s="295">
        <f>VLOOKUP(E670,'1.1a-Jaarprijzen'!$B$13:$G$32,6,FALSE)</f>
        <v>2</v>
      </c>
      <c r="E670" s="294" t="s">
        <v>957</v>
      </c>
      <c r="F670" s="295" t="s">
        <v>605</v>
      </c>
      <c r="G670" s="296" t="s">
        <v>970</v>
      </c>
      <c r="H670" s="731" t="s">
        <v>463</v>
      </c>
      <c r="I670" s="297" t="str">
        <f t="shared" si="95"/>
        <v>niet van toepassing</v>
      </c>
      <c r="J670" s="295" t="s">
        <v>17</v>
      </c>
      <c r="K670" s="298">
        <v>0</v>
      </c>
      <c r="L670" s="298">
        <v>1.02</v>
      </c>
      <c r="M670" s="299" t="s">
        <v>17</v>
      </c>
      <c r="N670" s="300">
        <f t="shared" si="90"/>
        <v>0</v>
      </c>
      <c r="O670" s="484">
        <v>1</v>
      </c>
      <c r="P670" s="484">
        <v>1</v>
      </c>
      <c r="Q670" s="292">
        <f t="shared" si="91"/>
        <v>0</v>
      </c>
      <c r="R670" s="292">
        <f t="shared" si="92"/>
        <v>0</v>
      </c>
      <c r="S670" s="301">
        <f t="shared" si="87"/>
        <v>0</v>
      </c>
      <c r="T670" s="301">
        <f t="shared" si="88"/>
        <v>0</v>
      </c>
      <c r="U670" s="771">
        <f t="shared" si="89"/>
        <v>0</v>
      </c>
      <c r="V670" s="303"/>
      <c r="W670" s="304">
        <f>(Q670+R670)*'1.0-Contractblad'!$L$37</f>
        <v>0</v>
      </c>
      <c r="X670" s="304">
        <f ca="1">VLOOKUP(E670,'1.1a-Jaarprijzen'!$B$35:$Q$57,16,FALSE)*K670</f>
        <v>0</v>
      </c>
      <c r="Z670" s="773">
        <f t="shared" si="93"/>
        <v>0</v>
      </c>
      <c r="AA670" s="492" t="str">
        <f t="shared" si="94"/>
        <v>nvt-0</v>
      </c>
    </row>
    <row r="671" spans="2:27" s="490" customFormat="1" ht="15">
      <c r="B671" s="330"/>
      <c r="C671" s="331"/>
      <c r="D671" s="295">
        <f>VLOOKUP(E671,'1.1a-Jaarprijzen'!$B$13:$G$32,6,FALSE)</f>
        <v>2</v>
      </c>
      <c r="E671" s="294" t="s">
        <v>971</v>
      </c>
      <c r="F671" s="295"/>
      <c r="G671" s="296" t="s">
        <v>509</v>
      </c>
      <c r="H671" s="731" t="s">
        <v>972</v>
      </c>
      <c r="I671" s="297" t="str">
        <f t="shared" si="95"/>
        <v>leslokaal groep 1 t/m 3</v>
      </c>
      <c r="J671" s="295" t="s">
        <v>696</v>
      </c>
      <c r="K671" s="298">
        <v>63.68</v>
      </c>
      <c r="L671" s="298"/>
      <c r="M671" s="299">
        <v>7200</v>
      </c>
      <c r="N671" s="300">
        <f t="shared" si="90"/>
        <v>200</v>
      </c>
      <c r="O671" s="484">
        <v>1</v>
      </c>
      <c r="P671" s="484">
        <v>1</v>
      </c>
      <c r="Q671" s="292">
        <f t="shared" si="91"/>
        <v>0</v>
      </c>
      <c r="R671" s="292">
        <f t="shared" si="92"/>
        <v>0</v>
      </c>
      <c r="S671" s="301">
        <f t="shared" si="87"/>
        <v>0</v>
      </c>
      <c r="T671" s="301">
        <f t="shared" si="88"/>
        <v>0</v>
      </c>
      <c r="U671" s="771" t="str">
        <f t="shared" si="89"/>
        <v>L</v>
      </c>
      <c r="V671" s="303"/>
      <c r="W671" s="304">
        <f>(Q671+R671)*'1.0-Contractblad'!$L$37</f>
        <v>0</v>
      </c>
      <c r="X671" s="304">
        <f ca="1">VLOOKUP(E671,'1.1a-Jaarprijzen'!$B$35:$Q$57,16,FALSE)*K671</f>
        <v>0</v>
      </c>
      <c r="Z671" s="773">
        <f t="shared" si="93"/>
        <v>12736</v>
      </c>
      <c r="AA671" s="492" t="str">
        <f t="shared" si="94"/>
        <v>7200-200</v>
      </c>
    </row>
    <row r="672" spans="2:27" s="490" customFormat="1" ht="15">
      <c r="B672" s="330"/>
      <c r="C672" s="331"/>
      <c r="D672" s="295">
        <f>VLOOKUP(E672,'1.1a-Jaarprijzen'!$B$13:$G$32,6,FALSE)</f>
        <v>2</v>
      </c>
      <c r="E672" s="294" t="s">
        <v>971</v>
      </c>
      <c r="F672" s="295"/>
      <c r="G672" s="296" t="s">
        <v>973</v>
      </c>
      <c r="H672" s="731" t="s">
        <v>388</v>
      </c>
      <c r="I672" s="297" t="str">
        <f t="shared" si="95"/>
        <v>niet van toepassing</v>
      </c>
      <c r="J672" s="295" t="s">
        <v>1015</v>
      </c>
      <c r="K672" s="298"/>
      <c r="L672" s="298">
        <v>9.3800000000000008</v>
      </c>
      <c r="M672" s="299" t="s">
        <v>17</v>
      </c>
      <c r="N672" s="300">
        <f t="shared" si="90"/>
        <v>0</v>
      </c>
      <c r="O672" s="484">
        <v>1</v>
      </c>
      <c r="P672" s="484">
        <v>1</v>
      </c>
      <c r="Q672" s="292">
        <f t="shared" si="91"/>
        <v>0</v>
      </c>
      <c r="R672" s="292">
        <f t="shared" si="92"/>
        <v>0</v>
      </c>
      <c r="S672" s="301">
        <f t="shared" si="87"/>
        <v>0</v>
      </c>
      <c r="T672" s="301">
        <f t="shared" si="88"/>
        <v>0</v>
      </c>
      <c r="U672" s="771">
        <f t="shared" si="89"/>
        <v>0</v>
      </c>
      <c r="V672" s="303"/>
      <c r="W672" s="304">
        <f>(Q672+R672)*'1.0-Contractblad'!$L$37</f>
        <v>0</v>
      </c>
      <c r="X672" s="304">
        <f ca="1">VLOOKUP(E672,'1.1a-Jaarprijzen'!$B$35:$Q$57,16,FALSE)*K672</f>
        <v>0</v>
      </c>
      <c r="Z672" s="773">
        <f t="shared" si="93"/>
        <v>0</v>
      </c>
      <c r="AA672" s="492" t="str">
        <f t="shared" si="94"/>
        <v>nvt-0</v>
      </c>
    </row>
    <row r="673" spans="2:27" s="490" customFormat="1" ht="15">
      <c r="B673" s="330"/>
      <c r="C673" s="331"/>
      <c r="D673" s="295">
        <f>VLOOKUP(E673,'1.1a-Jaarprijzen'!$B$13:$G$32,6,FALSE)</f>
        <v>2</v>
      </c>
      <c r="E673" s="294" t="s">
        <v>971</v>
      </c>
      <c r="F673" s="295"/>
      <c r="G673" s="296" t="s">
        <v>974</v>
      </c>
      <c r="H673" s="731" t="s">
        <v>388</v>
      </c>
      <c r="I673" s="297" t="str">
        <f t="shared" si="95"/>
        <v>niet van toepassing</v>
      </c>
      <c r="J673" s="295" t="s">
        <v>1015</v>
      </c>
      <c r="K673" s="298"/>
      <c r="L673" s="298">
        <v>5.05</v>
      </c>
      <c r="M673" s="299" t="s">
        <v>17</v>
      </c>
      <c r="N673" s="300">
        <f t="shared" si="90"/>
        <v>0</v>
      </c>
      <c r="O673" s="484">
        <v>1</v>
      </c>
      <c r="P673" s="484">
        <v>1</v>
      </c>
      <c r="Q673" s="292">
        <f t="shared" si="91"/>
        <v>0</v>
      </c>
      <c r="R673" s="292">
        <f t="shared" si="92"/>
        <v>0</v>
      </c>
      <c r="S673" s="301">
        <f t="shared" si="87"/>
        <v>0</v>
      </c>
      <c r="T673" s="301">
        <f t="shared" si="88"/>
        <v>0</v>
      </c>
      <c r="U673" s="771">
        <f t="shared" si="89"/>
        <v>0</v>
      </c>
      <c r="V673" s="303"/>
      <c r="W673" s="304">
        <f>(Q673+R673)*'1.0-Contractblad'!$L$37</f>
        <v>0</v>
      </c>
      <c r="X673" s="304">
        <f ca="1">VLOOKUP(E673,'1.1a-Jaarprijzen'!$B$35:$Q$57,16,FALSE)*K673</f>
        <v>0</v>
      </c>
      <c r="Z673" s="773">
        <f t="shared" si="93"/>
        <v>0</v>
      </c>
      <c r="AA673" s="492" t="str">
        <f t="shared" si="94"/>
        <v>nvt-0</v>
      </c>
    </row>
    <row r="674" spans="2:27" s="490" customFormat="1" ht="15">
      <c r="B674" s="330"/>
      <c r="C674" s="331"/>
      <c r="D674" s="295">
        <f>VLOOKUP(E674,'1.1a-Jaarprijzen'!$B$13:$G$32,6,FALSE)</f>
        <v>2</v>
      </c>
      <c r="E674" s="294" t="s">
        <v>971</v>
      </c>
      <c r="F674" s="295"/>
      <c r="G674" s="296" t="s">
        <v>560</v>
      </c>
      <c r="H674" s="731" t="s">
        <v>975</v>
      </c>
      <c r="I674" s="297" t="str">
        <f t="shared" si="95"/>
        <v>niet van toepassing</v>
      </c>
      <c r="J674" s="295" t="s">
        <v>1015</v>
      </c>
      <c r="K674" s="298"/>
      <c r="L674" s="298">
        <v>30.11</v>
      </c>
      <c r="M674" s="299" t="s">
        <v>17</v>
      </c>
      <c r="N674" s="300">
        <f t="shared" si="90"/>
        <v>0</v>
      </c>
      <c r="O674" s="484">
        <v>1</v>
      </c>
      <c r="P674" s="484">
        <v>1</v>
      </c>
      <c r="Q674" s="292">
        <f t="shared" si="91"/>
        <v>0</v>
      </c>
      <c r="R674" s="292">
        <f t="shared" si="92"/>
        <v>0</v>
      </c>
      <c r="S674" s="301">
        <f t="shared" si="87"/>
        <v>0</v>
      </c>
      <c r="T674" s="301">
        <f t="shared" si="88"/>
        <v>0</v>
      </c>
      <c r="U674" s="771">
        <f t="shared" si="89"/>
        <v>0</v>
      </c>
      <c r="V674" s="303"/>
      <c r="W674" s="304">
        <f>(Q674+R674)*'1.0-Contractblad'!$L$37</f>
        <v>0</v>
      </c>
      <c r="X674" s="304">
        <f ca="1">VLOOKUP(E674,'1.1a-Jaarprijzen'!$B$35:$Q$57,16,FALSE)*K674</f>
        <v>0</v>
      </c>
      <c r="Z674" s="773">
        <f t="shared" si="93"/>
        <v>0</v>
      </c>
      <c r="AA674" s="492" t="str">
        <f t="shared" si="94"/>
        <v>nvt-0</v>
      </c>
    </row>
    <row r="675" spans="2:27" s="490" customFormat="1" ht="15">
      <c r="B675" s="330"/>
      <c r="C675" s="331"/>
      <c r="D675" s="295">
        <f>VLOOKUP(E675,'1.1a-Jaarprijzen'!$B$13:$G$32,6,FALSE)</f>
        <v>2</v>
      </c>
      <c r="E675" s="294" t="s">
        <v>971</v>
      </c>
      <c r="F675" s="295"/>
      <c r="G675" s="296" t="s">
        <v>516</v>
      </c>
      <c r="H675" s="731" t="s">
        <v>400</v>
      </c>
      <c r="I675" s="297" t="str">
        <f t="shared" si="95"/>
        <v>trappenhuis</v>
      </c>
      <c r="J675" s="295" t="s">
        <v>475</v>
      </c>
      <c r="K675" s="298">
        <v>10.56</v>
      </c>
      <c r="L675" s="298"/>
      <c r="M675" s="299">
        <v>9200</v>
      </c>
      <c r="N675" s="300">
        <f t="shared" si="90"/>
        <v>200</v>
      </c>
      <c r="O675" s="484">
        <v>1</v>
      </c>
      <c r="P675" s="484">
        <v>1</v>
      </c>
      <c r="Q675" s="292">
        <f t="shared" si="91"/>
        <v>0</v>
      </c>
      <c r="R675" s="292">
        <f t="shared" si="92"/>
        <v>0</v>
      </c>
      <c r="S675" s="301">
        <f t="shared" si="87"/>
        <v>0</v>
      </c>
      <c r="T675" s="301">
        <f t="shared" si="88"/>
        <v>0</v>
      </c>
      <c r="U675" s="771" t="str">
        <f t="shared" si="89"/>
        <v>V</v>
      </c>
      <c r="V675" s="303"/>
      <c r="W675" s="304">
        <f>(Q675+R675)*'1.0-Contractblad'!$L$37</f>
        <v>0</v>
      </c>
      <c r="X675" s="304">
        <f ca="1">VLOOKUP(E675,'1.1a-Jaarprijzen'!$B$35:$Q$57,16,FALSE)*K675</f>
        <v>0</v>
      </c>
      <c r="Z675" s="773">
        <f t="shared" si="93"/>
        <v>2112</v>
      </c>
      <c r="AA675" s="492" t="str">
        <f t="shared" si="94"/>
        <v>9200-200</v>
      </c>
    </row>
    <row r="676" spans="2:27" s="490" customFormat="1" ht="15">
      <c r="B676" s="330"/>
      <c r="C676" s="331"/>
      <c r="D676" s="295">
        <f>VLOOKUP(E676,'1.1a-Jaarprijzen'!$B$13:$G$32,6,FALSE)</f>
        <v>2</v>
      </c>
      <c r="E676" s="294" t="s">
        <v>971</v>
      </c>
      <c r="F676" s="295"/>
      <c r="G676" s="296" t="s">
        <v>976</v>
      </c>
      <c r="H676" s="731" t="s">
        <v>400</v>
      </c>
      <c r="I676" s="297" t="str">
        <f t="shared" si="95"/>
        <v>trappenhuis</v>
      </c>
      <c r="J676" s="295" t="s">
        <v>475</v>
      </c>
      <c r="K676" s="298">
        <v>16.22</v>
      </c>
      <c r="L676" s="298"/>
      <c r="M676" s="299">
        <v>9200</v>
      </c>
      <c r="N676" s="300">
        <f t="shared" si="90"/>
        <v>200</v>
      </c>
      <c r="O676" s="484">
        <v>1</v>
      </c>
      <c r="P676" s="484">
        <v>1</v>
      </c>
      <c r="Q676" s="292">
        <f t="shared" si="91"/>
        <v>0</v>
      </c>
      <c r="R676" s="292">
        <f t="shared" si="92"/>
        <v>0</v>
      </c>
      <c r="S676" s="301">
        <f t="shared" si="87"/>
        <v>0</v>
      </c>
      <c r="T676" s="301">
        <f t="shared" si="88"/>
        <v>0</v>
      </c>
      <c r="U676" s="771" t="str">
        <f t="shared" si="89"/>
        <v>V</v>
      </c>
      <c r="V676" s="303"/>
      <c r="W676" s="304">
        <f>(Q676+R676)*'1.0-Contractblad'!$L$37</f>
        <v>0</v>
      </c>
      <c r="X676" s="304">
        <f ca="1">VLOOKUP(E676,'1.1a-Jaarprijzen'!$B$35:$Q$57,16,FALSE)*K676</f>
        <v>0</v>
      </c>
      <c r="Z676" s="773">
        <f t="shared" si="93"/>
        <v>3244</v>
      </c>
      <c r="AA676" s="492" t="str">
        <f t="shared" si="94"/>
        <v>9200-200</v>
      </c>
    </row>
    <row r="677" spans="2:27" s="490" customFormat="1" ht="15">
      <c r="B677" s="330"/>
      <c r="C677" s="331"/>
      <c r="D677" s="295">
        <f>VLOOKUP(E677,'1.1a-Jaarprijzen'!$B$13:$G$32,6,FALSE)</f>
        <v>2</v>
      </c>
      <c r="E677" s="294" t="s">
        <v>971</v>
      </c>
      <c r="F677" s="295"/>
      <c r="G677" s="296" t="s">
        <v>545</v>
      </c>
      <c r="H677" s="731" t="s">
        <v>693</v>
      </c>
      <c r="I677" s="297" t="str">
        <f t="shared" si="95"/>
        <v>sanitaire ruimte (toilet-/doucheruimte)</v>
      </c>
      <c r="J677" s="295" t="s">
        <v>465</v>
      </c>
      <c r="K677" s="298">
        <v>6.7</v>
      </c>
      <c r="L677" s="298"/>
      <c r="M677" s="299">
        <v>4200</v>
      </c>
      <c r="N677" s="300">
        <f t="shared" si="90"/>
        <v>200</v>
      </c>
      <c r="O677" s="484">
        <v>1</v>
      </c>
      <c r="P677" s="484">
        <v>1</v>
      </c>
      <c r="Q677" s="292">
        <f t="shared" si="91"/>
        <v>0</v>
      </c>
      <c r="R677" s="292">
        <f t="shared" si="92"/>
        <v>0</v>
      </c>
      <c r="S677" s="301">
        <f t="shared" ref="S677:S724" si="96">IF($M677=0,0,VLOOKUP($M677,Kengetal,6,FALSE))</f>
        <v>0</v>
      </c>
      <c r="T677" s="301">
        <f t="shared" ref="T677:T724" si="97">IF($M677=0,0,VLOOKUP($M677,Kengetal,7,FALSE))</f>
        <v>0</v>
      </c>
      <c r="U677" s="771" t="str">
        <f t="shared" si="89"/>
        <v>S</v>
      </c>
      <c r="V677" s="303"/>
      <c r="W677" s="304">
        <f>(Q677+R677)*'1.0-Contractblad'!$L$37</f>
        <v>0</v>
      </c>
      <c r="X677" s="304">
        <f ca="1">VLOOKUP(E677,'1.1a-Jaarprijzen'!$B$35:$Q$57,16,FALSE)*K677</f>
        <v>0</v>
      </c>
      <c r="Z677" s="773">
        <f t="shared" si="93"/>
        <v>1340</v>
      </c>
      <c r="AA677" s="492" t="str">
        <f t="shared" si="94"/>
        <v>4200-200</v>
      </c>
    </row>
    <row r="678" spans="2:27" s="490" customFormat="1" ht="15">
      <c r="B678" s="330"/>
      <c r="C678" s="331"/>
      <c r="D678" s="295">
        <f>VLOOKUP(E678,'1.1a-Jaarprijzen'!$B$13:$G$32,6,FALSE)</f>
        <v>2</v>
      </c>
      <c r="E678" s="294" t="s">
        <v>971</v>
      </c>
      <c r="F678" s="295"/>
      <c r="G678" s="296" t="s">
        <v>977</v>
      </c>
      <c r="H678" s="731" t="s">
        <v>693</v>
      </c>
      <c r="I678" s="297" t="str">
        <f t="shared" si="95"/>
        <v>sanitaire ruimte (toilet-/doucheruimte)</v>
      </c>
      <c r="J678" s="295" t="s">
        <v>465</v>
      </c>
      <c r="K678" s="298">
        <v>7.6</v>
      </c>
      <c r="L678" s="298"/>
      <c r="M678" s="299">
        <v>4200</v>
      </c>
      <c r="N678" s="300">
        <f t="shared" si="90"/>
        <v>200</v>
      </c>
      <c r="O678" s="484">
        <v>1</v>
      </c>
      <c r="P678" s="484">
        <v>1</v>
      </c>
      <c r="Q678" s="292">
        <f t="shared" si="91"/>
        <v>0</v>
      </c>
      <c r="R678" s="292">
        <f t="shared" si="92"/>
        <v>0</v>
      </c>
      <c r="S678" s="301">
        <f t="shared" si="96"/>
        <v>0</v>
      </c>
      <c r="T678" s="301">
        <f t="shared" si="97"/>
        <v>0</v>
      </c>
      <c r="U678" s="771" t="str">
        <f t="shared" si="89"/>
        <v>S</v>
      </c>
      <c r="V678" s="303"/>
      <c r="W678" s="304">
        <f>(Q678+R678)*'1.0-Contractblad'!$L$37</f>
        <v>0</v>
      </c>
      <c r="X678" s="304">
        <f ca="1">VLOOKUP(E678,'1.1a-Jaarprijzen'!$B$35:$Q$57,16,FALSE)*K678</f>
        <v>0</v>
      </c>
      <c r="Z678" s="773">
        <f t="shared" si="93"/>
        <v>1520</v>
      </c>
      <c r="AA678" s="492" t="str">
        <f t="shared" si="94"/>
        <v>4200-200</v>
      </c>
    </row>
    <row r="679" spans="2:27" s="490" customFormat="1" ht="15">
      <c r="B679" s="330"/>
      <c r="C679" s="331"/>
      <c r="D679" s="295">
        <f>VLOOKUP(E679,'1.1a-Jaarprijzen'!$B$13:$G$32,6,FALSE)</f>
        <v>2</v>
      </c>
      <c r="E679" s="294" t="s">
        <v>971</v>
      </c>
      <c r="F679" s="295"/>
      <c r="G679" s="296" t="s">
        <v>978</v>
      </c>
      <c r="H679" s="731" t="s">
        <v>693</v>
      </c>
      <c r="I679" s="297" t="str">
        <f t="shared" si="95"/>
        <v>sanitaire ruimte (toilet-/doucheruimte)</v>
      </c>
      <c r="J679" s="295" t="s">
        <v>465</v>
      </c>
      <c r="K679" s="298">
        <v>7.03</v>
      </c>
      <c r="L679" s="298"/>
      <c r="M679" s="299">
        <v>4200</v>
      </c>
      <c r="N679" s="300">
        <f t="shared" si="90"/>
        <v>200</v>
      </c>
      <c r="O679" s="484">
        <v>1</v>
      </c>
      <c r="P679" s="484">
        <v>1</v>
      </c>
      <c r="Q679" s="292">
        <f t="shared" si="91"/>
        <v>0</v>
      </c>
      <c r="R679" s="292">
        <f t="shared" si="92"/>
        <v>0</v>
      </c>
      <c r="S679" s="301">
        <f t="shared" si="96"/>
        <v>0</v>
      </c>
      <c r="T679" s="301">
        <f t="shared" si="97"/>
        <v>0</v>
      </c>
      <c r="U679" s="771" t="str">
        <f t="shared" si="89"/>
        <v>S</v>
      </c>
      <c r="V679" s="303"/>
      <c r="W679" s="304">
        <f>(Q679+R679)*'1.0-Contractblad'!$L$37</f>
        <v>0</v>
      </c>
      <c r="X679" s="304">
        <f ca="1">VLOOKUP(E679,'1.1a-Jaarprijzen'!$B$35:$Q$57,16,FALSE)*K679</f>
        <v>0</v>
      </c>
      <c r="Z679" s="773">
        <f t="shared" si="93"/>
        <v>1406</v>
      </c>
      <c r="AA679" s="492" t="str">
        <f t="shared" si="94"/>
        <v>4200-200</v>
      </c>
    </row>
    <row r="680" spans="2:27" s="490" customFormat="1" ht="15">
      <c r="B680" s="330"/>
      <c r="C680" s="331"/>
      <c r="D680" s="295">
        <f>VLOOKUP(E680,'1.1a-Jaarprijzen'!$B$13:$G$32,6,FALSE)</f>
        <v>2</v>
      </c>
      <c r="E680" s="294" t="s">
        <v>971</v>
      </c>
      <c r="F680" s="295"/>
      <c r="G680" s="296" t="s">
        <v>979</v>
      </c>
      <c r="H680" s="731" t="s">
        <v>477</v>
      </c>
      <c r="I680" s="297" t="str">
        <f t="shared" si="95"/>
        <v>sanitaire ruimte (toilet-/doucheruimte)</v>
      </c>
      <c r="J680" s="295" t="s">
        <v>465</v>
      </c>
      <c r="K680" s="298">
        <v>9.75</v>
      </c>
      <c r="L680" s="298"/>
      <c r="M680" s="299">
        <v>4200</v>
      </c>
      <c r="N680" s="300">
        <f t="shared" si="90"/>
        <v>200</v>
      </c>
      <c r="O680" s="484">
        <v>1</v>
      </c>
      <c r="P680" s="484">
        <v>1</v>
      </c>
      <c r="Q680" s="292">
        <f t="shared" si="91"/>
        <v>0</v>
      </c>
      <c r="R680" s="292">
        <f t="shared" si="92"/>
        <v>0</v>
      </c>
      <c r="S680" s="301">
        <f t="shared" si="96"/>
        <v>0</v>
      </c>
      <c r="T680" s="301">
        <f t="shared" si="97"/>
        <v>0</v>
      </c>
      <c r="U680" s="771" t="str">
        <f t="shared" si="89"/>
        <v>S</v>
      </c>
      <c r="V680" s="303"/>
      <c r="W680" s="304">
        <f>(Q680+R680)*'1.0-Contractblad'!$L$37</f>
        <v>0</v>
      </c>
      <c r="X680" s="304">
        <f ca="1">VLOOKUP(E680,'1.1a-Jaarprijzen'!$B$35:$Q$57,16,FALSE)*K680</f>
        <v>0</v>
      </c>
      <c r="Z680" s="773">
        <f t="shared" si="93"/>
        <v>1950</v>
      </c>
      <c r="AA680" s="492" t="str">
        <f t="shared" si="94"/>
        <v>4200-200</v>
      </c>
    </row>
    <row r="681" spans="2:27" s="490" customFormat="1" ht="15">
      <c r="B681" s="330"/>
      <c r="C681" s="331"/>
      <c r="D681" s="295">
        <f>VLOOKUP(E681,'1.1a-Jaarprijzen'!$B$13:$G$32,6,FALSE)</f>
        <v>2</v>
      </c>
      <c r="E681" s="294" t="s">
        <v>971</v>
      </c>
      <c r="F681" s="295"/>
      <c r="G681" s="296" t="s">
        <v>980</v>
      </c>
      <c r="H681" s="731" t="s">
        <v>981</v>
      </c>
      <c r="I681" s="297" t="str">
        <f t="shared" si="95"/>
        <v>gymzaal (berging)</v>
      </c>
      <c r="J681" s="295" t="s">
        <v>696</v>
      </c>
      <c r="K681" s="298">
        <v>12.55</v>
      </c>
      <c r="L681" s="298"/>
      <c r="M681" s="299">
        <v>14040</v>
      </c>
      <c r="N681" s="300">
        <f t="shared" si="90"/>
        <v>40</v>
      </c>
      <c r="O681" s="484">
        <v>1</v>
      </c>
      <c r="P681" s="484">
        <v>1</v>
      </c>
      <c r="Q681" s="292">
        <f t="shared" si="91"/>
        <v>0</v>
      </c>
      <c r="R681" s="292">
        <f t="shared" si="92"/>
        <v>0</v>
      </c>
      <c r="S681" s="301">
        <f t="shared" si="96"/>
        <v>0</v>
      </c>
      <c r="T681" s="301">
        <f t="shared" si="97"/>
        <v>0</v>
      </c>
      <c r="U681" s="771" t="str">
        <f t="shared" si="89"/>
        <v>Sp</v>
      </c>
      <c r="V681" s="303"/>
      <c r="W681" s="304">
        <f>(Q681+R681)*'1.0-Contractblad'!$L$37</f>
        <v>0</v>
      </c>
      <c r="X681" s="304">
        <f ca="1">VLOOKUP(E681,'1.1a-Jaarprijzen'!$B$35:$Q$57,16,FALSE)*K681</f>
        <v>0</v>
      </c>
      <c r="Z681" s="773">
        <f t="shared" si="93"/>
        <v>502</v>
      </c>
      <c r="AA681" s="492" t="str">
        <f t="shared" si="94"/>
        <v>14040-40</v>
      </c>
    </row>
    <row r="682" spans="2:27" s="490" customFormat="1" ht="15">
      <c r="B682" s="330"/>
      <c r="C682" s="331"/>
      <c r="D682" s="295">
        <f>VLOOKUP(E682,'1.1a-Jaarprijzen'!$B$13:$G$32,6,FALSE)</f>
        <v>2</v>
      </c>
      <c r="E682" s="294" t="s">
        <v>971</v>
      </c>
      <c r="F682" s="295" t="s">
        <v>605</v>
      </c>
      <c r="G682" s="296" t="s">
        <v>513</v>
      </c>
      <c r="H682" s="731" t="s">
        <v>390</v>
      </c>
      <c r="I682" s="297" t="str">
        <f t="shared" si="95"/>
        <v>speellokaal</v>
      </c>
      <c r="J682" s="295" t="s">
        <v>462</v>
      </c>
      <c r="K682" s="298">
        <v>177.28</v>
      </c>
      <c r="L682" s="298"/>
      <c r="M682" s="299">
        <v>8200</v>
      </c>
      <c r="N682" s="300">
        <f t="shared" si="90"/>
        <v>200</v>
      </c>
      <c r="O682" s="484">
        <v>1</v>
      </c>
      <c r="P682" s="484">
        <v>1</v>
      </c>
      <c r="Q682" s="292">
        <f t="shared" si="91"/>
        <v>0</v>
      </c>
      <c r="R682" s="292">
        <f t="shared" si="92"/>
        <v>0</v>
      </c>
      <c r="S682" s="301">
        <f t="shared" si="96"/>
        <v>0</v>
      </c>
      <c r="T682" s="301">
        <f t="shared" si="97"/>
        <v>0</v>
      </c>
      <c r="U682" s="771" t="str">
        <f t="shared" si="89"/>
        <v>L</v>
      </c>
      <c r="V682" s="303"/>
      <c r="W682" s="304">
        <f>(Q682+R682)*'1.0-Contractblad'!$L$37</f>
        <v>0</v>
      </c>
      <c r="X682" s="304">
        <f ca="1">VLOOKUP(E682,'1.1a-Jaarprijzen'!$B$35:$Q$57,16,FALSE)*K682</f>
        <v>0</v>
      </c>
      <c r="Z682" s="773">
        <f t="shared" si="93"/>
        <v>35456</v>
      </c>
      <c r="AA682" s="492" t="str">
        <f t="shared" si="94"/>
        <v>8200-200</v>
      </c>
    </row>
    <row r="683" spans="2:27" s="490" customFormat="1" ht="15">
      <c r="B683" s="330"/>
      <c r="C683" s="331"/>
      <c r="D683" s="295">
        <f>VLOOKUP(E683,'1.1a-Jaarprijzen'!$B$13:$G$32,6,FALSE)</f>
        <v>2</v>
      </c>
      <c r="E683" s="294" t="s">
        <v>971</v>
      </c>
      <c r="F683" s="295" t="s">
        <v>605</v>
      </c>
      <c r="G683" s="296" t="s">
        <v>511</v>
      </c>
      <c r="H683" s="731" t="s">
        <v>689</v>
      </c>
      <c r="I683" s="297" t="str">
        <f t="shared" si="95"/>
        <v>speellokaal</v>
      </c>
      <c r="J683" s="295" t="s">
        <v>462</v>
      </c>
      <c r="K683" s="298">
        <v>128.05000000000001</v>
      </c>
      <c r="L683" s="298"/>
      <c r="M683" s="299">
        <v>8200</v>
      </c>
      <c r="N683" s="300">
        <f t="shared" si="90"/>
        <v>200</v>
      </c>
      <c r="O683" s="484">
        <v>1</v>
      </c>
      <c r="P683" s="484">
        <v>1</v>
      </c>
      <c r="Q683" s="292">
        <f t="shared" si="91"/>
        <v>0</v>
      </c>
      <c r="R683" s="292">
        <f t="shared" si="92"/>
        <v>0</v>
      </c>
      <c r="S683" s="301">
        <f t="shared" si="96"/>
        <v>0</v>
      </c>
      <c r="T683" s="301">
        <f t="shared" si="97"/>
        <v>0</v>
      </c>
      <c r="U683" s="771" t="str">
        <f t="shared" si="89"/>
        <v>L</v>
      </c>
      <c r="V683" s="303"/>
      <c r="W683" s="304">
        <f>(Q683+R683)*'1.0-Contractblad'!$L$37</f>
        <v>0</v>
      </c>
      <c r="X683" s="304">
        <f ca="1">VLOOKUP(E683,'1.1a-Jaarprijzen'!$B$35:$Q$57,16,FALSE)*K683</f>
        <v>0</v>
      </c>
      <c r="Z683" s="773">
        <f t="shared" si="93"/>
        <v>25610.000000000004</v>
      </c>
      <c r="AA683" s="492" t="str">
        <f t="shared" si="94"/>
        <v>8200-200</v>
      </c>
    </row>
    <row r="684" spans="2:27" s="490" customFormat="1" ht="15">
      <c r="B684" s="330"/>
      <c r="C684" s="331"/>
      <c r="D684" s="295">
        <f>VLOOKUP(E684,'1.1a-Jaarprijzen'!$B$13:$G$32,6,FALSE)</f>
        <v>2</v>
      </c>
      <c r="E684" s="294" t="s">
        <v>971</v>
      </c>
      <c r="F684" s="295"/>
      <c r="G684" s="296" t="s">
        <v>868</v>
      </c>
      <c r="H684" s="731" t="s">
        <v>796</v>
      </c>
      <c r="I684" s="297" t="str">
        <f t="shared" si="95"/>
        <v>aula, gemeenschappelijke ruimte, bibliotheek</v>
      </c>
      <c r="J684" s="295" t="s">
        <v>696</v>
      </c>
      <c r="K684" s="298">
        <v>61.8</v>
      </c>
      <c r="L684" s="298"/>
      <c r="M684" s="299">
        <v>2200</v>
      </c>
      <c r="N684" s="300">
        <f t="shared" si="90"/>
        <v>200</v>
      </c>
      <c r="O684" s="484">
        <v>1</v>
      </c>
      <c r="P684" s="484">
        <v>1</v>
      </c>
      <c r="Q684" s="292">
        <f t="shared" si="91"/>
        <v>0</v>
      </c>
      <c r="R684" s="292">
        <f t="shared" si="92"/>
        <v>0</v>
      </c>
      <c r="S684" s="301">
        <f t="shared" si="96"/>
        <v>0</v>
      </c>
      <c r="T684" s="301">
        <f t="shared" si="97"/>
        <v>0</v>
      </c>
      <c r="U684" s="771" t="str">
        <f t="shared" ref="U684:U724" si="98">IF(M684="","",VLOOKUP(M684,Kengetal,14,FALSE))</f>
        <v>V</v>
      </c>
      <c r="V684" s="303"/>
      <c r="W684" s="304">
        <f>(Q684+R684)*'1.0-Contractblad'!$L$37</f>
        <v>0</v>
      </c>
      <c r="X684" s="304">
        <f ca="1">VLOOKUP(E684,'1.1a-Jaarprijzen'!$B$35:$Q$57,16,FALSE)*K684</f>
        <v>0</v>
      </c>
      <c r="Z684" s="773">
        <f t="shared" si="93"/>
        <v>12360</v>
      </c>
      <c r="AA684" s="492" t="str">
        <f t="shared" si="94"/>
        <v>2200-200</v>
      </c>
    </row>
    <row r="685" spans="2:27" s="490" customFormat="1" ht="15">
      <c r="B685" s="330"/>
      <c r="C685" s="331"/>
      <c r="D685" s="295">
        <f>VLOOKUP(E685,'1.1a-Jaarprijzen'!$B$13:$G$32,6,FALSE)</f>
        <v>2</v>
      </c>
      <c r="E685" s="294" t="s">
        <v>971</v>
      </c>
      <c r="F685" s="295"/>
      <c r="G685" s="296" t="s">
        <v>554</v>
      </c>
      <c r="H685" s="731" t="s">
        <v>982</v>
      </c>
      <c r="I685" s="297" t="str">
        <f t="shared" si="95"/>
        <v>sanitaire ruimte (toilet-/doucheruimte)</v>
      </c>
      <c r="J685" s="295" t="s">
        <v>465</v>
      </c>
      <c r="K685" s="298">
        <v>5.26</v>
      </c>
      <c r="L685" s="298"/>
      <c r="M685" s="299">
        <v>4200</v>
      </c>
      <c r="N685" s="300">
        <f t="shared" ref="N685:N724" si="99">VLOOKUP(M685,Kengetal,3,FALSE)</f>
        <v>200</v>
      </c>
      <c r="O685" s="484">
        <v>1</v>
      </c>
      <c r="P685" s="484">
        <v>1</v>
      </c>
      <c r="Q685" s="292">
        <f t="shared" ref="Q685:Q724" si="100">S685*K685*O685</f>
        <v>0</v>
      </c>
      <c r="R685" s="292">
        <f t="shared" ref="R685:R724" si="101">T685*K685*P685</f>
        <v>0</v>
      </c>
      <c r="S685" s="301">
        <f t="shared" si="96"/>
        <v>0</v>
      </c>
      <c r="T685" s="301">
        <f t="shared" si="97"/>
        <v>0</v>
      </c>
      <c r="U685" s="771" t="str">
        <f t="shared" si="98"/>
        <v>S</v>
      </c>
      <c r="V685" s="303"/>
      <c r="W685" s="304">
        <f>(Q685+R685)*'1.0-Contractblad'!$L$37</f>
        <v>0</v>
      </c>
      <c r="X685" s="304">
        <f ca="1">VLOOKUP(E685,'1.1a-Jaarprijzen'!$B$35:$Q$57,16,FALSE)*K685</f>
        <v>0</v>
      </c>
      <c r="Z685" s="773">
        <f t="shared" ref="Z685:Z724" si="102">K685*N685</f>
        <v>1052</v>
      </c>
      <c r="AA685" s="492" t="str">
        <f t="shared" ref="AA685:AA724" si="103">CONCATENATE(M685,"-",N685)</f>
        <v>4200-200</v>
      </c>
    </row>
    <row r="686" spans="2:27" s="490" customFormat="1" ht="15">
      <c r="B686" s="330"/>
      <c r="C686" s="331"/>
      <c r="D686" s="295">
        <f>VLOOKUP(E686,'1.1a-Jaarprijzen'!$B$13:$G$32,6,FALSE)</f>
        <v>2</v>
      </c>
      <c r="E686" s="294" t="s">
        <v>971</v>
      </c>
      <c r="F686" s="295"/>
      <c r="G686" s="296" t="s">
        <v>983</v>
      </c>
      <c r="H686" s="731" t="s">
        <v>417</v>
      </c>
      <c r="I686" s="297" t="str">
        <f t="shared" si="95"/>
        <v>lift</v>
      </c>
      <c r="J686" s="295" t="s">
        <v>696</v>
      </c>
      <c r="K686" s="298">
        <v>4</v>
      </c>
      <c r="L686" s="298"/>
      <c r="M686" s="299">
        <v>10040</v>
      </c>
      <c r="N686" s="300">
        <f t="shared" si="99"/>
        <v>40</v>
      </c>
      <c r="O686" s="484">
        <v>1</v>
      </c>
      <c r="P686" s="484">
        <v>1</v>
      </c>
      <c r="Q686" s="292">
        <f t="shared" si="100"/>
        <v>0</v>
      </c>
      <c r="R686" s="292">
        <f t="shared" si="101"/>
        <v>0</v>
      </c>
      <c r="S686" s="301">
        <f t="shared" si="96"/>
        <v>0</v>
      </c>
      <c r="T686" s="301">
        <f t="shared" si="97"/>
        <v>0</v>
      </c>
      <c r="U686" s="771" t="str">
        <f t="shared" si="98"/>
        <v>V</v>
      </c>
      <c r="V686" s="303"/>
      <c r="W686" s="304">
        <f>(Q686+R686)*'1.0-Contractblad'!$L$37</f>
        <v>0</v>
      </c>
      <c r="X686" s="304">
        <f ca="1">VLOOKUP(E686,'1.1a-Jaarprijzen'!$B$35:$Q$57,16,FALSE)*K686</f>
        <v>0</v>
      </c>
      <c r="Z686" s="773">
        <f t="shared" si="102"/>
        <v>160</v>
      </c>
      <c r="AA686" s="492" t="str">
        <f t="shared" si="103"/>
        <v>10040-40</v>
      </c>
    </row>
    <row r="687" spans="2:27" s="490" customFormat="1" ht="15">
      <c r="B687" s="330"/>
      <c r="C687" s="331"/>
      <c r="D687" s="295">
        <f>VLOOKUP(E687,'1.1a-Jaarprijzen'!$B$13:$G$32,6,FALSE)</f>
        <v>2</v>
      </c>
      <c r="E687" s="294" t="s">
        <v>971</v>
      </c>
      <c r="F687" s="295"/>
      <c r="G687" s="296" t="s">
        <v>984</v>
      </c>
      <c r="H687" s="731" t="s">
        <v>417</v>
      </c>
      <c r="I687" s="297" t="str">
        <f t="shared" si="95"/>
        <v>lift</v>
      </c>
      <c r="J687" s="295" t="s">
        <v>696</v>
      </c>
      <c r="K687" s="298">
        <v>3.94</v>
      </c>
      <c r="L687" s="298"/>
      <c r="M687" s="299">
        <v>10040</v>
      </c>
      <c r="N687" s="300">
        <f t="shared" si="99"/>
        <v>40</v>
      </c>
      <c r="O687" s="484">
        <v>1</v>
      </c>
      <c r="P687" s="484">
        <v>1</v>
      </c>
      <c r="Q687" s="292">
        <f t="shared" si="100"/>
        <v>0</v>
      </c>
      <c r="R687" s="292">
        <f t="shared" si="101"/>
        <v>0</v>
      </c>
      <c r="S687" s="301">
        <f t="shared" si="96"/>
        <v>0</v>
      </c>
      <c r="T687" s="301">
        <f t="shared" si="97"/>
        <v>0</v>
      </c>
      <c r="U687" s="771" t="str">
        <f t="shared" si="98"/>
        <v>V</v>
      </c>
      <c r="V687" s="303"/>
      <c r="W687" s="304">
        <f>(Q687+R687)*'1.0-Contractblad'!$L$37</f>
        <v>0</v>
      </c>
      <c r="X687" s="304">
        <f ca="1">VLOOKUP(E687,'1.1a-Jaarprijzen'!$B$35:$Q$57,16,FALSE)*K687</f>
        <v>0</v>
      </c>
      <c r="Z687" s="773">
        <f t="shared" si="102"/>
        <v>157.6</v>
      </c>
      <c r="AA687" s="492" t="str">
        <f t="shared" si="103"/>
        <v>10040-40</v>
      </c>
    </row>
    <row r="688" spans="2:27" s="490" customFormat="1" ht="15">
      <c r="B688" s="330"/>
      <c r="C688" s="331"/>
      <c r="D688" s="295">
        <f>VLOOKUP(E688,'1.1a-Jaarprijzen'!$B$13:$G$32,6,FALSE)</f>
        <v>2</v>
      </c>
      <c r="E688" s="294" t="s">
        <v>971</v>
      </c>
      <c r="F688" s="295"/>
      <c r="G688" s="296" t="s">
        <v>985</v>
      </c>
      <c r="H688" s="731" t="s">
        <v>417</v>
      </c>
      <c r="I688" s="297" t="str">
        <f t="shared" si="95"/>
        <v>lift</v>
      </c>
      <c r="J688" s="295" t="s">
        <v>696</v>
      </c>
      <c r="K688" s="298">
        <v>3.92</v>
      </c>
      <c r="L688" s="298"/>
      <c r="M688" s="299">
        <v>10040</v>
      </c>
      <c r="N688" s="300">
        <f t="shared" si="99"/>
        <v>40</v>
      </c>
      <c r="O688" s="484">
        <v>1</v>
      </c>
      <c r="P688" s="484">
        <v>1</v>
      </c>
      <c r="Q688" s="292">
        <f t="shared" si="100"/>
        <v>0</v>
      </c>
      <c r="R688" s="292">
        <f t="shared" si="101"/>
        <v>0</v>
      </c>
      <c r="S688" s="301">
        <f t="shared" si="96"/>
        <v>0</v>
      </c>
      <c r="T688" s="301">
        <f t="shared" si="97"/>
        <v>0</v>
      </c>
      <c r="U688" s="771" t="str">
        <f t="shared" si="98"/>
        <v>V</v>
      </c>
      <c r="V688" s="303"/>
      <c r="W688" s="304">
        <f>(Q688+R688)*'1.0-Contractblad'!$L$37</f>
        <v>0</v>
      </c>
      <c r="X688" s="304">
        <f ca="1">VLOOKUP(E688,'1.1a-Jaarprijzen'!$B$35:$Q$57,16,FALSE)*K688</f>
        <v>0</v>
      </c>
      <c r="Z688" s="773">
        <f t="shared" si="102"/>
        <v>156.80000000000001</v>
      </c>
      <c r="AA688" s="492" t="str">
        <f t="shared" si="103"/>
        <v>10040-40</v>
      </c>
    </row>
    <row r="689" spans="2:27" s="490" customFormat="1" ht="15">
      <c r="B689" s="330"/>
      <c r="C689" s="331"/>
      <c r="D689" s="295">
        <f>VLOOKUP(E689,'1.1a-Jaarprijzen'!$B$13:$G$32,6,FALSE)</f>
        <v>2</v>
      </c>
      <c r="E689" s="294" t="s">
        <v>971</v>
      </c>
      <c r="F689" s="295"/>
      <c r="G689" s="296" t="s">
        <v>986</v>
      </c>
      <c r="H689" s="731" t="s">
        <v>573</v>
      </c>
      <c r="I689" s="297" t="str">
        <f t="shared" si="95"/>
        <v>kleedruimten</v>
      </c>
      <c r="J689" s="295" t="s">
        <v>696</v>
      </c>
      <c r="K689" s="298">
        <v>16.079999999999998</v>
      </c>
      <c r="L689" s="298"/>
      <c r="M689" s="299">
        <v>13200</v>
      </c>
      <c r="N689" s="300">
        <f t="shared" si="99"/>
        <v>200</v>
      </c>
      <c r="O689" s="484">
        <v>1</v>
      </c>
      <c r="P689" s="484">
        <v>1</v>
      </c>
      <c r="Q689" s="292">
        <f t="shared" si="100"/>
        <v>0</v>
      </c>
      <c r="R689" s="292">
        <f t="shared" si="101"/>
        <v>0</v>
      </c>
      <c r="S689" s="301">
        <f t="shared" si="96"/>
        <v>0</v>
      </c>
      <c r="T689" s="301">
        <f t="shared" si="97"/>
        <v>0</v>
      </c>
      <c r="U689" s="771" t="str">
        <f t="shared" si="98"/>
        <v>V</v>
      </c>
      <c r="V689" s="303"/>
      <c r="W689" s="304">
        <f>(Q689+R689)*'1.0-Contractblad'!$L$37</f>
        <v>0</v>
      </c>
      <c r="X689" s="304">
        <f ca="1">VLOOKUP(E689,'1.1a-Jaarprijzen'!$B$35:$Q$57,16,FALSE)*K689</f>
        <v>0</v>
      </c>
      <c r="Z689" s="773">
        <f t="shared" si="102"/>
        <v>3215.9999999999995</v>
      </c>
      <c r="AA689" s="492" t="str">
        <f t="shared" si="103"/>
        <v>13200-200</v>
      </c>
    </row>
    <row r="690" spans="2:27" s="490" customFormat="1" ht="15">
      <c r="B690" s="330"/>
      <c r="C690" s="331"/>
      <c r="D690" s="295">
        <f>VLOOKUP(E690,'1.1a-Jaarprijzen'!$B$13:$G$32,6,FALSE)</f>
        <v>2</v>
      </c>
      <c r="E690" s="294" t="s">
        <v>971</v>
      </c>
      <c r="F690" s="295"/>
      <c r="G690" s="296" t="s">
        <v>987</v>
      </c>
      <c r="H690" s="731" t="s">
        <v>573</v>
      </c>
      <c r="I690" s="297" t="str">
        <f t="shared" si="95"/>
        <v>kleedruimten</v>
      </c>
      <c r="J690" s="295" t="s">
        <v>696</v>
      </c>
      <c r="K690" s="298">
        <v>16.04</v>
      </c>
      <c r="L690" s="298"/>
      <c r="M690" s="299">
        <v>13200</v>
      </c>
      <c r="N690" s="300">
        <f t="shared" si="99"/>
        <v>200</v>
      </c>
      <c r="O690" s="484">
        <v>1</v>
      </c>
      <c r="P690" s="484">
        <v>1</v>
      </c>
      <c r="Q690" s="292">
        <f t="shared" si="100"/>
        <v>0</v>
      </c>
      <c r="R690" s="292">
        <f t="shared" si="101"/>
        <v>0</v>
      </c>
      <c r="S690" s="301">
        <f t="shared" si="96"/>
        <v>0</v>
      </c>
      <c r="T690" s="301">
        <f t="shared" si="97"/>
        <v>0</v>
      </c>
      <c r="U690" s="771" t="str">
        <f t="shared" si="98"/>
        <v>V</v>
      </c>
      <c r="V690" s="303"/>
      <c r="W690" s="304">
        <f>(Q690+R690)*'1.0-Contractblad'!$L$37</f>
        <v>0</v>
      </c>
      <c r="X690" s="304">
        <f ca="1">VLOOKUP(E690,'1.1a-Jaarprijzen'!$B$35:$Q$57,16,FALSE)*K690</f>
        <v>0</v>
      </c>
      <c r="Z690" s="773">
        <f t="shared" si="102"/>
        <v>3208</v>
      </c>
      <c r="AA690" s="492" t="str">
        <f t="shared" si="103"/>
        <v>13200-200</v>
      </c>
    </row>
    <row r="691" spans="2:27" s="490" customFormat="1" ht="15">
      <c r="B691" s="330"/>
      <c r="C691" s="331"/>
      <c r="D691" s="295">
        <f>VLOOKUP(E691,'1.1a-Jaarprijzen'!$B$13:$G$32,6,FALSE)</f>
        <v>2</v>
      </c>
      <c r="E691" s="294" t="s">
        <v>971</v>
      </c>
      <c r="F691" s="295"/>
      <c r="G691" s="296" t="s">
        <v>988</v>
      </c>
      <c r="H691" s="731" t="s">
        <v>672</v>
      </c>
      <c r="I691" s="297" t="str">
        <f t="shared" si="95"/>
        <v>entree, gang, hal, repro</v>
      </c>
      <c r="J691" s="295" t="s">
        <v>696</v>
      </c>
      <c r="K691" s="298">
        <v>10.62</v>
      </c>
      <c r="L691" s="298"/>
      <c r="M691" s="299">
        <v>3200</v>
      </c>
      <c r="N691" s="300">
        <f t="shared" si="99"/>
        <v>200</v>
      </c>
      <c r="O691" s="484">
        <v>1</v>
      </c>
      <c r="P691" s="484">
        <v>1</v>
      </c>
      <c r="Q691" s="292">
        <f t="shared" si="100"/>
        <v>0</v>
      </c>
      <c r="R691" s="292">
        <f t="shared" si="101"/>
        <v>0</v>
      </c>
      <c r="S691" s="301">
        <f t="shared" si="96"/>
        <v>0</v>
      </c>
      <c r="T691" s="301">
        <f t="shared" si="97"/>
        <v>0</v>
      </c>
      <c r="U691" s="771" t="str">
        <f t="shared" si="98"/>
        <v>V</v>
      </c>
      <c r="V691" s="303"/>
      <c r="W691" s="304">
        <f>(Q691+R691)*'1.0-Contractblad'!$L$37</f>
        <v>0</v>
      </c>
      <c r="X691" s="304">
        <f ca="1">VLOOKUP(E691,'1.1a-Jaarprijzen'!$B$35:$Q$57,16,FALSE)*K691</f>
        <v>0</v>
      </c>
      <c r="Z691" s="773">
        <f t="shared" si="102"/>
        <v>2124</v>
      </c>
      <c r="AA691" s="492" t="str">
        <f t="shared" si="103"/>
        <v>3200-200</v>
      </c>
    </row>
    <row r="692" spans="2:27" s="490" customFormat="1" ht="15">
      <c r="B692" s="330"/>
      <c r="C692" s="331"/>
      <c r="D692" s="295">
        <f>VLOOKUP(E692,'1.1a-Jaarprijzen'!$B$13:$G$32,6,FALSE)</f>
        <v>2</v>
      </c>
      <c r="E692" s="294" t="s">
        <v>971</v>
      </c>
      <c r="F692" s="295"/>
      <c r="G692" s="296" t="s">
        <v>989</v>
      </c>
      <c r="H692" s="731" t="s">
        <v>387</v>
      </c>
      <c r="I692" s="297" t="str">
        <f t="shared" si="95"/>
        <v>entree, gang, hal, repro</v>
      </c>
      <c r="J692" s="295" t="s">
        <v>696</v>
      </c>
      <c r="K692" s="298">
        <v>40.090000000000003</v>
      </c>
      <c r="L692" s="298"/>
      <c r="M692" s="299">
        <v>3200</v>
      </c>
      <c r="N692" s="300">
        <f t="shared" si="99"/>
        <v>200</v>
      </c>
      <c r="O692" s="484">
        <v>1</v>
      </c>
      <c r="P692" s="484">
        <v>1</v>
      </c>
      <c r="Q692" s="292">
        <f t="shared" si="100"/>
        <v>0</v>
      </c>
      <c r="R692" s="292">
        <f t="shared" si="101"/>
        <v>0</v>
      </c>
      <c r="S692" s="301">
        <f t="shared" si="96"/>
        <v>0</v>
      </c>
      <c r="T692" s="301">
        <f t="shared" si="97"/>
        <v>0</v>
      </c>
      <c r="U692" s="771" t="str">
        <f t="shared" si="98"/>
        <v>V</v>
      </c>
      <c r="V692" s="303"/>
      <c r="W692" s="304">
        <f>(Q692+R692)*'1.0-Contractblad'!$L$37</f>
        <v>0</v>
      </c>
      <c r="X692" s="304">
        <f ca="1">VLOOKUP(E692,'1.1a-Jaarprijzen'!$B$35:$Q$57,16,FALSE)*K692</f>
        <v>0</v>
      </c>
      <c r="Z692" s="773">
        <f t="shared" si="102"/>
        <v>8018.0000000000009</v>
      </c>
      <c r="AA692" s="492" t="str">
        <f t="shared" si="103"/>
        <v>3200-200</v>
      </c>
    </row>
    <row r="693" spans="2:27" s="490" customFormat="1" ht="15">
      <c r="B693" s="330"/>
      <c r="C693" s="331"/>
      <c r="D693" s="295">
        <f>VLOOKUP(E693,'1.1a-Jaarprijzen'!$B$13:$G$32,6,FALSE)</f>
        <v>2</v>
      </c>
      <c r="E693" s="294" t="s">
        <v>971</v>
      </c>
      <c r="F693" s="295"/>
      <c r="G693" s="296" t="s">
        <v>990</v>
      </c>
      <c r="H693" s="731" t="s">
        <v>387</v>
      </c>
      <c r="I693" s="297" t="str">
        <f t="shared" si="95"/>
        <v>entree, gang, hal, repro</v>
      </c>
      <c r="J693" s="295" t="s">
        <v>696</v>
      </c>
      <c r="K693" s="298">
        <v>25.55</v>
      </c>
      <c r="L693" s="298"/>
      <c r="M693" s="299">
        <v>3200</v>
      </c>
      <c r="N693" s="300">
        <f t="shared" si="99"/>
        <v>200</v>
      </c>
      <c r="O693" s="484">
        <v>1</v>
      </c>
      <c r="P693" s="484">
        <v>1</v>
      </c>
      <c r="Q693" s="292">
        <f t="shared" si="100"/>
        <v>0</v>
      </c>
      <c r="R693" s="292">
        <f t="shared" si="101"/>
        <v>0</v>
      </c>
      <c r="S693" s="301">
        <f t="shared" si="96"/>
        <v>0</v>
      </c>
      <c r="T693" s="301">
        <f t="shared" si="97"/>
        <v>0</v>
      </c>
      <c r="U693" s="771" t="str">
        <f t="shared" si="98"/>
        <v>V</v>
      </c>
      <c r="V693" s="303"/>
      <c r="W693" s="304">
        <f>(Q693+R693)*'1.0-Contractblad'!$L$37</f>
        <v>0</v>
      </c>
      <c r="X693" s="304">
        <f ca="1">VLOOKUP(E693,'1.1a-Jaarprijzen'!$B$35:$Q$57,16,FALSE)*K693</f>
        <v>0</v>
      </c>
      <c r="Z693" s="773">
        <f t="shared" si="102"/>
        <v>5110</v>
      </c>
      <c r="AA693" s="492" t="str">
        <f t="shared" si="103"/>
        <v>3200-200</v>
      </c>
    </row>
    <row r="694" spans="2:27" s="490" customFormat="1" ht="15">
      <c r="B694" s="330"/>
      <c r="C694" s="331"/>
      <c r="D694" s="295">
        <f>VLOOKUP(E694,'1.1a-Jaarprijzen'!$B$13:$G$32,6,FALSE)</f>
        <v>2</v>
      </c>
      <c r="E694" s="294" t="s">
        <v>971</v>
      </c>
      <c r="F694" s="295"/>
      <c r="G694" s="296" t="s">
        <v>991</v>
      </c>
      <c r="H694" s="731" t="s">
        <v>387</v>
      </c>
      <c r="I694" s="297" t="str">
        <f t="shared" si="95"/>
        <v>entree, gang, hal, repro</v>
      </c>
      <c r="J694" s="295" t="s">
        <v>696</v>
      </c>
      <c r="K694" s="298">
        <v>27.69</v>
      </c>
      <c r="L694" s="298"/>
      <c r="M694" s="299">
        <v>3200</v>
      </c>
      <c r="N694" s="300">
        <f t="shared" si="99"/>
        <v>200</v>
      </c>
      <c r="O694" s="484">
        <v>1</v>
      </c>
      <c r="P694" s="484">
        <v>1</v>
      </c>
      <c r="Q694" s="292">
        <f t="shared" si="100"/>
        <v>0</v>
      </c>
      <c r="R694" s="292">
        <f t="shared" si="101"/>
        <v>0</v>
      </c>
      <c r="S694" s="301">
        <f t="shared" si="96"/>
        <v>0</v>
      </c>
      <c r="T694" s="301">
        <f t="shared" si="97"/>
        <v>0</v>
      </c>
      <c r="U694" s="771" t="str">
        <f t="shared" si="98"/>
        <v>V</v>
      </c>
      <c r="V694" s="303"/>
      <c r="W694" s="304">
        <f>(Q694+R694)*'1.0-Contractblad'!$L$37</f>
        <v>0</v>
      </c>
      <c r="X694" s="304">
        <f ca="1">VLOOKUP(E694,'1.1a-Jaarprijzen'!$B$35:$Q$57,16,FALSE)*K694</f>
        <v>0</v>
      </c>
      <c r="Z694" s="773">
        <f t="shared" si="102"/>
        <v>5538</v>
      </c>
      <c r="AA694" s="492" t="str">
        <f t="shared" si="103"/>
        <v>3200-200</v>
      </c>
    </row>
    <row r="695" spans="2:27" s="490" customFormat="1" ht="15">
      <c r="B695" s="330"/>
      <c r="C695" s="331"/>
      <c r="D695" s="295">
        <f>VLOOKUP(E695,'1.1a-Jaarprijzen'!$B$13:$G$32,6,FALSE)</f>
        <v>2</v>
      </c>
      <c r="E695" s="294" t="s">
        <v>971</v>
      </c>
      <c r="F695" s="295"/>
      <c r="G695" s="296" t="s">
        <v>873</v>
      </c>
      <c r="H695" s="731" t="s">
        <v>393</v>
      </c>
      <c r="I695" s="297" t="str">
        <f t="shared" si="95"/>
        <v>entree, gang, hal, repro</v>
      </c>
      <c r="J695" s="295" t="s">
        <v>696</v>
      </c>
      <c r="K695" s="298">
        <v>29.95</v>
      </c>
      <c r="L695" s="298"/>
      <c r="M695" s="299">
        <v>3200</v>
      </c>
      <c r="N695" s="300">
        <f t="shared" si="99"/>
        <v>200</v>
      </c>
      <c r="O695" s="484">
        <v>1</v>
      </c>
      <c r="P695" s="484">
        <v>1</v>
      </c>
      <c r="Q695" s="292">
        <f t="shared" si="100"/>
        <v>0</v>
      </c>
      <c r="R695" s="292">
        <f t="shared" si="101"/>
        <v>0</v>
      </c>
      <c r="S695" s="301">
        <f t="shared" si="96"/>
        <v>0</v>
      </c>
      <c r="T695" s="301">
        <f t="shared" si="97"/>
        <v>0</v>
      </c>
      <c r="U695" s="771" t="str">
        <f t="shared" si="98"/>
        <v>V</v>
      </c>
      <c r="V695" s="303"/>
      <c r="W695" s="304">
        <f>(Q695+R695)*'1.0-Contractblad'!$L$37</f>
        <v>0</v>
      </c>
      <c r="X695" s="304">
        <f ca="1">VLOOKUP(E695,'1.1a-Jaarprijzen'!$B$35:$Q$57,16,FALSE)*K695</f>
        <v>0</v>
      </c>
      <c r="Z695" s="773">
        <f t="shared" si="102"/>
        <v>5990</v>
      </c>
      <c r="AA695" s="492" t="str">
        <f t="shared" si="103"/>
        <v>3200-200</v>
      </c>
    </row>
    <row r="696" spans="2:27" s="490" customFormat="1" ht="15">
      <c r="B696" s="330"/>
      <c r="C696" s="331"/>
      <c r="D696" s="295">
        <f>VLOOKUP(E696,'1.1a-Jaarprijzen'!$B$13:$G$32,6,FALSE)</f>
        <v>2</v>
      </c>
      <c r="E696" s="294" t="s">
        <v>971</v>
      </c>
      <c r="F696" s="295"/>
      <c r="G696" s="296" t="s">
        <v>992</v>
      </c>
      <c r="H696" s="731" t="s">
        <v>575</v>
      </c>
      <c r="I696" s="297" t="str">
        <f t="shared" ref="I696:I724" si="104">IF($M696="",0,VLOOKUP($M696,Kengetal,4,FALSE))</f>
        <v>sanitaire ruimte (toilet-/doucheruimte)</v>
      </c>
      <c r="J696" s="295" t="s">
        <v>465</v>
      </c>
      <c r="K696" s="298">
        <v>10.97</v>
      </c>
      <c r="L696" s="298"/>
      <c r="M696" s="299">
        <v>4200</v>
      </c>
      <c r="N696" s="300">
        <f t="shared" si="99"/>
        <v>200</v>
      </c>
      <c r="O696" s="484">
        <v>1</v>
      </c>
      <c r="P696" s="484">
        <v>1</v>
      </c>
      <c r="Q696" s="292">
        <f t="shared" si="100"/>
        <v>0</v>
      </c>
      <c r="R696" s="292">
        <f t="shared" si="101"/>
        <v>0</v>
      </c>
      <c r="S696" s="301">
        <f t="shared" si="96"/>
        <v>0</v>
      </c>
      <c r="T696" s="301">
        <f t="shared" si="97"/>
        <v>0</v>
      </c>
      <c r="U696" s="771" t="str">
        <f t="shared" si="98"/>
        <v>S</v>
      </c>
      <c r="V696" s="303"/>
      <c r="W696" s="304">
        <f>(Q696+R696)*'1.0-Contractblad'!$L$37</f>
        <v>0</v>
      </c>
      <c r="X696" s="304">
        <f ca="1">VLOOKUP(E696,'1.1a-Jaarprijzen'!$B$35:$Q$57,16,FALSE)*K696</f>
        <v>0</v>
      </c>
      <c r="Z696" s="773">
        <f t="shared" si="102"/>
        <v>2194</v>
      </c>
      <c r="AA696" s="492" t="str">
        <f t="shared" si="103"/>
        <v>4200-200</v>
      </c>
    </row>
    <row r="697" spans="2:27" s="490" customFormat="1" ht="15">
      <c r="B697" s="330"/>
      <c r="C697" s="331"/>
      <c r="D697" s="295">
        <f>VLOOKUP(E697,'1.1a-Jaarprijzen'!$B$13:$G$32,6,FALSE)</f>
        <v>2</v>
      </c>
      <c r="E697" s="294" t="s">
        <v>971</v>
      </c>
      <c r="F697" s="295"/>
      <c r="G697" s="296" t="s">
        <v>993</v>
      </c>
      <c r="H697" s="731" t="s">
        <v>575</v>
      </c>
      <c r="I697" s="297" t="str">
        <f t="shared" si="104"/>
        <v>sanitaire ruimte (toilet-/doucheruimte)</v>
      </c>
      <c r="J697" s="295" t="s">
        <v>465</v>
      </c>
      <c r="K697" s="298">
        <v>9.91</v>
      </c>
      <c r="L697" s="298"/>
      <c r="M697" s="299">
        <v>4200</v>
      </c>
      <c r="N697" s="300">
        <f t="shared" si="99"/>
        <v>200</v>
      </c>
      <c r="O697" s="484">
        <v>1</v>
      </c>
      <c r="P697" s="484">
        <v>1</v>
      </c>
      <c r="Q697" s="292">
        <f t="shared" si="100"/>
        <v>0</v>
      </c>
      <c r="R697" s="292">
        <f t="shared" si="101"/>
        <v>0</v>
      </c>
      <c r="S697" s="301">
        <f t="shared" si="96"/>
        <v>0</v>
      </c>
      <c r="T697" s="301">
        <f t="shared" si="97"/>
        <v>0</v>
      </c>
      <c r="U697" s="771" t="str">
        <f t="shared" si="98"/>
        <v>S</v>
      </c>
      <c r="V697" s="303"/>
      <c r="W697" s="304">
        <f>(Q697+R697)*'1.0-Contractblad'!$L$37</f>
        <v>0</v>
      </c>
      <c r="X697" s="304">
        <f ca="1">VLOOKUP(E697,'1.1a-Jaarprijzen'!$B$35:$Q$57,16,FALSE)*K697</f>
        <v>0</v>
      </c>
      <c r="Z697" s="773">
        <f t="shared" si="102"/>
        <v>1982</v>
      </c>
      <c r="AA697" s="492" t="str">
        <f t="shared" si="103"/>
        <v>4200-200</v>
      </c>
    </row>
    <row r="698" spans="2:27" s="490" customFormat="1" ht="15">
      <c r="B698" s="330"/>
      <c r="C698" s="331"/>
      <c r="D698" s="295">
        <f>VLOOKUP(E698,'1.1a-Jaarprijzen'!$B$13:$G$32,6,FALSE)</f>
        <v>2</v>
      </c>
      <c r="E698" s="294" t="s">
        <v>971</v>
      </c>
      <c r="F698" s="295"/>
      <c r="G698" s="296" t="s">
        <v>565</v>
      </c>
      <c r="H698" s="731" t="s">
        <v>561</v>
      </c>
      <c r="I698" s="297" t="str">
        <f t="shared" si="104"/>
        <v>administratieve -,  vergaderruimte</v>
      </c>
      <c r="J698" s="295" t="s">
        <v>696</v>
      </c>
      <c r="K698" s="298">
        <v>58.95</v>
      </c>
      <c r="L698" s="298"/>
      <c r="M698" s="299">
        <v>1200</v>
      </c>
      <c r="N698" s="300">
        <f t="shared" si="99"/>
        <v>200</v>
      </c>
      <c r="O698" s="484">
        <v>1</v>
      </c>
      <c r="P698" s="484">
        <v>1</v>
      </c>
      <c r="Q698" s="292">
        <f t="shared" si="100"/>
        <v>0</v>
      </c>
      <c r="R698" s="292">
        <f t="shared" si="101"/>
        <v>0</v>
      </c>
      <c r="S698" s="301">
        <f t="shared" si="96"/>
        <v>0</v>
      </c>
      <c r="T698" s="301">
        <f t="shared" si="97"/>
        <v>0</v>
      </c>
      <c r="U698" s="771" t="str">
        <f t="shared" si="98"/>
        <v>V</v>
      </c>
      <c r="V698" s="303"/>
      <c r="W698" s="304">
        <f>(Q698+R698)*'1.0-Contractblad'!$L$37</f>
        <v>0</v>
      </c>
      <c r="X698" s="304">
        <f ca="1">VLOOKUP(E698,'1.1a-Jaarprijzen'!$B$35:$Q$57,16,FALSE)*K698</f>
        <v>0</v>
      </c>
      <c r="Z698" s="773">
        <f t="shared" si="102"/>
        <v>11790</v>
      </c>
      <c r="AA698" s="492" t="str">
        <f t="shared" si="103"/>
        <v>1200-200</v>
      </c>
    </row>
    <row r="699" spans="2:27" s="490" customFormat="1" ht="15">
      <c r="B699" s="330"/>
      <c r="C699" s="331"/>
      <c r="D699" s="295">
        <f>VLOOKUP(E699,'1.1a-Jaarprijzen'!$B$13:$G$32,6,FALSE)</f>
        <v>2</v>
      </c>
      <c r="E699" s="294" t="s">
        <v>971</v>
      </c>
      <c r="F699" s="295"/>
      <c r="G699" s="296" t="s">
        <v>994</v>
      </c>
      <c r="H699" s="731" t="s">
        <v>995</v>
      </c>
      <c r="I699" s="297" t="str">
        <f t="shared" si="104"/>
        <v>aula, gemeenschappelijke ruimte, bibliotheek</v>
      </c>
      <c r="J699" s="295" t="s">
        <v>696</v>
      </c>
      <c r="K699" s="298">
        <v>83.29</v>
      </c>
      <c r="L699" s="298"/>
      <c r="M699" s="299">
        <v>2200</v>
      </c>
      <c r="N699" s="300">
        <f t="shared" si="99"/>
        <v>200</v>
      </c>
      <c r="O699" s="484">
        <v>1</v>
      </c>
      <c r="P699" s="484">
        <v>1</v>
      </c>
      <c r="Q699" s="292">
        <f t="shared" si="100"/>
        <v>0</v>
      </c>
      <c r="R699" s="292">
        <f t="shared" si="101"/>
        <v>0</v>
      </c>
      <c r="S699" s="301">
        <f t="shared" si="96"/>
        <v>0</v>
      </c>
      <c r="T699" s="301">
        <f t="shared" si="97"/>
        <v>0</v>
      </c>
      <c r="U699" s="771" t="str">
        <f t="shared" si="98"/>
        <v>V</v>
      </c>
      <c r="V699" s="303"/>
      <c r="W699" s="304">
        <f>(Q699+R699)*'1.0-Contractblad'!$L$37</f>
        <v>0</v>
      </c>
      <c r="X699" s="304">
        <f ca="1">VLOOKUP(E699,'1.1a-Jaarprijzen'!$B$35:$Q$57,16,FALSE)*K699</f>
        <v>0</v>
      </c>
      <c r="Z699" s="773">
        <f t="shared" si="102"/>
        <v>16658</v>
      </c>
      <c r="AA699" s="492" t="str">
        <f t="shared" si="103"/>
        <v>2200-200</v>
      </c>
    </row>
    <row r="700" spans="2:27" s="490" customFormat="1" ht="15">
      <c r="B700" s="330"/>
      <c r="C700" s="331"/>
      <c r="D700" s="295">
        <f>VLOOKUP(E700,'1.1a-Jaarprijzen'!$B$13:$G$32,6,FALSE)</f>
        <v>2</v>
      </c>
      <c r="E700" s="294" t="s">
        <v>971</v>
      </c>
      <c r="F700" s="295"/>
      <c r="G700" s="296" t="s">
        <v>996</v>
      </c>
      <c r="H700" s="731" t="s">
        <v>391</v>
      </c>
      <c r="I700" s="297" t="str">
        <f t="shared" si="104"/>
        <v>niet van toepassing</v>
      </c>
      <c r="J700" s="295" t="s">
        <v>1015</v>
      </c>
      <c r="K700" s="298"/>
      <c r="L700" s="298">
        <v>9.99</v>
      </c>
      <c r="M700" s="299" t="s">
        <v>17</v>
      </c>
      <c r="N700" s="300">
        <f t="shared" si="99"/>
        <v>0</v>
      </c>
      <c r="O700" s="484">
        <v>1</v>
      </c>
      <c r="P700" s="484">
        <v>1</v>
      </c>
      <c r="Q700" s="292">
        <f t="shared" si="100"/>
        <v>0</v>
      </c>
      <c r="R700" s="292">
        <f t="shared" si="101"/>
        <v>0</v>
      </c>
      <c r="S700" s="301">
        <f t="shared" si="96"/>
        <v>0</v>
      </c>
      <c r="T700" s="301">
        <f t="shared" si="97"/>
        <v>0</v>
      </c>
      <c r="U700" s="771">
        <f t="shared" si="98"/>
        <v>0</v>
      </c>
      <c r="V700" s="303"/>
      <c r="W700" s="304">
        <f>(Q700+R700)*'1.0-Contractblad'!$L$37</f>
        <v>0</v>
      </c>
      <c r="X700" s="304">
        <f ca="1">VLOOKUP(E700,'1.1a-Jaarprijzen'!$B$35:$Q$57,16,FALSE)*K700</f>
        <v>0</v>
      </c>
      <c r="Z700" s="773">
        <f t="shared" si="102"/>
        <v>0</v>
      </c>
      <c r="AA700" s="492" t="str">
        <f t="shared" si="103"/>
        <v>nvt-0</v>
      </c>
    </row>
    <row r="701" spans="2:27" s="490" customFormat="1" ht="15">
      <c r="B701" s="330"/>
      <c r="C701" s="331"/>
      <c r="D701" s="295">
        <f>VLOOKUP(E701,'1.1a-Jaarprijzen'!$B$13:$G$32,6,FALSE)</f>
        <v>2</v>
      </c>
      <c r="E701" s="294" t="s">
        <v>971</v>
      </c>
      <c r="F701" s="295"/>
      <c r="G701" s="296" t="s">
        <v>997</v>
      </c>
      <c r="H701" s="731" t="s">
        <v>391</v>
      </c>
      <c r="I701" s="297" t="str">
        <f t="shared" si="104"/>
        <v>niet van toepassing</v>
      </c>
      <c r="J701" s="295" t="s">
        <v>1015</v>
      </c>
      <c r="K701" s="298"/>
      <c r="L701" s="298">
        <v>4.76</v>
      </c>
      <c r="M701" s="299" t="s">
        <v>17</v>
      </c>
      <c r="N701" s="300">
        <f t="shared" si="99"/>
        <v>0</v>
      </c>
      <c r="O701" s="484">
        <v>1</v>
      </c>
      <c r="P701" s="484">
        <v>1</v>
      </c>
      <c r="Q701" s="292">
        <f t="shared" si="100"/>
        <v>0</v>
      </c>
      <c r="R701" s="292">
        <f t="shared" si="101"/>
        <v>0</v>
      </c>
      <c r="S701" s="301">
        <f t="shared" si="96"/>
        <v>0</v>
      </c>
      <c r="T701" s="301">
        <f t="shared" si="97"/>
        <v>0</v>
      </c>
      <c r="U701" s="771">
        <f t="shared" si="98"/>
        <v>0</v>
      </c>
      <c r="V701" s="303"/>
      <c r="W701" s="304">
        <f>(Q701+R701)*'1.0-Contractblad'!$L$37</f>
        <v>0</v>
      </c>
      <c r="X701" s="304">
        <f ca="1">VLOOKUP(E701,'1.1a-Jaarprijzen'!$B$35:$Q$57,16,FALSE)*K701</f>
        <v>0</v>
      </c>
      <c r="Z701" s="773">
        <f t="shared" si="102"/>
        <v>0</v>
      </c>
      <c r="AA701" s="492" t="str">
        <f t="shared" si="103"/>
        <v>nvt-0</v>
      </c>
    </row>
    <row r="702" spans="2:27" s="490" customFormat="1" ht="15">
      <c r="B702" s="330"/>
      <c r="C702" s="331"/>
      <c r="D702" s="295">
        <f>VLOOKUP(E702,'1.1a-Jaarprijzen'!$B$13:$G$32,6,FALSE)</f>
        <v>2</v>
      </c>
      <c r="E702" s="294" t="s">
        <v>971</v>
      </c>
      <c r="F702" s="295"/>
      <c r="G702" s="296" t="s">
        <v>998</v>
      </c>
      <c r="H702" s="731" t="s">
        <v>391</v>
      </c>
      <c r="I702" s="297" t="str">
        <f t="shared" si="104"/>
        <v>niet van toepassing</v>
      </c>
      <c r="J702" s="295" t="s">
        <v>1015</v>
      </c>
      <c r="K702" s="298"/>
      <c r="L702" s="298">
        <v>4.87</v>
      </c>
      <c r="M702" s="299" t="s">
        <v>17</v>
      </c>
      <c r="N702" s="300">
        <f t="shared" si="99"/>
        <v>0</v>
      </c>
      <c r="O702" s="484">
        <v>1</v>
      </c>
      <c r="P702" s="484">
        <v>1</v>
      </c>
      <c r="Q702" s="292">
        <f t="shared" si="100"/>
        <v>0</v>
      </c>
      <c r="R702" s="292">
        <f t="shared" si="101"/>
        <v>0</v>
      </c>
      <c r="S702" s="301">
        <f t="shared" si="96"/>
        <v>0</v>
      </c>
      <c r="T702" s="301">
        <f t="shared" si="97"/>
        <v>0</v>
      </c>
      <c r="U702" s="771">
        <f t="shared" si="98"/>
        <v>0</v>
      </c>
      <c r="V702" s="303"/>
      <c r="W702" s="304">
        <f>(Q702+R702)*'1.0-Contractblad'!$L$37</f>
        <v>0</v>
      </c>
      <c r="X702" s="304">
        <f ca="1">VLOOKUP(E702,'1.1a-Jaarprijzen'!$B$35:$Q$57,16,FALSE)*K702</f>
        <v>0</v>
      </c>
      <c r="Z702" s="773">
        <f t="shared" si="102"/>
        <v>0</v>
      </c>
      <c r="AA702" s="492" t="str">
        <f t="shared" si="103"/>
        <v>nvt-0</v>
      </c>
    </row>
    <row r="703" spans="2:27" s="490" customFormat="1" ht="15">
      <c r="B703" s="330"/>
      <c r="C703" s="331"/>
      <c r="D703" s="295">
        <f>VLOOKUP(E703,'1.1a-Jaarprijzen'!$B$13:$G$32,6,FALSE)</f>
        <v>2</v>
      </c>
      <c r="E703" s="294" t="s">
        <v>971</v>
      </c>
      <c r="F703" s="295"/>
      <c r="G703" s="296" t="s">
        <v>999</v>
      </c>
      <c r="H703" s="731" t="s">
        <v>391</v>
      </c>
      <c r="I703" s="297" t="str">
        <f t="shared" si="104"/>
        <v>niet van toepassing</v>
      </c>
      <c r="J703" s="295" t="s">
        <v>1015</v>
      </c>
      <c r="K703" s="298"/>
      <c r="L703" s="298">
        <v>3.77</v>
      </c>
      <c r="M703" s="299" t="s">
        <v>17</v>
      </c>
      <c r="N703" s="300">
        <f t="shared" si="99"/>
        <v>0</v>
      </c>
      <c r="O703" s="484">
        <v>1</v>
      </c>
      <c r="P703" s="484">
        <v>1</v>
      </c>
      <c r="Q703" s="292">
        <f t="shared" si="100"/>
        <v>0</v>
      </c>
      <c r="R703" s="292">
        <f t="shared" si="101"/>
        <v>0</v>
      </c>
      <c r="S703" s="301">
        <f t="shared" si="96"/>
        <v>0</v>
      </c>
      <c r="T703" s="301">
        <f t="shared" si="97"/>
        <v>0</v>
      </c>
      <c r="U703" s="771">
        <f t="shared" si="98"/>
        <v>0</v>
      </c>
      <c r="V703" s="303"/>
      <c r="W703" s="304">
        <f>(Q703+R703)*'1.0-Contractblad'!$L$37</f>
        <v>0</v>
      </c>
      <c r="X703" s="304">
        <f ca="1">VLOOKUP(E703,'1.1a-Jaarprijzen'!$B$35:$Q$57,16,FALSE)*K703</f>
        <v>0</v>
      </c>
      <c r="Z703" s="773">
        <f t="shared" si="102"/>
        <v>0</v>
      </c>
      <c r="AA703" s="492" t="str">
        <f t="shared" si="103"/>
        <v>nvt-0</v>
      </c>
    </row>
    <row r="704" spans="2:27" s="490" customFormat="1" ht="15">
      <c r="B704" s="330"/>
      <c r="C704" s="331"/>
      <c r="D704" s="295">
        <f>VLOOKUP(E704,'1.1a-Jaarprijzen'!$B$13:$G$32,6,FALSE)</f>
        <v>2</v>
      </c>
      <c r="E704" s="294" t="s">
        <v>1000</v>
      </c>
      <c r="F704" s="295"/>
      <c r="G704" s="296" t="s">
        <v>671</v>
      </c>
      <c r="H704" s="731" t="s">
        <v>703</v>
      </c>
      <c r="I704" s="297" t="str">
        <f t="shared" si="104"/>
        <v>leslokaal groep 1 t/m 3</v>
      </c>
      <c r="J704" s="295" t="s">
        <v>696</v>
      </c>
      <c r="K704" s="298">
        <v>61.63</v>
      </c>
      <c r="L704" s="298"/>
      <c r="M704" s="299">
        <v>7200</v>
      </c>
      <c r="N704" s="300">
        <f t="shared" si="99"/>
        <v>200</v>
      </c>
      <c r="O704" s="484">
        <v>1</v>
      </c>
      <c r="P704" s="484">
        <v>1</v>
      </c>
      <c r="Q704" s="292">
        <f t="shared" si="100"/>
        <v>0</v>
      </c>
      <c r="R704" s="292">
        <f t="shared" si="101"/>
        <v>0</v>
      </c>
      <c r="S704" s="301">
        <f t="shared" si="96"/>
        <v>0</v>
      </c>
      <c r="T704" s="301">
        <f t="shared" si="97"/>
        <v>0</v>
      </c>
      <c r="U704" s="771" t="str">
        <f t="shared" si="98"/>
        <v>L</v>
      </c>
      <c r="V704" s="303"/>
      <c r="W704" s="304">
        <f>(Q704+R704)*'1.0-Contractblad'!$L$37</f>
        <v>0</v>
      </c>
      <c r="X704" s="304">
        <f ca="1">VLOOKUP(E704,'1.1a-Jaarprijzen'!$B$35:$Q$57,16,FALSE)*K704</f>
        <v>0</v>
      </c>
      <c r="Z704" s="773">
        <f t="shared" si="102"/>
        <v>12326</v>
      </c>
      <c r="AA704" s="492" t="str">
        <f t="shared" si="103"/>
        <v>7200-200</v>
      </c>
    </row>
    <row r="705" spans="2:27" s="490" customFormat="1" ht="15">
      <c r="B705" s="330"/>
      <c r="C705" s="331"/>
      <c r="D705" s="295">
        <f>VLOOKUP(E705,'1.1a-Jaarprijzen'!$B$13:$G$32,6,FALSE)</f>
        <v>2</v>
      </c>
      <c r="E705" s="294" t="s">
        <v>1000</v>
      </c>
      <c r="F705" s="295"/>
      <c r="G705" s="296" t="s">
        <v>551</v>
      </c>
      <c r="H705" s="731" t="s">
        <v>693</v>
      </c>
      <c r="I705" s="297" t="str">
        <f t="shared" si="104"/>
        <v>sanitaire ruimte (toilet-/doucheruimte)</v>
      </c>
      <c r="J705" s="295" t="s">
        <v>465</v>
      </c>
      <c r="K705" s="298">
        <v>5.97</v>
      </c>
      <c r="L705" s="298"/>
      <c r="M705" s="299">
        <v>4200</v>
      </c>
      <c r="N705" s="300">
        <f t="shared" si="99"/>
        <v>200</v>
      </c>
      <c r="O705" s="484">
        <v>1</v>
      </c>
      <c r="P705" s="484">
        <v>1</v>
      </c>
      <c r="Q705" s="292">
        <f t="shared" si="100"/>
        <v>0</v>
      </c>
      <c r="R705" s="292">
        <f t="shared" si="101"/>
        <v>0</v>
      </c>
      <c r="S705" s="301">
        <f t="shared" si="96"/>
        <v>0</v>
      </c>
      <c r="T705" s="301">
        <f t="shared" si="97"/>
        <v>0</v>
      </c>
      <c r="U705" s="771" t="str">
        <f t="shared" si="98"/>
        <v>S</v>
      </c>
      <c r="V705" s="303"/>
      <c r="W705" s="304">
        <f>(Q705+R705)*'1.0-Contractblad'!$L$37</f>
        <v>0</v>
      </c>
      <c r="X705" s="304">
        <f ca="1">VLOOKUP(E705,'1.1a-Jaarprijzen'!$B$35:$Q$57,16,FALSE)*K705</f>
        <v>0</v>
      </c>
      <c r="Z705" s="773">
        <f t="shared" si="102"/>
        <v>1194</v>
      </c>
      <c r="AA705" s="492" t="str">
        <f t="shared" si="103"/>
        <v>4200-200</v>
      </c>
    </row>
    <row r="706" spans="2:27" s="490" customFormat="1" ht="15">
      <c r="B706" s="330"/>
      <c r="C706" s="331"/>
      <c r="D706" s="295">
        <f>VLOOKUP(E706,'1.1a-Jaarprijzen'!$B$13:$G$32,6,FALSE)</f>
        <v>2</v>
      </c>
      <c r="E706" s="294" t="s">
        <v>1000</v>
      </c>
      <c r="F706" s="295"/>
      <c r="G706" s="296" t="s">
        <v>552</v>
      </c>
      <c r="H706" s="731" t="s">
        <v>693</v>
      </c>
      <c r="I706" s="297" t="str">
        <f t="shared" si="104"/>
        <v>sanitaire ruimte (toilet-/doucheruimte)</v>
      </c>
      <c r="J706" s="295" t="s">
        <v>465</v>
      </c>
      <c r="K706" s="298">
        <v>5.99</v>
      </c>
      <c r="L706" s="298"/>
      <c r="M706" s="299">
        <v>4200</v>
      </c>
      <c r="N706" s="300">
        <f t="shared" si="99"/>
        <v>200</v>
      </c>
      <c r="O706" s="484">
        <v>1</v>
      </c>
      <c r="P706" s="484">
        <v>1</v>
      </c>
      <c r="Q706" s="292">
        <f t="shared" si="100"/>
        <v>0</v>
      </c>
      <c r="R706" s="292">
        <f t="shared" si="101"/>
        <v>0</v>
      </c>
      <c r="S706" s="301">
        <f t="shared" si="96"/>
        <v>0</v>
      </c>
      <c r="T706" s="301">
        <f t="shared" si="97"/>
        <v>0</v>
      </c>
      <c r="U706" s="771" t="str">
        <f t="shared" si="98"/>
        <v>S</v>
      </c>
      <c r="V706" s="303"/>
      <c r="W706" s="304">
        <f>(Q706+R706)*'1.0-Contractblad'!$L$37</f>
        <v>0</v>
      </c>
      <c r="X706" s="304">
        <f ca="1">VLOOKUP(E706,'1.1a-Jaarprijzen'!$B$35:$Q$57,16,FALSE)*K706</f>
        <v>0</v>
      </c>
      <c r="Z706" s="773">
        <f t="shared" si="102"/>
        <v>1198</v>
      </c>
      <c r="AA706" s="492" t="str">
        <f t="shared" si="103"/>
        <v>4200-200</v>
      </c>
    </row>
    <row r="707" spans="2:27" s="490" customFormat="1" ht="15">
      <c r="B707" s="330"/>
      <c r="C707" s="331"/>
      <c r="D707" s="295">
        <f>VLOOKUP(E707,'1.1a-Jaarprijzen'!$B$13:$G$32,6,FALSE)</f>
        <v>2</v>
      </c>
      <c r="E707" s="294" t="s">
        <v>1000</v>
      </c>
      <c r="F707" s="295"/>
      <c r="G707" s="296" t="s">
        <v>1001</v>
      </c>
      <c r="H707" s="731" t="s">
        <v>477</v>
      </c>
      <c r="I707" s="297" t="str">
        <f t="shared" si="104"/>
        <v>sanitaire ruimte (toilet-/doucheruimte)</v>
      </c>
      <c r="J707" s="295" t="s">
        <v>465</v>
      </c>
      <c r="K707" s="298">
        <v>3.31</v>
      </c>
      <c r="L707" s="298"/>
      <c r="M707" s="299">
        <v>4200</v>
      </c>
      <c r="N707" s="300">
        <f t="shared" si="99"/>
        <v>200</v>
      </c>
      <c r="O707" s="484">
        <v>1</v>
      </c>
      <c r="P707" s="484">
        <v>1</v>
      </c>
      <c r="Q707" s="292">
        <f t="shared" si="100"/>
        <v>0</v>
      </c>
      <c r="R707" s="292">
        <f t="shared" si="101"/>
        <v>0</v>
      </c>
      <c r="S707" s="301">
        <f t="shared" si="96"/>
        <v>0</v>
      </c>
      <c r="T707" s="301">
        <f t="shared" si="97"/>
        <v>0</v>
      </c>
      <c r="U707" s="771" t="str">
        <f t="shared" si="98"/>
        <v>S</v>
      </c>
      <c r="V707" s="303"/>
      <c r="W707" s="304">
        <f>(Q707+R707)*'1.0-Contractblad'!$L$37</f>
        <v>0</v>
      </c>
      <c r="X707" s="304">
        <f ca="1">VLOOKUP(E707,'1.1a-Jaarprijzen'!$B$35:$Q$57,16,FALSE)*K707</f>
        <v>0</v>
      </c>
      <c r="Z707" s="773">
        <f t="shared" si="102"/>
        <v>662</v>
      </c>
      <c r="AA707" s="492" t="str">
        <f t="shared" si="103"/>
        <v>4200-200</v>
      </c>
    </row>
    <row r="708" spans="2:27" s="490" customFormat="1" ht="15">
      <c r="B708" s="330"/>
      <c r="C708" s="331"/>
      <c r="D708" s="295">
        <f>VLOOKUP(E708,'1.1a-Jaarprijzen'!$B$13:$G$32,6,FALSE)</f>
        <v>2</v>
      </c>
      <c r="E708" s="294" t="s">
        <v>1000</v>
      </c>
      <c r="F708" s="295"/>
      <c r="G708" s="296" t="s">
        <v>718</v>
      </c>
      <c r="H708" s="731" t="s">
        <v>564</v>
      </c>
      <c r="I708" s="297" t="str">
        <f t="shared" si="104"/>
        <v>pantry/keuken</v>
      </c>
      <c r="J708" s="295" t="s">
        <v>696</v>
      </c>
      <c r="K708" s="298">
        <v>1.97</v>
      </c>
      <c r="L708" s="298"/>
      <c r="M708" s="299">
        <v>5200</v>
      </c>
      <c r="N708" s="300">
        <f t="shared" si="99"/>
        <v>200</v>
      </c>
      <c r="O708" s="484">
        <v>1</v>
      </c>
      <c r="P708" s="484">
        <v>1</v>
      </c>
      <c r="Q708" s="292">
        <f t="shared" si="100"/>
        <v>0</v>
      </c>
      <c r="R708" s="292">
        <f t="shared" si="101"/>
        <v>0</v>
      </c>
      <c r="S708" s="301">
        <f t="shared" si="96"/>
        <v>0</v>
      </c>
      <c r="T708" s="301">
        <f t="shared" si="97"/>
        <v>0</v>
      </c>
      <c r="U708" s="771" t="str">
        <f t="shared" si="98"/>
        <v>V</v>
      </c>
      <c r="V708" s="303"/>
      <c r="W708" s="304">
        <f>(Q708+R708)*'1.0-Contractblad'!$L$37</f>
        <v>0</v>
      </c>
      <c r="X708" s="304">
        <f ca="1">VLOOKUP(E708,'1.1a-Jaarprijzen'!$B$35:$Q$57,16,FALSE)*K708</f>
        <v>0</v>
      </c>
      <c r="Z708" s="773">
        <f t="shared" si="102"/>
        <v>394</v>
      </c>
      <c r="AA708" s="492" t="str">
        <f t="shared" si="103"/>
        <v>5200-200</v>
      </c>
    </row>
    <row r="709" spans="2:27" s="490" customFormat="1" ht="15">
      <c r="B709" s="330"/>
      <c r="C709" s="331"/>
      <c r="D709" s="295">
        <f>VLOOKUP(E709,'1.1a-Jaarprijzen'!$B$13:$G$32,6,FALSE)</f>
        <v>2</v>
      </c>
      <c r="E709" s="294" t="s">
        <v>1000</v>
      </c>
      <c r="F709" s="295"/>
      <c r="G709" s="296" t="s">
        <v>550</v>
      </c>
      <c r="H709" s="731" t="s">
        <v>674</v>
      </c>
      <c r="I709" s="297" t="str">
        <f t="shared" si="104"/>
        <v>sanitaire ruimte (toilet-/doucheruimte)</v>
      </c>
      <c r="J709" s="295" t="s">
        <v>465</v>
      </c>
      <c r="K709" s="298">
        <v>7.59</v>
      </c>
      <c r="L709" s="298"/>
      <c r="M709" s="299">
        <v>4200</v>
      </c>
      <c r="N709" s="300">
        <f t="shared" si="99"/>
        <v>200</v>
      </c>
      <c r="O709" s="484">
        <v>1</v>
      </c>
      <c r="P709" s="484">
        <v>1</v>
      </c>
      <c r="Q709" s="292">
        <f t="shared" si="100"/>
        <v>0</v>
      </c>
      <c r="R709" s="292">
        <f t="shared" si="101"/>
        <v>0</v>
      </c>
      <c r="S709" s="301">
        <f t="shared" si="96"/>
        <v>0</v>
      </c>
      <c r="T709" s="301">
        <f t="shared" si="97"/>
        <v>0</v>
      </c>
      <c r="U709" s="771" t="str">
        <f t="shared" si="98"/>
        <v>S</v>
      </c>
      <c r="V709" s="303"/>
      <c r="W709" s="304">
        <f>(Q709+R709)*'1.0-Contractblad'!$L$37</f>
        <v>0</v>
      </c>
      <c r="X709" s="304">
        <f ca="1">VLOOKUP(E709,'1.1a-Jaarprijzen'!$B$35:$Q$57,16,FALSE)*K709</f>
        <v>0</v>
      </c>
      <c r="Z709" s="773">
        <f t="shared" si="102"/>
        <v>1518</v>
      </c>
      <c r="AA709" s="492" t="str">
        <f t="shared" si="103"/>
        <v>4200-200</v>
      </c>
    </row>
    <row r="710" spans="2:27" s="490" customFormat="1" ht="15">
      <c r="B710" s="330"/>
      <c r="C710" s="331"/>
      <c r="D710" s="295">
        <f>VLOOKUP(E710,'1.1a-Jaarprijzen'!$B$13:$G$32,6,FALSE)</f>
        <v>2</v>
      </c>
      <c r="E710" s="294" t="s">
        <v>1000</v>
      </c>
      <c r="F710" s="295"/>
      <c r="G710" s="296" t="s">
        <v>1002</v>
      </c>
      <c r="H710" s="731" t="s">
        <v>571</v>
      </c>
      <c r="I710" s="297" t="str">
        <f t="shared" si="104"/>
        <v>niet van toepassing</v>
      </c>
      <c r="J710" s="295" t="s">
        <v>1015</v>
      </c>
      <c r="K710" s="298"/>
      <c r="L710" s="298">
        <v>0.87</v>
      </c>
      <c r="M710" s="299" t="s">
        <v>17</v>
      </c>
      <c r="N710" s="300">
        <f t="shared" si="99"/>
        <v>0</v>
      </c>
      <c r="O710" s="484">
        <v>1</v>
      </c>
      <c r="P710" s="484">
        <v>1</v>
      </c>
      <c r="Q710" s="292">
        <f t="shared" si="100"/>
        <v>0</v>
      </c>
      <c r="R710" s="292">
        <f t="shared" si="101"/>
        <v>0</v>
      </c>
      <c r="S710" s="301">
        <f t="shared" si="96"/>
        <v>0</v>
      </c>
      <c r="T710" s="301">
        <f t="shared" si="97"/>
        <v>0</v>
      </c>
      <c r="U710" s="771">
        <f t="shared" si="98"/>
        <v>0</v>
      </c>
      <c r="V710" s="303"/>
      <c r="W710" s="304">
        <f>(Q710+R710)*'1.0-Contractblad'!$L$37</f>
        <v>0</v>
      </c>
      <c r="X710" s="304">
        <f ca="1">VLOOKUP(E710,'1.1a-Jaarprijzen'!$B$35:$Q$57,16,FALSE)*K710</f>
        <v>0</v>
      </c>
      <c r="Z710" s="773">
        <f t="shared" si="102"/>
        <v>0</v>
      </c>
      <c r="AA710" s="492" t="str">
        <f t="shared" si="103"/>
        <v>nvt-0</v>
      </c>
    </row>
    <row r="711" spans="2:27" s="490" customFormat="1" ht="15">
      <c r="B711" s="330"/>
      <c r="C711" s="331"/>
      <c r="D711" s="295">
        <f>VLOOKUP(E711,'1.1a-Jaarprijzen'!$B$13:$G$32,6,FALSE)</f>
        <v>2</v>
      </c>
      <c r="E711" s="294" t="s">
        <v>1000</v>
      </c>
      <c r="F711" s="295"/>
      <c r="G711" s="296" t="s">
        <v>1003</v>
      </c>
      <c r="H711" s="731" t="s">
        <v>571</v>
      </c>
      <c r="I711" s="297" t="str">
        <f t="shared" si="104"/>
        <v>niet van toepassing</v>
      </c>
      <c r="J711" s="295" t="s">
        <v>1015</v>
      </c>
      <c r="K711" s="298"/>
      <c r="L711" s="298">
        <v>1.18</v>
      </c>
      <c r="M711" s="299" t="s">
        <v>17</v>
      </c>
      <c r="N711" s="300">
        <f t="shared" si="99"/>
        <v>0</v>
      </c>
      <c r="O711" s="484">
        <v>1</v>
      </c>
      <c r="P711" s="484">
        <v>1</v>
      </c>
      <c r="Q711" s="292">
        <f t="shared" si="100"/>
        <v>0</v>
      </c>
      <c r="R711" s="292">
        <f t="shared" si="101"/>
        <v>0</v>
      </c>
      <c r="S711" s="301">
        <f t="shared" si="96"/>
        <v>0</v>
      </c>
      <c r="T711" s="301">
        <f t="shared" si="97"/>
        <v>0</v>
      </c>
      <c r="U711" s="771">
        <f t="shared" si="98"/>
        <v>0</v>
      </c>
      <c r="V711" s="303"/>
      <c r="W711" s="304">
        <f>(Q711+R711)*'1.0-Contractblad'!$L$37</f>
        <v>0</v>
      </c>
      <c r="X711" s="304">
        <f ca="1">VLOOKUP(E711,'1.1a-Jaarprijzen'!$B$35:$Q$57,16,FALSE)*K711</f>
        <v>0</v>
      </c>
      <c r="Z711" s="773">
        <f t="shared" si="102"/>
        <v>0</v>
      </c>
      <c r="AA711" s="492" t="str">
        <f t="shared" si="103"/>
        <v>nvt-0</v>
      </c>
    </row>
    <row r="712" spans="2:27" s="490" customFormat="1" ht="15">
      <c r="B712" s="330"/>
      <c r="C712" s="331"/>
      <c r="D712" s="295">
        <f>VLOOKUP(E712,'1.1a-Jaarprijzen'!$B$13:$G$32,6,FALSE)</f>
        <v>2</v>
      </c>
      <c r="E712" s="294" t="s">
        <v>1000</v>
      </c>
      <c r="F712" s="295"/>
      <c r="G712" s="296" t="s">
        <v>1004</v>
      </c>
      <c r="H712" s="731" t="s">
        <v>571</v>
      </c>
      <c r="I712" s="297" t="str">
        <f t="shared" si="104"/>
        <v>niet van toepassing</v>
      </c>
      <c r="J712" s="295" t="s">
        <v>1015</v>
      </c>
      <c r="K712" s="298"/>
      <c r="L712" s="298">
        <v>0.64</v>
      </c>
      <c r="M712" s="299" t="s">
        <v>17</v>
      </c>
      <c r="N712" s="300">
        <f t="shared" si="99"/>
        <v>0</v>
      </c>
      <c r="O712" s="484">
        <v>1</v>
      </c>
      <c r="P712" s="484">
        <v>1</v>
      </c>
      <c r="Q712" s="292">
        <f t="shared" si="100"/>
        <v>0</v>
      </c>
      <c r="R712" s="292">
        <f t="shared" si="101"/>
        <v>0</v>
      </c>
      <c r="S712" s="301">
        <f t="shared" si="96"/>
        <v>0</v>
      </c>
      <c r="T712" s="301">
        <f t="shared" si="97"/>
        <v>0</v>
      </c>
      <c r="U712" s="771">
        <f t="shared" si="98"/>
        <v>0</v>
      </c>
      <c r="V712" s="303"/>
      <c r="W712" s="304">
        <f>(Q712+R712)*'1.0-Contractblad'!$L$37</f>
        <v>0</v>
      </c>
      <c r="X712" s="304">
        <f ca="1">VLOOKUP(E712,'1.1a-Jaarprijzen'!$B$35:$Q$57,16,FALSE)*K712</f>
        <v>0</v>
      </c>
      <c r="Z712" s="773">
        <f t="shared" si="102"/>
        <v>0</v>
      </c>
      <c r="AA712" s="492" t="str">
        <f t="shared" si="103"/>
        <v>nvt-0</v>
      </c>
    </row>
    <row r="713" spans="2:27" s="490" customFormat="1" ht="15">
      <c r="B713" s="330"/>
      <c r="C713" s="331"/>
      <c r="D713" s="295">
        <f>VLOOKUP(E713,'1.1a-Jaarprijzen'!$B$13:$G$32,6,FALSE)</f>
        <v>2</v>
      </c>
      <c r="E713" s="294" t="s">
        <v>1000</v>
      </c>
      <c r="F713" s="295"/>
      <c r="G713" s="296" t="s">
        <v>557</v>
      </c>
      <c r="H713" s="731" t="s">
        <v>395</v>
      </c>
      <c r="I713" s="297" t="str">
        <f t="shared" si="104"/>
        <v>pantry/keuken</v>
      </c>
      <c r="J713" s="295" t="s">
        <v>465</v>
      </c>
      <c r="K713" s="298">
        <v>19.48</v>
      </c>
      <c r="L713" s="298"/>
      <c r="M713" s="299">
        <v>5200</v>
      </c>
      <c r="N713" s="300">
        <f t="shared" si="99"/>
        <v>200</v>
      </c>
      <c r="O713" s="484">
        <v>1</v>
      </c>
      <c r="P713" s="484">
        <v>1</v>
      </c>
      <c r="Q713" s="292">
        <f t="shared" si="100"/>
        <v>0</v>
      </c>
      <c r="R713" s="292">
        <f t="shared" si="101"/>
        <v>0</v>
      </c>
      <c r="S713" s="301">
        <f t="shared" si="96"/>
        <v>0</v>
      </c>
      <c r="T713" s="301">
        <f t="shared" si="97"/>
        <v>0</v>
      </c>
      <c r="U713" s="771" t="str">
        <f t="shared" si="98"/>
        <v>V</v>
      </c>
      <c r="V713" s="303"/>
      <c r="W713" s="304">
        <f>(Q713+R713)*'1.0-Contractblad'!$L$37</f>
        <v>0</v>
      </c>
      <c r="X713" s="304">
        <f ca="1">VLOOKUP(E713,'1.1a-Jaarprijzen'!$B$35:$Q$57,16,FALSE)*K713</f>
        <v>0</v>
      </c>
      <c r="Z713" s="773">
        <f t="shared" si="102"/>
        <v>3896</v>
      </c>
      <c r="AA713" s="492" t="str">
        <f t="shared" si="103"/>
        <v>5200-200</v>
      </c>
    </row>
    <row r="714" spans="2:27" s="490" customFormat="1" ht="15">
      <c r="B714" s="330"/>
      <c r="C714" s="331"/>
      <c r="D714" s="295">
        <f>VLOOKUP(E714,'1.1a-Jaarprijzen'!$B$13:$G$32,6,FALSE)</f>
        <v>2</v>
      </c>
      <c r="E714" s="294" t="s">
        <v>1000</v>
      </c>
      <c r="F714" s="295"/>
      <c r="G714" s="296" t="s">
        <v>691</v>
      </c>
      <c r="H714" s="731" t="s">
        <v>672</v>
      </c>
      <c r="I714" s="297" t="str">
        <f t="shared" si="104"/>
        <v>entree, gang, hal, repro</v>
      </c>
      <c r="J714" s="295" t="s">
        <v>696</v>
      </c>
      <c r="K714" s="298">
        <v>181.6</v>
      </c>
      <c r="L714" s="298"/>
      <c r="M714" s="299">
        <v>3200</v>
      </c>
      <c r="N714" s="300">
        <f t="shared" si="99"/>
        <v>200</v>
      </c>
      <c r="O714" s="484">
        <v>1</v>
      </c>
      <c r="P714" s="484">
        <v>1</v>
      </c>
      <c r="Q714" s="292">
        <f t="shared" si="100"/>
        <v>0</v>
      </c>
      <c r="R714" s="292">
        <f t="shared" si="101"/>
        <v>0</v>
      </c>
      <c r="S714" s="301">
        <f t="shared" si="96"/>
        <v>0</v>
      </c>
      <c r="T714" s="301">
        <f t="shared" si="97"/>
        <v>0</v>
      </c>
      <c r="U714" s="771" t="str">
        <f t="shared" si="98"/>
        <v>V</v>
      </c>
      <c r="V714" s="303"/>
      <c r="W714" s="304">
        <f>(Q714+R714)*'1.0-Contractblad'!$L$37</f>
        <v>0</v>
      </c>
      <c r="X714" s="304">
        <f ca="1">VLOOKUP(E714,'1.1a-Jaarprijzen'!$B$35:$Q$57,16,FALSE)*K714</f>
        <v>0</v>
      </c>
      <c r="Z714" s="773">
        <f t="shared" si="102"/>
        <v>36320</v>
      </c>
      <c r="AA714" s="492" t="str">
        <f t="shared" si="103"/>
        <v>3200-200</v>
      </c>
    </row>
    <row r="715" spans="2:27" s="490" customFormat="1" ht="15">
      <c r="B715" s="330"/>
      <c r="C715" s="331"/>
      <c r="D715" s="295">
        <f>VLOOKUP(E715,'1.1a-Jaarprijzen'!$B$13:$G$32,6,FALSE)</f>
        <v>2</v>
      </c>
      <c r="E715" s="294" t="s">
        <v>1000</v>
      </c>
      <c r="F715" s="295"/>
      <c r="G715" s="296" t="s">
        <v>523</v>
      </c>
      <c r="H715" s="731" t="s">
        <v>393</v>
      </c>
      <c r="I715" s="297" t="str">
        <f t="shared" si="104"/>
        <v>entree, gang, hal, repro</v>
      </c>
      <c r="J715" s="295" t="s">
        <v>696</v>
      </c>
      <c r="K715" s="298">
        <v>27.82</v>
      </c>
      <c r="L715" s="298"/>
      <c r="M715" s="299">
        <v>3200</v>
      </c>
      <c r="N715" s="300">
        <f t="shared" si="99"/>
        <v>200</v>
      </c>
      <c r="O715" s="484">
        <v>1</v>
      </c>
      <c r="P715" s="484">
        <v>1</v>
      </c>
      <c r="Q715" s="292">
        <f t="shared" si="100"/>
        <v>0</v>
      </c>
      <c r="R715" s="292">
        <f t="shared" si="101"/>
        <v>0</v>
      </c>
      <c r="S715" s="301">
        <f t="shared" si="96"/>
        <v>0</v>
      </c>
      <c r="T715" s="301">
        <f t="shared" si="97"/>
        <v>0</v>
      </c>
      <c r="U715" s="771" t="str">
        <f t="shared" si="98"/>
        <v>V</v>
      </c>
      <c r="V715" s="303"/>
      <c r="W715" s="304">
        <f>(Q715+R715)*'1.0-Contractblad'!$L$37</f>
        <v>0</v>
      </c>
      <c r="X715" s="304">
        <f ca="1">VLOOKUP(E715,'1.1a-Jaarprijzen'!$B$35:$Q$57,16,FALSE)*K715</f>
        <v>0</v>
      </c>
      <c r="Z715" s="773">
        <f t="shared" si="102"/>
        <v>5564</v>
      </c>
      <c r="AA715" s="492" t="str">
        <f t="shared" si="103"/>
        <v>3200-200</v>
      </c>
    </row>
    <row r="716" spans="2:27" s="490" customFormat="1" ht="15">
      <c r="B716" s="330"/>
      <c r="C716" s="331"/>
      <c r="D716" s="295">
        <f>VLOOKUP(E716,'1.1a-Jaarprijzen'!$B$13:$G$32,6,FALSE)</f>
        <v>2</v>
      </c>
      <c r="E716" s="294" t="s">
        <v>1000</v>
      </c>
      <c r="F716" s="295"/>
      <c r="G716" s="296" t="s">
        <v>1005</v>
      </c>
      <c r="H716" s="731" t="s">
        <v>1006</v>
      </c>
      <c r="I716" s="297" t="str">
        <f t="shared" si="104"/>
        <v>niet van toepassing</v>
      </c>
      <c r="J716" s="295" t="s">
        <v>475</v>
      </c>
      <c r="K716" s="298"/>
      <c r="L716" s="298">
        <v>3.76</v>
      </c>
      <c r="M716" s="299" t="s">
        <v>17</v>
      </c>
      <c r="N716" s="300">
        <f t="shared" si="99"/>
        <v>0</v>
      </c>
      <c r="O716" s="484">
        <v>1</v>
      </c>
      <c r="P716" s="484">
        <v>1</v>
      </c>
      <c r="Q716" s="292">
        <f t="shared" si="100"/>
        <v>0</v>
      </c>
      <c r="R716" s="292">
        <f t="shared" si="101"/>
        <v>0</v>
      </c>
      <c r="S716" s="301">
        <f t="shared" si="96"/>
        <v>0</v>
      </c>
      <c r="T716" s="301">
        <f t="shared" si="97"/>
        <v>0</v>
      </c>
      <c r="U716" s="771">
        <f t="shared" si="98"/>
        <v>0</v>
      </c>
      <c r="V716" s="303"/>
      <c r="W716" s="304">
        <f>(Q716+R716)*'1.0-Contractblad'!$L$37</f>
        <v>0</v>
      </c>
      <c r="X716" s="304">
        <f ca="1">VLOOKUP(E716,'1.1a-Jaarprijzen'!$B$35:$Q$57,16,FALSE)*K716</f>
        <v>0</v>
      </c>
      <c r="Z716" s="773">
        <f t="shared" si="102"/>
        <v>0</v>
      </c>
      <c r="AA716" s="492" t="str">
        <f t="shared" si="103"/>
        <v>nvt-0</v>
      </c>
    </row>
    <row r="717" spans="2:27" s="490" customFormat="1" ht="15">
      <c r="B717" s="330"/>
      <c r="C717" s="331"/>
      <c r="D717" s="295">
        <f>VLOOKUP(E717,'1.1a-Jaarprijzen'!$B$13:$G$32,6,FALSE)</f>
        <v>2</v>
      </c>
      <c r="E717" s="294" t="s">
        <v>1000</v>
      </c>
      <c r="F717" s="295"/>
      <c r="G717" s="296" t="s">
        <v>563</v>
      </c>
      <c r="H717" s="731" t="s">
        <v>1007</v>
      </c>
      <c r="I717" s="297" t="str">
        <f t="shared" si="104"/>
        <v>niet van toepassing</v>
      </c>
      <c r="J717" s="295" t="s">
        <v>1015</v>
      </c>
      <c r="K717" s="298"/>
      <c r="L717" s="298">
        <v>12.19</v>
      </c>
      <c r="M717" s="299" t="s">
        <v>17</v>
      </c>
      <c r="N717" s="300">
        <f t="shared" si="99"/>
        <v>0</v>
      </c>
      <c r="O717" s="484">
        <v>1</v>
      </c>
      <c r="P717" s="484">
        <v>1</v>
      </c>
      <c r="Q717" s="292">
        <f t="shared" si="100"/>
        <v>0</v>
      </c>
      <c r="R717" s="292">
        <f t="shared" si="101"/>
        <v>0</v>
      </c>
      <c r="S717" s="301">
        <f t="shared" si="96"/>
        <v>0</v>
      </c>
      <c r="T717" s="301">
        <f t="shared" si="97"/>
        <v>0</v>
      </c>
      <c r="U717" s="771">
        <f t="shared" si="98"/>
        <v>0</v>
      </c>
      <c r="V717" s="303"/>
      <c r="W717" s="304">
        <f>(Q717+R717)*'1.0-Contractblad'!$L$37</f>
        <v>0</v>
      </c>
      <c r="X717" s="304">
        <f ca="1">VLOOKUP(E717,'1.1a-Jaarprijzen'!$B$35:$Q$57,16,FALSE)*K717</f>
        <v>0</v>
      </c>
      <c r="Z717" s="773">
        <f t="shared" si="102"/>
        <v>0</v>
      </c>
      <c r="AA717" s="492" t="str">
        <f t="shared" si="103"/>
        <v>nvt-0</v>
      </c>
    </row>
    <row r="718" spans="2:27" s="490" customFormat="1" ht="15">
      <c r="B718" s="330"/>
      <c r="C718" s="331"/>
      <c r="D718" s="295">
        <f>VLOOKUP(E718,'1.1a-Jaarprijzen'!$B$13:$G$32,6,FALSE)</f>
        <v>2</v>
      </c>
      <c r="E718" s="294" t="s">
        <v>1000</v>
      </c>
      <c r="F718" s="295"/>
      <c r="G718" s="296" t="s">
        <v>1008</v>
      </c>
      <c r="H718" s="731" t="s">
        <v>1009</v>
      </c>
      <c r="I718" s="297" t="str">
        <f t="shared" si="104"/>
        <v>niet van toepassing</v>
      </c>
      <c r="J718" s="295" t="s">
        <v>1015</v>
      </c>
      <c r="K718" s="298"/>
      <c r="L718" s="298">
        <v>7.98</v>
      </c>
      <c r="M718" s="299" t="s">
        <v>17</v>
      </c>
      <c r="N718" s="300">
        <f t="shared" si="99"/>
        <v>0</v>
      </c>
      <c r="O718" s="484">
        <v>1</v>
      </c>
      <c r="P718" s="484">
        <v>1</v>
      </c>
      <c r="Q718" s="292">
        <f t="shared" si="100"/>
        <v>0</v>
      </c>
      <c r="R718" s="292">
        <f t="shared" si="101"/>
        <v>0</v>
      </c>
      <c r="S718" s="301">
        <f t="shared" si="96"/>
        <v>0</v>
      </c>
      <c r="T718" s="301">
        <f t="shared" si="97"/>
        <v>0</v>
      </c>
      <c r="U718" s="771">
        <f t="shared" si="98"/>
        <v>0</v>
      </c>
      <c r="V718" s="303"/>
      <c r="W718" s="304">
        <f>(Q718+R718)*'1.0-Contractblad'!$L$37</f>
        <v>0</v>
      </c>
      <c r="X718" s="304">
        <f ca="1">VLOOKUP(E718,'1.1a-Jaarprijzen'!$B$35:$Q$57,16,FALSE)*K718</f>
        <v>0</v>
      </c>
      <c r="Z718" s="773">
        <f t="shared" si="102"/>
        <v>0</v>
      </c>
      <c r="AA718" s="492" t="str">
        <f t="shared" si="103"/>
        <v>nvt-0</v>
      </c>
    </row>
    <row r="719" spans="2:27" s="490" customFormat="1" ht="15">
      <c r="B719" s="330"/>
      <c r="C719" s="331"/>
      <c r="D719" s="295">
        <f>VLOOKUP(E719,'1.1a-Jaarprijzen'!$B$13:$G$32,6,FALSE)</f>
        <v>2</v>
      </c>
      <c r="E719" s="294" t="s">
        <v>1000</v>
      </c>
      <c r="F719" s="295"/>
      <c r="G719" s="296" t="s">
        <v>1010</v>
      </c>
      <c r="H719" s="731" t="s">
        <v>1009</v>
      </c>
      <c r="I719" s="297" t="str">
        <f t="shared" si="104"/>
        <v>niet van toepassing</v>
      </c>
      <c r="J719" s="295" t="s">
        <v>1015</v>
      </c>
      <c r="K719" s="298"/>
      <c r="L719" s="298">
        <v>8.07</v>
      </c>
      <c r="M719" s="299" t="s">
        <v>17</v>
      </c>
      <c r="N719" s="300">
        <f t="shared" si="99"/>
        <v>0</v>
      </c>
      <c r="O719" s="484">
        <v>1</v>
      </c>
      <c r="P719" s="484">
        <v>1</v>
      </c>
      <c r="Q719" s="292">
        <f t="shared" si="100"/>
        <v>0</v>
      </c>
      <c r="R719" s="292">
        <f t="shared" si="101"/>
        <v>0</v>
      </c>
      <c r="S719" s="301">
        <f t="shared" si="96"/>
        <v>0</v>
      </c>
      <c r="T719" s="301">
        <f t="shared" si="97"/>
        <v>0</v>
      </c>
      <c r="U719" s="771">
        <f t="shared" si="98"/>
        <v>0</v>
      </c>
      <c r="V719" s="303"/>
      <c r="W719" s="304">
        <f>(Q719+R719)*'1.0-Contractblad'!$L$37</f>
        <v>0</v>
      </c>
      <c r="X719" s="304">
        <f ca="1">VLOOKUP(E719,'1.1a-Jaarprijzen'!$B$35:$Q$57,16,FALSE)*K719</f>
        <v>0</v>
      </c>
      <c r="Z719" s="773">
        <f t="shared" si="102"/>
        <v>0</v>
      </c>
      <c r="AA719" s="492" t="str">
        <f t="shared" si="103"/>
        <v>nvt-0</v>
      </c>
    </row>
    <row r="720" spans="2:27" s="490" customFormat="1" ht="15">
      <c r="B720" s="330"/>
      <c r="C720" s="331"/>
      <c r="D720" s="295">
        <f>VLOOKUP(E720,'1.1a-Jaarprijzen'!$B$13:$G$32,6,FALSE)</f>
        <v>2</v>
      </c>
      <c r="E720" s="294" t="s">
        <v>1000</v>
      </c>
      <c r="F720" s="295"/>
      <c r="G720" s="296" t="s">
        <v>559</v>
      </c>
      <c r="H720" s="731" t="s">
        <v>719</v>
      </c>
      <c r="I720" s="297" t="str">
        <f t="shared" si="104"/>
        <v>niet van toepassing</v>
      </c>
      <c r="J720" s="295" t="s">
        <v>1015</v>
      </c>
      <c r="K720" s="298"/>
      <c r="L720" s="298">
        <v>16.53</v>
      </c>
      <c r="M720" s="299" t="s">
        <v>17</v>
      </c>
      <c r="N720" s="300">
        <f t="shared" si="99"/>
        <v>0</v>
      </c>
      <c r="O720" s="484">
        <v>1</v>
      </c>
      <c r="P720" s="484">
        <v>1</v>
      </c>
      <c r="Q720" s="292">
        <f t="shared" si="100"/>
        <v>0</v>
      </c>
      <c r="R720" s="292">
        <f t="shared" si="101"/>
        <v>0</v>
      </c>
      <c r="S720" s="301">
        <f t="shared" si="96"/>
        <v>0</v>
      </c>
      <c r="T720" s="301">
        <f t="shared" si="97"/>
        <v>0</v>
      </c>
      <c r="U720" s="771">
        <f t="shared" si="98"/>
        <v>0</v>
      </c>
      <c r="V720" s="303"/>
      <c r="W720" s="304">
        <f>(Q720+R720)*'1.0-Contractblad'!$L$37</f>
        <v>0</v>
      </c>
      <c r="X720" s="304">
        <f ca="1">VLOOKUP(E720,'1.1a-Jaarprijzen'!$B$35:$Q$57,16,FALSE)*K720</f>
        <v>0</v>
      </c>
      <c r="Z720" s="773">
        <f t="shared" si="102"/>
        <v>0</v>
      </c>
      <c r="AA720" s="492" t="str">
        <f t="shared" si="103"/>
        <v>nvt-0</v>
      </c>
    </row>
    <row r="721" spans="2:27" s="490" customFormat="1" ht="15">
      <c r="B721" s="330"/>
      <c r="C721" s="331"/>
      <c r="D721" s="295">
        <f>VLOOKUP(E721,'1.1a-Jaarprijzen'!$B$13:$G$32,6,FALSE)</f>
        <v>2</v>
      </c>
      <c r="E721" s="294" t="s">
        <v>1000</v>
      </c>
      <c r="F721" s="295"/>
      <c r="G721" s="296" t="s">
        <v>1011</v>
      </c>
      <c r="H721" s="731" t="s">
        <v>391</v>
      </c>
      <c r="I721" s="297" t="str">
        <f t="shared" si="104"/>
        <v>niet van toepassing</v>
      </c>
      <c r="J721" s="295" t="s">
        <v>1015</v>
      </c>
      <c r="K721" s="298"/>
      <c r="L721" s="298">
        <v>5.96</v>
      </c>
      <c r="M721" s="299" t="s">
        <v>17</v>
      </c>
      <c r="N721" s="300">
        <f t="shared" si="99"/>
        <v>0</v>
      </c>
      <c r="O721" s="484">
        <v>1</v>
      </c>
      <c r="P721" s="484">
        <v>1</v>
      </c>
      <c r="Q721" s="292">
        <f t="shared" si="100"/>
        <v>0</v>
      </c>
      <c r="R721" s="292">
        <f t="shared" si="101"/>
        <v>0</v>
      </c>
      <c r="S721" s="301">
        <f t="shared" si="96"/>
        <v>0</v>
      </c>
      <c r="T721" s="301">
        <f t="shared" si="97"/>
        <v>0</v>
      </c>
      <c r="U721" s="771">
        <f t="shared" si="98"/>
        <v>0</v>
      </c>
      <c r="V721" s="303"/>
      <c r="W721" s="304">
        <f>(Q721+R721)*'1.0-Contractblad'!$L$37</f>
        <v>0</v>
      </c>
      <c r="X721" s="304">
        <f ca="1">VLOOKUP(E721,'1.1a-Jaarprijzen'!$B$35:$Q$57,16,FALSE)*K721</f>
        <v>0</v>
      </c>
      <c r="Z721" s="773">
        <f t="shared" si="102"/>
        <v>0</v>
      </c>
      <c r="AA721" s="492" t="str">
        <f t="shared" si="103"/>
        <v>nvt-0</v>
      </c>
    </row>
    <row r="722" spans="2:27" s="490" customFormat="1" ht="15">
      <c r="B722" s="330"/>
      <c r="C722" s="331"/>
      <c r="D722" s="295">
        <f>VLOOKUP(E722,'1.1a-Jaarprijzen'!$B$13:$G$32,6,FALSE)</f>
        <v>2</v>
      </c>
      <c r="E722" s="294" t="s">
        <v>1000</v>
      </c>
      <c r="F722" s="295"/>
      <c r="G722" s="296" t="s">
        <v>1012</v>
      </c>
      <c r="H722" s="731" t="s">
        <v>391</v>
      </c>
      <c r="I722" s="297" t="str">
        <f t="shared" si="104"/>
        <v>niet van toepassing</v>
      </c>
      <c r="J722" s="295" t="s">
        <v>1015</v>
      </c>
      <c r="K722" s="298"/>
      <c r="L722" s="298">
        <v>5.09</v>
      </c>
      <c r="M722" s="299" t="s">
        <v>17</v>
      </c>
      <c r="N722" s="300">
        <f t="shared" si="99"/>
        <v>0</v>
      </c>
      <c r="O722" s="484">
        <v>1</v>
      </c>
      <c r="P722" s="484">
        <v>1</v>
      </c>
      <c r="Q722" s="292">
        <f t="shared" si="100"/>
        <v>0</v>
      </c>
      <c r="R722" s="292">
        <f t="shared" si="101"/>
        <v>0</v>
      </c>
      <c r="S722" s="301">
        <f t="shared" si="96"/>
        <v>0</v>
      </c>
      <c r="T722" s="301">
        <f t="shared" si="97"/>
        <v>0</v>
      </c>
      <c r="U722" s="771">
        <f t="shared" si="98"/>
        <v>0</v>
      </c>
      <c r="V722" s="303"/>
      <c r="W722" s="304">
        <f>(Q722+R722)*'1.0-Contractblad'!$L$37</f>
        <v>0</v>
      </c>
      <c r="X722" s="304">
        <f ca="1">VLOOKUP(E722,'1.1a-Jaarprijzen'!$B$35:$Q$57,16,FALSE)*K722</f>
        <v>0</v>
      </c>
      <c r="Z722" s="773">
        <f t="shared" si="102"/>
        <v>0</v>
      </c>
      <c r="AA722" s="492" t="str">
        <f t="shared" si="103"/>
        <v>nvt-0</v>
      </c>
    </row>
    <row r="723" spans="2:27" s="490" customFormat="1" ht="15">
      <c r="B723" s="330"/>
      <c r="C723" s="331"/>
      <c r="D723" s="295">
        <f>VLOOKUP(E723,'1.1a-Jaarprijzen'!$B$13:$G$32,6,FALSE)</f>
        <v>2</v>
      </c>
      <c r="E723" s="294" t="s">
        <v>1000</v>
      </c>
      <c r="F723" s="295"/>
      <c r="G723" s="296" t="s">
        <v>1013</v>
      </c>
      <c r="H723" s="731" t="s">
        <v>391</v>
      </c>
      <c r="I723" s="297" t="str">
        <f t="shared" si="104"/>
        <v>niet van toepassing</v>
      </c>
      <c r="J723" s="295" t="s">
        <v>1015</v>
      </c>
      <c r="K723" s="298"/>
      <c r="L723" s="298">
        <v>11.59</v>
      </c>
      <c r="M723" s="299" t="s">
        <v>17</v>
      </c>
      <c r="N723" s="300">
        <f t="shared" si="99"/>
        <v>0</v>
      </c>
      <c r="O723" s="484">
        <v>1</v>
      </c>
      <c r="P723" s="484">
        <v>1</v>
      </c>
      <c r="Q723" s="292">
        <f t="shared" si="100"/>
        <v>0</v>
      </c>
      <c r="R723" s="292">
        <f t="shared" si="101"/>
        <v>0</v>
      </c>
      <c r="S723" s="301">
        <f t="shared" si="96"/>
        <v>0</v>
      </c>
      <c r="T723" s="301">
        <f t="shared" si="97"/>
        <v>0</v>
      </c>
      <c r="U723" s="771">
        <f t="shared" si="98"/>
        <v>0</v>
      </c>
      <c r="V723" s="303"/>
      <c r="W723" s="304">
        <f>(Q723+R723)*'1.0-Contractblad'!$L$37</f>
        <v>0</v>
      </c>
      <c r="X723" s="304">
        <f ca="1">VLOOKUP(E723,'1.1a-Jaarprijzen'!$B$35:$Q$57,16,FALSE)*K723</f>
        <v>0</v>
      </c>
      <c r="Z723" s="773">
        <f t="shared" si="102"/>
        <v>0</v>
      </c>
      <c r="AA723" s="492" t="str">
        <f t="shared" si="103"/>
        <v>nvt-0</v>
      </c>
    </row>
    <row r="724" spans="2:27" s="490" customFormat="1" ht="15">
      <c r="B724" s="330"/>
      <c r="C724" s="331"/>
      <c r="D724" s="295">
        <f>VLOOKUP(E724,'1.1a-Jaarprijzen'!$B$13:$G$32,6,FALSE)</f>
        <v>2</v>
      </c>
      <c r="E724" s="294" t="s">
        <v>1000</v>
      </c>
      <c r="F724" s="295"/>
      <c r="G724" s="296" t="s">
        <v>1014</v>
      </c>
      <c r="H724" s="731" t="s">
        <v>391</v>
      </c>
      <c r="I724" s="297" t="str">
        <f t="shared" si="104"/>
        <v>niet van toepassing</v>
      </c>
      <c r="J724" s="295" t="s">
        <v>1015</v>
      </c>
      <c r="K724" s="298"/>
      <c r="L724" s="298">
        <v>11.58</v>
      </c>
      <c r="M724" s="299" t="s">
        <v>17</v>
      </c>
      <c r="N724" s="300">
        <f t="shared" si="99"/>
        <v>0</v>
      </c>
      <c r="O724" s="484">
        <v>1</v>
      </c>
      <c r="P724" s="484">
        <v>1</v>
      </c>
      <c r="Q724" s="292">
        <f t="shared" si="100"/>
        <v>0</v>
      </c>
      <c r="R724" s="292">
        <f t="shared" si="101"/>
        <v>0</v>
      </c>
      <c r="S724" s="301">
        <f t="shared" si="96"/>
        <v>0</v>
      </c>
      <c r="T724" s="301">
        <f t="shared" si="97"/>
        <v>0</v>
      </c>
      <c r="U724" s="771">
        <f t="shared" si="98"/>
        <v>0</v>
      </c>
      <c r="V724" s="303"/>
      <c r="W724" s="304">
        <f>(Q724+R724)*'1.0-Contractblad'!$L$37</f>
        <v>0</v>
      </c>
      <c r="X724" s="304">
        <f ca="1">VLOOKUP(E724,'1.1a-Jaarprijzen'!$B$35:$Q$57,16,FALSE)*K724</f>
        <v>0</v>
      </c>
      <c r="Z724" s="773">
        <f t="shared" si="102"/>
        <v>0</v>
      </c>
      <c r="AA724" s="492" t="str">
        <f t="shared" si="103"/>
        <v>nvt-0</v>
      </c>
    </row>
  </sheetData>
  <autoFilter ref="B12:X724" xr:uid="{00000000-0001-0000-0500-000000000000}">
    <sortState xmlns:xlrd2="http://schemas.microsoft.com/office/spreadsheetml/2017/richdata2" ref="B15:X724">
      <sortCondition sortBy="cellColor" ref="H12:H724" dxfId="188"/>
    </sortState>
  </autoFilter>
  <mergeCells count="1">
    <mergeCell ref="G10:H10"/>
  </mergeCells>
  <phoneticPr fontId="10" type="noConversion"/>
  <conditionalFormatting sqref="B224:B258">
    <cfRule type="notContainsBlanks" dxfId="158" priority="3">
      <formula>LEN(TRIM(B224))&gt;0</formula>
    </cfRule>
  </conditionalFormatting>
  <conditionalFormatting sqref="B455:B489">
    <cfRule type="notContainsBlanks" dxfId="157" priority="7">
      <formula>LEN(TRIM(B455))&gt;0</formula>
    </cfRule>
  </conditionalFormatting>
  <conditionalFormatting sqref="B14:C724">
    <cfRule type="notContainsBlanks" dxfId="156" priority="15">
      <formula>LEN(TRIM(B14))&gt;0</formula>
    </cfRule>
  </conditionalFormatting>
  <conditionalFormatting sqref="C74">
    <cfRule type="notContainsBlanks" dxfId="155" priority="23">
      <formula>LEN(TRIM(C74))&gt;0</formula>
    </cfRule>
  </conditionalFormatting>
  <conditionalFormatting sqref="C178">
    <cfRule type="notContainsBlanks" dxfId="154" priority="4">
      <formula>LEN(TRIM(C178))&gt;0</formula>
    </cfRule>
  </conditionalFormatting>
  <conditionalFormatting sqref="C283">
    <cfRule type="notContainsBlanks" dxfId="153" priority="2">
      <formula>LEN(TRIM(C283))&gt;0</formula>
    </cfRule>
  </conditionalFormatting>
  <conditionalFormatting sqref="C381">
    <cfRule type="notContainsBlanks" dxfId="152" priority="5">
      <formula>LEN(TRIM(C381))&gt;0</formula>
    </cfRule>
  </conditionalFormatting>
  <conditionalFormatting sqref="C409">
    <cfRule type="notContainsBlanks" dxfId="151" priority="8">
      <formula>LEN(TRIM(C409))&gt;0</formula>
    </cfRule>
  </conditionalFormatting>
  <conditionalFormatting sqref="C542">
    <cfRule type="notContainsBlanks" dxfId="150" priority="6">
      <formula>LEN(TRIM(C542))&gt;0</formula>
    </cfRule>
  </conditionalFormatting>
  <conditionalFormatting sqref="O14:P724">
    <cfRule type="cellIs" dxfId="149" priority="40" operator="lessThan">
      <formula>1</formula>
    </cfRule>
    <cfRule type="cellIs" dxfId="148" priority="41" operator="greaterThan">
      <formula>1</formula>
    </cfRule>
  </conditionalFormatting>
  <conditionalFormatting sqref="Q9:R9 Q14:T724 W14:X724">
    <cfRule type="cellIs" dxfId="147" priority="496" operator="greaterThan">
      <formula>0</formula>
    </cfRule>
  </conditionalFormatting>
  <dataValidations xWindow="1233" yWindow="261"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00000000-0002-0000-0500-000000000000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6" max="1048575" man="1"/>
  </colBreaks>
  <picture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/>
  <dimension ref="C7:J17"/>
  <sheetViews>
    <sheetView showGridLines="0" workbookViewId="0">
      <selection activeCell="B75" sqref="B75"/>
    </sheetView>
  </sheetViews>
  <sheetFormatPr baseColWidth="10" defaultColWidth="10.796875" defaultRowHeight="13"/>
  <cols>
    <col min="1" max="2" width="10.796875" style="1"/>
    <col min="3" max="4" width="11.19921875" style="1" customWidth="1"/>
    <col min="5" max="5" width="8.19921875" style="1" customWidth="1"/>
    <col min="6" max="6" width="16.796875" style="1" customWidth="1"/>
    <col min="7" max="7" width="12.19921875" style="1" customWidth="1"/>
    <col min="8" max="8" width="13" style="18" bestFit="1" customWidth="1"/>
    <col min="9" max="9" width="14" style="1" bestFit="1" customWidth="1"/>
    <col min="10" max="10" width="15.19921875" style="1" bestFit="1" customWidth="1"/>
    <col min="11" max="16384" width="10.796875" style="1"/>
  </cols>
  <sheetData>
    <row r="7" spans="3:10" ht="48" customHeight="1">
      <c r="C7" s="9" t="s">
        <v>138</v>
      </c>
      <c r="D7" s="9" t="s">
        <v>139</v>
      </c>
      <c r="E7" s="9" t="s">
        <v>125</v>
      </c>
      <c r="F7" s="9" t="s">
        <v>108</v>
      </c>
      <c r="G7" s="9" t="s">
        <v>154</v>
      </c>
      <c r="H7" s="9" t="s">
        <v>155</v>
      </c>
      <c r="I7" s="9" t="s">
        <v>156</v>
      </c>
      <c r="J7" s="16" t="s">
        <v>157</v>
      </c>
    </row>
    <row r="8" spans="3:10" s="2" customFormat="1" ht="24" customHeight="1">
      <c r="C8" s="10"/>
      <c r="D8" s="11"/>
      <c r="E8" s="12"/>
      <c r="F8" s="7"/>
      <c r="G8" s="13"/>
      <c r="H8" s="17">
        <f>D8-G8</f>
        <v>0</v>
      </c>
      <c r="I8" s="14"/>
      <c r="J8" s="15"/>
    </row>
    <row r="9" spans="3:10" s="2" customFormat="1" ht="24" customHeight="1">
      <c r="C9" s="10"/>
      <c r="D9" s="11"/>
      <c r="E9" s="12"/>
      <c r="F9" s="7"/>
      <c r="G9" s="13"/>
      <c r="H9" s="17">
        <f>G9-D9</f>
        <v>0</v>
      </c>
      <c r="I9" s="14"/>
      <c r="J9" s="15"/>
    </row>
    <row r="10" spans="3:10" s="2" customFormat="1" ht="24" customHeight="1">
      <c r="C10" s="10"/>
      <c r="D10" s="11"/>
      <c r="E10" s="12"/>
      <c r="F10" s="7"/>
      <c r="G10" s="13"/>
      <c r="H10" s="17">
        <f>G10-D10</f>
        <v>0</v>
      </c>
      <c r="I10" s="14"/>
      <c r="J10" s="15"/>
    </row>
    <row r="16" spans="3:10">
      <c r="J16" s="19"/>
    </row>
    <row r="17" spans="10:10">
      <c r="J17" s="19"/>
    </row>
  </sheetData>
  <pageMargins left="0.75" right="0.75" top="1" bottom="1" header="0.5" footer="0.5"/>
  <pageSetup paperSize="9"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FABA-8550-994A-A4A4-105AE10EB4EF}">
  <dimension ref="A1:AE37"/>
  <sheetViews>
    <sheetView showGridLines="0" showRowColHeaders="0" showZeros="0" showOutlineSymbols="0" topLeftCell="A4" zoomScaleNormal="100" zoomScaleSheetLayoutView="65" zoomScalePageLayoutView="90" workbookViewId="0">
      <pane ySplit="10" topLeftCell="A14" activePane="bottomLeft" state="frozen"/>
      <selection activeCell="S9" sqref="S9"/>
      <selection pane="bottomLeft"/>
    </sheetView>
  </sheetViews>
  <sheetFormatPr baseColWidth="10" defaultColWidth="8.796875" defaultRowHeight="16" customHeight="1"/>
  <cols>
    <col min="1" max="1" width="8.59765625" style="237" customWidth="1"/>
    <col min="2" max="2" width="20.59765625" style="267" customWidth="1"/>
    <col min="3" max="3" width="13" style="305" customWidth="1"/>
    <col min="4" max="4" width="9.3984375" style="267" customWidth="1"/>
    <col min="5" max="5" width="37.19921875" style="306" customWidth="1"/>
    <col min="6" max="6" width="13.3984375" style="267" bestFit="1" customWidth="1"/>
    <col min="7" max="7" width="8.19921875" style="307" customWidth="1"/>
    <col min="8" max="8" width="23.3984375" style="237" bestFit="1" customWidth="1"/>
    <col min="9" max="9" width="44.19921875" style="286" bestFit="1" customWidth="1"/>
    <col min="10" max="10" width="16" style="267" customWidth="1"/>
    <col min="11" max="12" width="10.796875" style="288" customWidth="1"/>
    <col min="13" max="13" width="21.796875" style="289" bestFit="1" customWidth="1"/>
    <col min="14" max="14" width="21.796875" style="267" bestFit="1" customWidth="1"/>
    <col min="15" max="15" width="16.59765625" style="267" bestFit="1" customWidth="1"/>
    <col min="16" max="17" width="11" style="289" customWidth="1"/>
    <col min="18" max="18" width="12" style="290" customWidth="1"/>
    <col min="19" max="19" width="18.19921875" style="290" bestFit="1" customWidth="1"/>
    <col min="20" max="20" width="18.19921875" style="237" bestFit="1" customWidth="1"/>
    <col min="21" max="22" width="18.59765625" style="267" bestFit="1" customWidth="1"/>
    <col min="23" max="23" width="18.59765625" style="237" bestFit="1" customWidth="1"/>
    <col min="24" max="24" width="13.59765625" style="237" bestFit="1" customWidth="1"/>
    <col min="25" max="25" width="27.3984375" style="308" bestFit="1" customWidth="1"/>
    <col min="26" max="26" width="17" style="267" customWidth="1"/>
    <col min="27" max="27" width="20.3984375" style="267" customWidth="1"/>
    <col min="28" max="28" width="15.59765625" style="237" customWidth="1"/>
    <col min="29" max="29" width="9.796875" style="237" hidden="1" customWidth="1"/>
    <col min="30" max="30" width="11.59765625" style="237" hidden="1" customWidth="1"/>
    <col min="31" max="31" width="22.796875" style="237" hidden="1" customWidth="1"/>
    <col min="32" max="32" width="12" style="237" customWidth="1"/>
    <col min="33" max="33" width="20" style="237" customWidth="1"/>
    <col min="34" max="16384" width="8.796875" style="237"/>
  </cols>
  <sheetData>
    <row r="1" spans="1:31" s="3" customFormat="1" ht="9" customHeight="1" thickBot="1">
      <c r="A1" s="6"/>
      <c r="B1" s="30"/>
      <c r="C1" s="30"/>
      <c r="D1" s="531"/>
      <c r="E1" s="30"/>
      <c r="F1" s="30"/>
      <c r="G1" s="30"/>
      <c r="H1" s="30"/>
      <c r="I1" s="30"/>
      <c r="J1" s="525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99"/>
      <c r="X1" s="99"/>
      <c r="Y1" s="99"/>
      <c r="Z1" s="99"/>
      <c r="AA1" s="99"/>
    </row>
    <row r="2" spans="1:31" s="3" customFormat="1" ht="8" customHeight="1">
      <c r="A2" s="6"/>
      <c r="B2" s="102"/>
      <c r="C2" s="102"/>
      <c r="D2" s="532"/>
      <c r="E2" s="102"/>
      <c r="F2" s="102"/>
      <c r="G2" s="102"/>
      <c r="H2" s="102"/>
      <c r="I2" s="102"/>
      <c r="J2" s="526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99"/>
      <c r="X2" s="99"/>
      <c r="Y2" s="99"/>
      <c r="Z2" s="99"/>
      <c r="AA2" s="99"/>
    </row>
    <row r="3" spans="1:31" s="187" customFormat="1" ht="15">
      <c r="C3" s="188"/>
      <c r="D3" s="188"/>
      <c r="E3" s="188"/>
      <c r="F3" s="189"/>
      <c r="G3" s="190"/>
      <c r="H3" s="191"/>
      <c r="I3" s="528"/>
      <c r="J3" s="192"/>
      <c r="K3" s="193"/>
      <c r="L3" s="194"/>
      <c r="M3" s="190"/>
      <c r="N3" s="195"/>
    </row>
    <row r="4" spans="1:31" ht="18" customHeight="1">
      <c r="A4" s="267"/>
      <c r="C4" s="268"/>
      <c r="E4" s="280" t="str">
        <f>'1.2-Kengetal'!C4</f>
        <v>Omschrijving blad</v>
      </c>
      <c r="F4" s="281"/>
      <c r="G4" s="333" t="s">
        <v>341</v>
      </c>
      <c r="H4" s="282"/>
      <c r="I4" s="529"/>
      <c r="J4" s="271"/>
      <c r="K4" s="274"/>
      <c r="L4" s="274"/>
      <c r="M4" s="275"/>
      <c r="N4" s="271"/>
      <c r="O4" s="274"/>
      <c r="P4" s="274"/>
      <c r="Q4" s="274"/>
      <c r="R4" s="276"/>
      <c r="S4" s="277"/>
      <c r="T4" s="278"/>
      <c r="U4" s="279"/>
      <c r="V4" s="279"/>
      <c r="W4" s="278"/>
      <c r="X4" s="283"/>
      <c r="Y4" s="284"/>
      <c r="Z4" s="271"/>
    </row>
    <row r="5" spans="1:31" ht="18" customHeight="1">
      <c r="A5" s="267"/>
      <c r="C5" s="268"/>
      <c r="E5" s="197" t="s">
        <v>85</v>
      </c>
      <c r="G5" s="332" t="str">
        <f>Voorblad!$E$16</f>
        <v>Stichting Opspoor</v>
      </c>
      <c r="H5" s="282"/>
      <c r="I5" s="530"/>
      <c r="J5" s="271"/>
      <c r="K5" s="274"/>
      <c r="L5" s="274"/>
      <c r="M5" s="275"/>
      <c r="N5" s="271"/>
      <c r="O5" s="271"/>
      <c r="P5" s="275"/>
      <c r="Q5" s="275"/>
      <c r="R5" s="276"/>
      <c r="S5" s="277"/>
      <c r="T5" s="278"/>
      <c r="U5" s="279"/>
      <c r="V5" s="279"/>
      <c r="W5" s="285"/>
      <c r="X5" s="283"/>
      <c r="Y5" s="284"/>
      <c r="Z5" s="271"/>
    </row>
    <row r="6" spans="1:31" ht="18" customHeight="1">
      <c r="A6" s="267"/>
      <c r="C6" s="268"/>
      <c r="E6" s="197" t="s">
        <v>33</v>
      </c>
      <c r="G6" s="332" t="str">
        <f>'1.0-Contractblad'!$E$7</f>
        <v>Purmerend e.o.</v>
      </c>
      <c r="H6" s="282"/>
      <c r="J6" s="507" t="s">
        <v>161</v>
      </c>
      <c r="K6" s="287"/>
      <c r="M6" s="275"/>
      <c r="N6" s="271"/>
      <c r="O6" s="271"/>
      <c r="S6" s="277"/>
      <c r="T6" s="278"/>
      <c r="U6" s="279"/>
      <c r="V6" s="279"/>
      <c r="W6" s="278"/>
      <c r="X6" s="283"/>
      <c r="Y6" s="284"/>
      <c r="Z6" s="271"/>
    </row>
    <row r="7" spans="1:31" ht="18" customHeight="1" thickBot="1">
      <c r="A7" s="267"/>
      <c r="C7" s="268"/>
      <c r="E7" s="197" t="s">
        <v>114</v>
      </c>
      <c r="G7" s="207" t="str">
        <f>Voorblad!$E$24</f>
        <v>1501-102-2026</v>
      </c>
      <c r="H7" s="282"/>
      <c r="J7" s="527"/>
      <c r="K7" s="545" t="s">
        <v>342</v>
      </c>
      <c r="L7" s="274"/>
      <c r="M7" s="275"/>
      <c r="N7" s="271"/>
      <c r="O7" s="271"/>
      <c r="S7" s="277"/>
      <c r="T7" s="278"/>
      <c r="U7" s="279"/>
      <c r="V7" s="279"/>
      <c r="W7" s="278"/>
      <c r="X7" s="283"/>
      <c r="Y7" s="284"/>
      <c r="Z7" s="271"/>
    </row>
    <row r="8" spans="1:31" ht="18" customHeight="1">
      <c r="A8" s="267"/>
      <c r="C8" s="268"/>
      <c r="E8" s="197" t="s">
        <v>145</v>
      </c>
      <c r="G8" s="212" t="str">
        <f ca="1">Voorblad!$E$26</f>
        <v>Calculatiemodule Opspoor Perceel 2 V1.1 | 01-jan-27 Wijziging bijgehouden</v>
      </c>
      <c r="H8" s="282"/>
      <c r="J8" s="286"/>
      <c r="K8" s="286"/>
      <c r="L8" s="286"/>
      <c r="M8" s="286"/>
      <c r="N8" s="286"/>
      <c r="O8" s="271"/>
      <c r="S8" s="277"/>
      <c r="T8" s="278"/>
      <c r="U8" s="279"/>
      <c r="V8" s="279"/>
      <c r="W8" s="278"/>
      <c r="X8" s="283"/>
      <c r="Y8" s="284"/>
      <c r="Z8" s="271"/>
    </row>
    <row r="9" spans="1:31" ht="18" customHeight="1">
      <c r="A9" s="267"/>
      <c r="C9" s="268"/>
      <c r="E9" s="197" t="s">
        <v>83</v>
      </c>
      <c r="G9" s="334" t="str">
        <f>Voorblad!$E$19</f>
        <v>Naam organisatie</v>
      </c>
      <c r="H9" s="291"/>
      <c r="J9" s="286"/>
      <c r="K9" s="286"/>
      <c r="L9" s="286"/>
      <c r="M9" s="286"/>
      <c r="N9" s="286"/>
      <c r="O9" s="271"/>
      <c r="R9" s="292"/>
      <c r="S9" s="292"/>
      <c r="T9" s="292"/>
      <c r="U9" s="279"/>
      <c r="V9" s="279"/>
      <c r="W9" s="278"/>
      <c r="X9" s="283"/>
      <c r="Y9" s="284"/>
      <c r="Z9" s="271"/>
    </row>
    <row r="10" spans="1:31" ht="18" customHeight="1">
      <c r="A10" s="267"/>
      <c r="C10" s="268"/>
      <c r="E10" s="197" t="s">
        <v>6</v>
      </c>
      <c r="G10" s="827">
        <f>Voorblad!$E$22</f>
        <v>46388</v>
      </c>
      <c r="H10" s="827"/>
      <c r="I10" s="293"/>
      <c r="J10" s="293"/>
      <c r="K10" s="293"/>
      <c r="L10" s="293"/>
      <c r="M10" s="293"/>
      <c r="N10" s="293"/>
      <c r="O10" s="271"/>
      <c r="S10" s="277"/>
      <c r="T10" s="278"/>
      <c r="U10" s="279"/>
      <c r="V10" s="279"/>
      <c r="W10" s="278"/>
      <c r="Y10" s="284"/>
      <c r="Z10" s="271"/>
    </row>
    <row r="11" spans="1:31" ht="15">
      <c r="A11" s="267"/>
      <c r="C11" s="268"/>
      <c r="E11" s="269"/>
      <c r="F11" s="270"/>
      <c r="G11" s="271"/>
      <c r="H11" s="272"/>
      <c r="I11" s="273"/>
      <c r="J11" s="271"/>
      <c r="K11" s="274"/>
      <c r="L11" s="274"/>
      <c r="M11" s="275"/>
      <c r="N11" s="271"/>
      <c r="O11" s="271"/>
      <c r="S11" s="277"/>
      <c r="T11" s="278"/>
      <c r="U11" s="279"/>
      <c r="V11" s="279"/>
      <c r="W11" s="278"/>
      <c r="X11" s="272"/>
      <c r="Y11" s="284"/>
      <c r="Z11" s="271"/>
    </row>
    <row r="12" spans="1:31" s="318" customFormat="1" ht="53" customHeight="1">
      <c r="A12" s="309"/>
      <c r="B12" s="175" t="s">
        <v>327</v>
      </c>
      <c r="C12" s="310" t="s">
        <v>328</v>
      </c>
      <c r="D12" s="174" t="s">
        <v>245</v>
      </c>
      <c r="E12" s="173" t="s">
        <v>270</v>
      </c>
      <c r="F12" s="174" t="s">
        <v>25</v>
      </c>
      <c r="G12" s="311" t="s">
        <v>296</v>
      </c>
      <c r="H12" s="173" t="s">
        <v>118</v>
      </c>
      <c r="I12" s="312" t="s">
        <v>53</v>
      </c>
      <c r="J12" s="175" t="s">
        <v>96</v>
      </c>
      <c r="K12" s="248" t="s">
        <v>78</v>
      </c>
      <c r="L12" s="248" t="s">
        <v>50</v>
      </c>
      <c r="M12" s="313" t="s">
        <v>237</v>
      </c>
      <c r="N12" s="313" t="s">
        <v>238</v>
      </c>
      <c r="O12" s="314" t="s">
        <v>24</v>
      </c>
      <c r="P12" s="313" t="s">
        <v>244</v>
      </c>
      <c r="Q12" s="313" t="s">
        <v>214</v>
      </c>
      <c r="R12" s="315" t="s">
        <v>234</v>
      </c>
      <c r="S12" s="315" t="s">
        <v>233</v>
      </c>
      <c r="T12" s="315" t="s">
        <v>246</v>
      </c>
      <c r="U12" s="316" t="s">
        <v>235</v>
      </c>
      <c r="V12" s="314" t="s">
        <v>232</v>
      </c>
      <c r="W12" s="314" t="s">
        <v>239</v>
      </c>
      <c r="X12" s="174" t="s">
        <v>67</v>
      </c>
      <c r="Y12" s="317" t="s">
        <v>51</v>
      </c>
      <c r="Z12" s="175" t="s">
        <v>236</v>
      </c>
      <c r="AA12" s="175" t="s">
        <v>329</v>
      </c>
    </row>
    <row r="13" spans="1:31" s="318" customFormat="1">
      <c r="A13" s="309"/>
      <c r="B13" s="327" t="s">
        <v>338</v>
      </c>
      <c r="C13" s="328"/>
      <c r="D13" s="533"/>
      <c r="E13" s="329"/>
      <c r="F13" s="180"/>
      <c r="G13" s="319"/>
      <c r="H13" s="179"/>
      <c r="I13" s="320"/>
      <c r="J13" s="181"/>
      <c r="K13" s="321"/>
      <c r="L13" s="321"/>
      <c r="M13" s="322"/>
      <c r="N13" s="322"/>
      <c r="O13" s="323"/>
      <c r="P13" s="322"/>
      <c r="Q13" s="322"/>
      <c r="R13" s="324"/>
      <c r="S13" s="324"/>
      <c r="T13" s="324"/>
      <c r="U13" s="325"/>
      <c r="V13" s="323"/>
      <c r="W13" s="323"/>
      <c r="X13" s="180"/>
      <c r="Y13" s="326"/>
      <c r="Z13" s="181"/>
      <c r="AA13" s="181"/>
    </row>
    <row r="14" spans="1:31" ht="15">
      <c r="B14" s="694"/>
      <c r="C14" s="331"/>
      <c r="D14" s="295"/>
      <c r="E14" s="294"/>
      <c r="F14" s="295"/>
      <c r="G14" s="296"/>
      <c r="H14" s="294"/>
      <c r="I14" s="297">
        <f t="shared" ref="I14:I36" si="0">IF($M14="",0,VLOOKUP($M14,Kengetal,4,FALSE))</f>
        <v>0</v>
      </c>
      <c r="J14" s="295"/>
      <c r="K14" s="298"/>
      <c r="L14" s="298"/>
      <c r="M14" s="299"/>
      <c r="N14" s="299"/>
      <c r="O14" s="300">
        <f t="shared" ref="O14:O36" si="1">VLOOKUP(M14,Kengetal,3,FALSE)+VLOOKUP(N14,Kengetal,3,FALSE)</f>
        <v>0</v>
      </c>
      <c r="P14" s="484">
        <v>1</v>
      </c>
      <c r="Q14" s="484">
        <v>1</v>
      </c>
      <c r="R14" s="292">
        <f t="shared" ref="R14:R36" si="2">U14*K14*P14</f>
        <v>0</v>
      </c>
      <c r="S14" s="292">
        <f t="shared" ref="S14:S36" si="3">V14*K14*Q14</f>
        <v>0</v>
      </c>
      <c r="T14" s="292">
        <f t="shared" ref="T14:T36" si="4">W14*K14*P14</f>
        <v>0</v>
      </c>
      <c r="U14" s="301">
        <f t="shared" ref="U14:U36" si="5">IF($M14=0,0,VLOOKUP($M14,Kengetal,6,FALSE))</f>
        <v>0</v>
      </c>
      <c r="V14" s="301">
        <f t="shared" ref="V14:V36" si="6">IF($M14=0,0,VLOOKUP($M14,Kengetal,7,FALSE))</f>
        <v>0</v>
      </c>
      <c r="W14" s="301">
        <f t="shared" ref="W14:W36" si="7">IF($N14=0,0,VLOOKUP($N14,Kengetal,6,FALSE))</f>
        <v>0</v>
      </c>
      <c r="X14" s="302" t="str">
        <f t="shared" ref="X14:X36" si="8">IF(M14="","",VLOOKUP(M14,Kengetal,13,FALSE))</f>
        <v/>
      </c>
      <c r="Y14" s="303"/>
      <c r="Z14" s="304"/>
      <c r="AA14" s="304"/>
      <c r="AD14" s="237">
        <f>K14*P14</f>
        <v>0</v>
      </c>
      <c r="AE14" s="237" t="str">
        <f>CONCATENATE(M14,"-",P14)</f>
        <v>-1</v>
      </c>
    </row>
    <row r="15" spans="1:31" ht="15">
      <c r="B15" s="694"/>
      <c r="C15" s="331"/>
      <c r="D15" s="295"/>
      <c r="E15" s="294"/>
      <c r="F15" s="295"/>
      <c r="G15" s="296"/>
      <c r="H15" s="294"/>
      <c r="I15" s="297">
        <f t="shared" si="0"/>
        <v>0</v>
      </c>
      <c r="J15" s="295"/>
      <c r="K15" s="298"/>
      <c r="L15" s="298"/>
      <c r="M15" s="299"/>
      <c r="N15" s="299"/>
      <c r="O15" s="300">
        <f t="shared" si="1"/>
        <v>0</v>
      </c>
      <c r="P15" s="484">
        <v>1</v>
      </c>
      <c r="Q15" s="484">
        <v>1</v>
      </c>
      <c r="R15" s="292">
        <f t="shared" si="2"/>
        <v>0</v>
      </c>
      <c r="S15" s="292">
        <f t="shared" si="3"/>
        <v>0</v>
      </c>
      <c r="T15" s="292">
        <f t="shared" si="4"/>
        <v>0</v>
      </c>
      <c r="U15" s="301">
        <f t="shared" si="5"/>
        <v>0</v>
      </c>
      <c r="V15" s="301">
        <f t="shared" si="6"/>
        <v>0</v>
      </c>
      <c r="W15" s="301">
        <f t="shared" si="7"/>
        <v>0</v>
      </c>
      <c r="X15" s="302" t="str">
        <f t="shared" si="8"/>
        <v/>
      </c>
      <c r="Y15" s="303"/>
      <c r="Z15" s="304"/>
      <c r="AA15" s="304"/>
    </row>
    <row r="16" spans="1:31" ht="15">
      <c r="B16" s="694"/>
      <c r="C16" s="331"/>
      <c r="D16" s="295"/>
      <c r="E16" s="294"/>
      <c r="F16" s="295"/>
      <c r="G16" s="296"/>
      <c r="H16" s="294"/>
      <c r="I16" s="297">
        <f t="shared" si="0"/>
        <v>0</v>
      </c>
      <c r="J16" s="295"/>
      <c r="K16" s="298"/>
      <c r="L16" s="298"/>
      <c r="M16" s="299"/>
      <c r="N16" s="299"/>
      <c r="O16" s="300">
        <f t="shared" si="1"/>
        <v>0</v>
      </c>
      <c r="P16" s="484">
        <v>1</v>
      </c>
      <c r="Q16" s="484">
        <v>1</v>
      </c>
      <c r="R16" s="292">
        <f t="shared" si="2"/>
        <v>0</v>
      </c>
      <c r="S16" s="292">
        <f t="shared" si="3"/>
        <v>0</v>
      </c>
      <c r="T16" s="292">
        <f t="shared" si="4"/>
        <v>0</v>
      </c>
      <c r="U16" s="301">
        <f t="shared" si="5"/>
        <v>0</v>
      </c>
      <c r="V16" s="301">
        <f t="shared" si="6"/>
        <v>0</v>
      </c>
      <c r="W16" s="301">
        <f t="shared" si="7"/>
        <v>0</v>
      </c>
      <c r="X16" s="302" t="str">
        <f t="shared" si="8"/>
        <v/>
      </c>
      <c r="Y16" s="303"/>
      <c r="Z16" s="304"/>
      <c r="AA16" s="304"/>
    </row>
    <row r="17" spans="2:30" ht="15">
      <c r="B17" s="694"/>
      <c r="C17" s="331"/>
      <c r="D17" s="295"/>
      <c r="E17" s="294"/>
      <c r="F17" s="295"/>
      <c r="G17" s="296"/>
      <c r="H17" s="294"/>
      <c r="I17" s="297">
        <f t="shared" si="0"/>
        <v>0</v>
      </c>
      <c r="J17" s="295"/>
      <c r="K17" s="298"/>
      <c r="L17" s="298"/>
      <c r="M17" s="299"/>
      <c r="N17" s="299"/>
      <c r="O17" s="300">
        <f t="shared" si="1"/>
        <v>0</v>
      </c>
      <c r="P17" s="484">
        <v>1</v>
      </c>
      <c r="Q17" s="484">
        <v>1</v>
      </c>
      <c r="R17" s="292">
        <f t="shared" si="2"/>
        <v>0</v>
      </c>
      <c r="S17" s="292">
        <f t="shared" si="3"/>
        <v>0</v>
      </c>
      <c r="T17" s="292">
        <f t="shared" si="4"/>
        <v>0</v>
      </c>
      <c r="U17" s="301">
        <f t="shared" si="5"/>
        <v>0</v>
      </c>
      <c r="V17" s="301">
        <f t="shared" si="6"/>
        <v>0</v>
      </c>
      <c r="W17" s="301">
        <f t="shared" si="7"/>
        <v>0</v>
      </c>
      <c r="X17" s="302" t="str">
        <f t="shared" si="8"/>
        <v/>
      </c>
      <c r="Y17" s="303"/>
      <c r="Z17" s="304"/>
      <c r="AA17" s="304"/>
    </row>
    <row r="18" spans="2:30" ht="15">
      <c r="B18" s="694"/>
      <c r="C18" s="331"/>
      <c r="D18" s="295"/>
      <c r="E18" s="294"/>
      <c r="F18" s="295"/>
      <c r="G18" s="296"/>
      <c r="H18" s="294"/>
      <c r="I18" s="297">
        <f t="shared" si="0"/>
        <v>0</v>
      </c>
      <c r="J18" s="295"/>
      <c r="K18" s="298"/>
      <c r="L18" s="298"/>
      <c r="M18" s="299"/>
      <c r="N18" s="299"/>
      <c r="O18" s="300">
        <f t="shared" si="1"/>
        <v>0</v>
      </c>
      <c r="P18" s="484">
        <v>1</v>
      </c>
      <c r="Q18" s="484">
        <v>1</v>
      </c>
      <c r="R18" s="292">
        <f t="shared" si="2"/>
        <v>0</v>
      </c>
      <c r="S18" s="292">
        <f t="shared" si="3"/>
        <v>0</v>
      </c>
      <c r="T18" s="292">
        <f t="shared" si="4"/>
        <v>0</v>
      </c>
      <c r="U18" s="301">
        <f t="shared" si="5"/>
        <v>0</v>
      </c>
      <c r="V18" s="301">
        <f t="shared" si="6"/>
        <v>0</v>
      </c>
      <c r="W18" s="301">
        <f t="shared" si="7"/>
        <v>0</v>
      </c>
      <c r="X18" s="302" t="str">
        <f t="shared" si="8"/>
        <v/>
      </c>
      <c r="Y18" s="303"/>
      <c r="Z18" s="304"/>
      <c r="AA18" s="304"/>
    </row>
    <row r="19" spans="2:30" ht="15">
      <c r="B19" s="694"/>
      <c r="C19" s="331"/>
      <c r="D19" s="295"/>
      <c r="E19" s="294"/>
      <c r="F19" s="295"/>
      <c r="G19" s="296"/>
      <c r="H19" s="294"/>
      <c r="I19" s="297">
        <f t="shared" si="0"/>
        <v>0</v>
      </c>
      <c r="J19" s="295"/>
      <c r="K19" s="298"/>
      <c r="L19" s="298"/>
      <c r="M19" s="299"/>
      <c r="N19" s="299"/>
      <c r="O19" s="300">
        <f t="shared" si="1"/>
        <v>0</v>
      </c>
      <c r="P19" s="484">
        <v>1</v>
      </c>
      <c r="Q19" s="484">
        <v>1</v>
      </c>
      <c r="R19" s="292">
        <f t="shared" si="2"/>
        <v>0</v>
      </c>
      <c r="S19" s="292">
        <f t="shared" si="3"/>
        <v>0</v>
      </c>
      <c r="T19" s="292">
        <f t="shared" si="4"/>
        <v>0</v>
      </c>
      <c r="U19" s="301">
        <f t="shared" si="5"/>
        <v>0</v>
      </c>
      <c r="V19" s="301">
        <f t="shared" si="6"/>
        <v>0</v>
      </c>
      <c r="W19" s="301">
        <f t="shared" si="7"/>
        <v>0</v>
      </c>
      <c r="X19" s="302" t="str">
        <f t="shared" si="8"/>
        <v/>
      </c>
      <c r="Y19" s="303"/>
      <c r="Z19" s="304"/>
      <c r="AA19" s="304"/>
    </row>
    <row r="20" spans="2:30" ht="15">
      <c r="B20" s="694"/>
      <c r="C20" s="331"/>
      <c r="D20" s="295"/>
      <c r="E20" s="294"/>
      <c r="F20" s="295"/>
      <c r="G20" s="296"/>
      <c r="H20" s="294"/>
      <c r="I20" s="297">
        <f t="shared" si="0"/>
        <v>0</v>
      </c>
      <c r="J20" s="295"/>
      <c r="K20" s="298"/>
      <c r="L20" s="298"/>
      <c r="M20" s="299"/>
      <c r="N20" s="299"/>
      <c r="O20" s="300">
        <f t="shared" si="1"/>
        <v>0</v>
      </c>
      <c r="P20" s="484">
        <v>1</v>
      </c>
      <c r="Q20" s="484">
        <v>1</v>
      </c>
      <c r="R20" s="292">
        <f t="shared" si="2"/>
        <v>0</v>
      </c>
      <c r="S20" s="292">
        <f t="shared" si="3"/>
        <v>0</v>
      </c>
      <c r="T20" s="292">
        <f t="shared" si="4"/>
        <v>0</v>
      </c>
      <c r="U20" s="301">
        <f t="shared" si="5"/>
        <v>0</v>
      </c>
      <c r="V20" s="301">
        <f t="shared" si="6"/>
        <v>0</v>
      </c>
      <c r="W20" s="301">
        <f t="shared" si="7"/>
        <v>0</v>
      </c>
      <c r="X20" s="302" t="str">
        <f t="shared" si="8"/>
        <v/>
      </c>
      <c r="Y20" s="303"/>
      <c r="Z20" s="304"/>
      <c r="AA20" s="304"/>
    </row>
    <row r="21" spans="2:30" ht="15">
      <c r="B21" s="694"/>
      <c r="C21" s="331"/>
      <c r="D21" s="295"/>
      <c r="E21" s="294"/>
      <c r="F21" s="295"/>
      <c r="G21" s="296"/>
      <c r="H21" s="294"/>
      <c r="I21" s="297">
        <f t="shared" si="0"/>
        <v>0</v>
      </c>
      <c r="J21" s="295"/>
      <c r="K21" s="298"/>
      <c r="L21" s="298"/>
      <c r="M21" s="299"/>
      <c r="N21" s="299"/>
      <c r="O21" s="300">
        <f t="shared" si="1"/>
        <v>0</v>
      </c>
      <c r="P21" s="484">
        <v>1</v>
      </c>
      <c r="Q21" s="484">
        <v>1</v>
      </c>
      <c r="R21" s="292">
        <f t="shared" si="2"/>
        <v>0</v>
      </c>
      <c r="S21" s="292">
        <f t="shared" si="3"/>
        <v>0</v>
      </c>
      <c r="T21" s="292">
        <f t="shared" si="4"/>
        <v>0</v>
      </c>
      <c r="U21" s="301">
        <f t="shared" si="5"/>
        <v>0</v>
      </c>
      <c r="V21" s="301">
        <f t="shared" si="6"/>
        <v>0</v>
      </c>
      <c r="W21" s="301">
        <f t="shared" si="7"/>
        <v>0</v>
      </c>
      <c r="X21" s="302" t="str">
        <f t="shared" si="8"/>
        <v/>
      </c>
      <c r="Y21" s="303"/>
      <c r="Z21" s="304"/>
      <c r="AA21" s="304"/>
    </row>
    <row r="22" spans="2:30" ht="15">
      <c r="B22" s="694"/>
      <c r="C22" s="331"/>
      <c r="D22" s="295"/>
      <c r="E22" s="294"/>
      <c r="F22" s="295"/>
      <c r="G22" s="296"/>
      <c r="H22" s="294"/>
      <c r="I22" s="297">
        <f t="shared" si="0"/>
        <v>0</v>
      </c>
      <c r="J22" s="295"/>
      <c r="K22" s="298"/>
      <c r="L22" s="298"/>
      <c r="M22" s="299"/>
      <c r="N22" s="299"/>
      <c r="O22" s="300">
        <f t="shared" si="1"/>
        <v>0</v>
      </c>
      <c r="P22" s="484">
        <v>1</v>
      </c>
      <c r="Q22" s="484">
        <v>1</v>
      </c>
      <c r="R22" s="292">
        <f t="shared" si="2"/>
        <v>0</v>
      </c>
      <c r="S22" s="292">
        <f t="shared" si="3"/>
        <v>0</v>
      </c>
      <c r="T22" s="292">
        <f t="shared" si="4"/>
        <v>0</v>
      </c>
      <c r="U22" s="301">
        <f t="shared" si="5"/>
        <v>0</v>
      </c>
      <c r="V22" s="301">
        <f t="shared" si="6"/>
        <v>0</v>
      </c>
      <c r="W22" s="301">
        <f t="shared" si="7"/>
        <v>0</v>
      </c>
      <c r="X22" s="302" t="str">
        <f t="shared" si="8"/>
        <v/>
      </c>
      <c r="Y22" s="303"/>
      <c r="Z22" s="304"/>
      <c r="AA22" s="304"/>
    </row>
    <row r="23" spans="2:30" ht="15">
      <c r="B23" s="694"/>
      <c r="C23" s="331"/>
      <c r="D23" s="295"/>
      <c r="E23" s="294"/>
      <c r="F23" s="295"/>
      <c r="G23" s="296"/>
      <c r="H23" s="294"/>
      <c r="I23" s="297">
        <f t="shared" si="0"/>
        <v>0</v>
      </c>
      <c r="J23" s="295"/>
      <c r="K23" s="298"/>
      <c r="L23" s="298"/>
      <c r="M23" s="299"/>
      <c r="N23" s="299"/>
      <c r="O23" s="300">
        <f t="shared" si="1"/>
        <v>0</v>
      </c>
      <c r="P23" s="484">
        <v>1</v>
      </c>
      <c r="Q23" s="484">
        <v>1</v>
      </c>
      <c r="R23" s="292">
        <f t="shared" si="2"/>
        <v>0</v>
      </c>
      <c r="S23" s="292">
        <f t="shared" si="3"/>
        <v>0</v>
      </c>
      <c r="T23" s="292">
        <f t="shared" si="4"/>
        <v>0</v>
      </c>
      <c r="U23" s="301">
        <f t="shared" si="5"/>
        <v>0</v>
      </c>
      <c r="V23" s="301">
        <f t="shared" si="6"/>
        <v>0</v>
      </c>
      <c r="W23" s="301">
        <f t="shared" si="7"/>
        <v>0</v>
      </c>
      <c r="X23" s="302" t="str">
        <f t="shared" si="8"/>
        <v/>
      </c>
      <c r="Y23" s="303"/>
      <c r="Z23" s="304"/>
      <c r="AA23" s="304"/>
    </row>
    <row r="24" spans="2:30" ht="15">
      <c r="B24" s="694"/>
      <c r="C24" s="331"/>
      <c r="D24" s="295"/>
      <c r="E24" s="294"/>
      <c r="F24" s="295"/>
      <c r="G24" s="296"/>
      <c r="H24" s="294"/>
      <c r="I24" s="297">
        <f t="shared" si="0"/>
        <v>0</v>
      </c>
      <c r="J24" s="295"/>
      <c r="K24" s="298"/>
      <c r="L24" s="298"/>
      <c r="M24" s="299"/>
      <c r="N24" s="299"/>
      <c r="O24" s="300">
        <f t="shared" si="1"/>
        <v>0</v>
      </c>
      <c r="P24" s="484">
        <v>1</v>
      </c>
      <c r="Q24" s="484">
        <v>1</v>
      </c>
      <c r="R24" s="292">
        <f t="shared" si="2"/>
        <v>0</v>
      </c>
      <c r="S24" s="292">
        <f t="shared" si="3"/>
        <v>0</v>
      </c>
      <c r="T24" s="292">
        <f t="shared" si="4"/>
        <v>0</v>
      </c>
      <c r="U24" s="301">
        <f t="shared" si="5"/>
        <v>0</v>
      </c>
      <c r="V24" s="301">
        <f t="shared" si="6"/>
        <v>0</v>
      </c>
      <c r="W24" s="301">
        <f t="shared" si="7"/>
        <v>0</v>
      </c>
      <c r="X24" s="302" t="str">
        <f t="shared" si="8"/>
        <v/>
      </c>
      <c r="Y24" s="303"/>
      <c r="Z24" s="304"/>
      <c r="AA24" s="304"/>
    </row>
    <row r="25" spans="2:30" ht="15">
      <c r="B25" s="694"/>
      <c r="C25" s="331"/>
      <c r="D25" s="295"/>
      <c r="E25" s="294"/>
      <c r="F25" s="295"/>
      <c r="G25" s="296"/>
      <c r="H25" s="294"/>
      <c r="I25" s="297">
        <f t="shared" si="0"/>
        <v>0</v>
      </c>
      <c r="J25" s="295"/>
      <c r="K25" s="298"/>
      <c r="L25" s="298"/>
      <c r="M25" s="299"/>
      <c r="N25" s="299"/>
      <c r="O25" s="300">
        <f t="shared" si="1"/>
        <v>0</v>
      </c>
      <c r="P25" s="484">
        <v>1</v>
      </c>
      <c r="Q25" s="484">
        <v>1</v>
      </c>
      <c r="R25" s="292">
        <f t="shared" si="2"/>
        <v>0</v>
      </c>
      <c r="S25" s="292">
        <f t="shared" si="3"/>
        <v>0</v>
      </c>
      <c r="T25" s="292">
        <f t="shared" si="4"/>
        <v>0</v>
      </c>
      <c r="U25" s="301">
        <f t="shared" si="5"/>
        <v>0</v>
      </c>
      <c r="V25" s="301">
        <f t="shared" si="6"/>
        <v>0</v>
      </c>
      <c r="W25" s="301">
        <f t="shared" si="7"/>
        <v>0</v>
      </c>
      <c r="X25" s="302" t="str">
        <f t="shared" si="8"/>
        <v/>
      </c>
      <c r="Y25" s="303"/>
      <c r="Z25" s="304"/>
      <c r="AA25" s="304"/>
      <c r="AC25" s="237">
        <f>K25*P25</f>
        <v>0</v>
      </c>
      <c r="AD25" s="237" t="str">
        <f>CONCATENATE(M25,"-",P25)</f>
        <v>-1</v>
      </c>
    </row>
    <row r="26" spans="2:30" ht="15">
      <c r="B26" s="694"/>
      <c r="C26" s="331"/>
      <c r="D26" s="295"/>
      <c r="E26" s="294"/>
      <c r="F26" s="295"/>
      <c r="G26" s="296"/>
      <c r="H26" s="294"/>
      <c r="I26" s="297">
        <f t="shared" si="0"/>
        <v>0</v>
      </c>
      <c r="J26" s="295"/>
      <c r="K26" s="298"/>
      <c r="L26" s="298"/>
      <c r="M26" s="299"/>
      <c r="N26" s="299"/>
      <c r="O26" s="300">
        <f t="shared" si="1"/>
        <v>0</v>
      </c>
      <c r="P26" s="484">
        <v>1</v>
      </c>
      <c r="Q26" s="484">
        <v>1</v>
      </c>
      <c r="R26" s="292">
        <f t="shared" si="2"/>
        <v>0</v>
      </c>
      <c r="S26" s="292">
        <f t="shared" si="3"/>
        <v>0</v>
      </c>
      <c r="T26" s="292">
        <f t="shared" si="4"/>
        <v>0</v>
      </c>
      <c r="U26" s="301">
        <f t="shared" si="5"/>
        <v>0</v>
      </c>
      <c r="V26" s="301">
        <f t="shared" si="6"/>
        <v>0</v>
      </c>
      <c r="W26" s="301">
        <f t="shared" si="7"/>
        <v>0</v>
      </c>
      <c r="X26" s="302" t="str">
        <f t="shared" si="8"/>
        <v/>
      </c>
      <c r="Y26" s="303"/>
      <c r="Z26" s="304"/>
      <c r="AA26" s="304"/>
    </row>
    <row r="27" spans="2:30" ht="15">
      <c r="B27" s="694"/>
      <c r="C27" s="331"/>
      <c r="D27" s="295"/>
      <c r="E27" s="294"/>
      <c r="F27" s="295"/>
      <c r="G27" s="296"/>
      <c r="H27" s="294"/>
      <c r="I27" s="297">
        <f t="shared" si="0"/>
        <v>0</v>
      </c>
      <c r="J27" s="295"/>
      <c r="K27" s="298"/>
      <c r="L27" s="298"/>
      <c r="M27" s="299"/>
      <c r="N27" s="299"/>
      <c r="O27" s="300">
        <f t="shared" si="1"/>
        <v>0</v>
      </c>
      <c r="P27" s="484">
        <v>1</v>
      </c>
      <c r="Q27" s="484">
        <v>1</v>
      </c>
      <c r="R27" s="292">
        <f t="shared" si="2"/>
        <v>0</v>
      </c>
      <c r="S27" s="292">
        <f t="shared" si="3"/>
        <v>0</v>
      </c>
      <c r="T27" s="292">
        <f t="shared" si="4"/>
        <v>0</v>
      </c>
      <c r="U27" s="301">
        <f t="shared" si="5"/>
        <v>0</v>
      </c>
      <c r="V27" s="301">
        <f t="shared" si="6"/>
        <v>0</v>
      </c>
      <c r="W27" s="301">
        <f t="shared" si="7"/>
        <v>0</v>
      </c>
      <c r="X27" s="302" t="str">
        <f t="shared" si="8"/>
        <v/>
      </c>
      <c r="Y27" s="303"/>
      <c r="Z27" s="304"/>
      <c r="AA27" s="304"/>
      <c r="AC27" s="237">
        <f t="shared" ref="AC27:AC29" si="9">K27*O27</f>
        <v>0</v>
      </c>
      <c r="AD27" s="237" t="str">
        <f t="shared" ref="AD27:AD29" si="10">CONCATENATE(M27,"-",O27)</f>
        <v>-0</v>
      </c>
    </row>
    <row r="28" spans="2:30" ht="15">
      <c r="B28" s="694"/>
      <c r="C28" s="331"/>
      <c r="D28" s="295"/>
      <c r="E28" s="294"/>
      <c r="F28" s="295"/>
      <c r="G28" s="296"/>
      <c r="H28" s="294"/>
      <c r="I28" s="297">
        <f t="shared" si="0"/>
        <v>0</v>
      </c>
      <c r="J28" s="295"/>
      <c r="K28" s="298"/>
      <c r="L28" s="298"/>
      <c r="M28" s="299"/>
      <c r="N28" s="299"/>
      <c r="O28" s="300">
        <f t="shared" si="1"/>
        <v>0</v>
      </c>
      <c r="P28" s="484">
        <v>1</v>
      </c>
      <c r="Q28" s="484">
        <v>1</v>
      </c>
      <c r="R28" s="292">
        <f t="shared" si="2"/>
        <v>0</v>
      </c>
      <c r="S28" s="292">
        <f t="shared" si="3"/>
        <v>0</v>
      </c>
      <c r="T28" s="292">
        <f t="shared" si="4"/>
        <v>0</v>
      </c>
      <c r="U28" s="301">
        <f t="shared" si="5"/>
        <v>0</v>
      </c>
      <c r="V28" s="301">
        <f t="shared" si="6"/>
        <v>0</v>
      </c>
      <c r="W28" s="301">
        <f t="shared" si="7"/>
        <v>0</v>
      </c>
      <c r="X28" s="302" t="str">
        <f t="shared" si="8"/>
        <v/>
      </c>
      <c r="Y28" s="303"/>
      <c r="Z28" s="304"/>
      <c r="AA28" s="304"/>
      <c r="AC28" s="237">
        <f t="shared" si="9"/>
        <v>0</v>
      </c>
      <c r="AD28" s="237" t="str">
        <f t="shared" si="10"/>
        <v>-0</v>
      </c>
    </row>
    <row r="29" spans="2:30" ht="15">
      <c r="B29" s="694"/>
      <c r="C29" s="331"/>
      <c r="D29" s="295"/>
      <c r="E29" s="294"/>
      <c r="F29" s="295"/>
      <c r="G29" s="296"/>
      <c r="H29" s="294"/>
      <c r="I29" s="297">
        <f t="shared" si="0"/>
        <v>0</v>
      </c>
      <c r="J29" s="295"/>
      <c r="K29" s="298"/>
      <c r="L29" s="298"/>
      <c r="M29" s="299"/>
      <c r="N29" s="299"/>
      <c r="O29" s="300">
        <f t="shared" si="1"/>
        <v>0</v>
      </c>
      <c r="P29" s="484">
        <v>1</v>
      </c>
      <c r="Q29" s="484">
        <v>1</v>
      </c>
      <c r="R29" s="292">
        <f t="shared" si="2"/>
        <v>0</v>
      </c>
      <c r="S29" s="292">
        <f t="shared" si="3"/>
        <v>0</v>
      </c>
      <c r="T29" s="292">
        <f t="shared" si="4"/>
        <v>0</v>
      </c>
      <c r="U29" s="301">
        <f t="shared" si="5"/>
        <v>0</v>
      </c>
      <c r="V29" s="301">
        <f t="shared" si="6"/>
        <v>0</v>
      </c>
      <c r="W29" s="301">
        <f t="shared" si="7"/>
        <v>0</v>
      </c>
      <c r="X29" s="302" t="str">
        <f t="shared" si="8"/>
        <v/>
      </c>
      <c r="Y29" s="303"/>
      <c r="Z29" s="304"/>
      <c r="AA29" s="304"/>
      <c r="AC29" s="237">
        <f t="shared" si="9"/>
        <v>0</v>
      </c>
      <c r="AD29" s="237" t="str">
        <f t="shared" si="10"/>
        <v>-0</v>
      </c>
    </row>
    <row r="30" spans="2:30" ht="15">
      <c r="B30" s="694"/>
      <c r="C30" s="331"/>
      <c r="D30" s="295"/>
      <c r="E30" s="294"/>
      <c r="F30" s="295"/>
      <c r="G30" s="296"/>
      <c r="H30" s="294"/>
      <c r="I30" s="297">
        <f t="shared" si="0"/>
        <v>0</v>
      </c>
      <c r="J30" s="295"/>
      <c r="K30" s="298"/>
      <c r="L30" s="298"/>
      <c r="M30" s="299"/>
      <c r="N30" s="299"/>
      <c r="O30" s="300">
        <f t="shared" si="1"/>
        <v>0</v>
      </c>
      <c r="P30" s="484">
        <v>1</v>
      </c>
      <c r="Q30" s="484">
        <v>1</v>
      </c>
      <c r="R30" s="292">
        <f t="shared" si="2"/>
        <v>0</v>
      </c>
      <c r="S30" s="292">
        <f t="shared" si="3"/>
        <v>0</v>
      </c>
      <c r="T30" s="292">
        <f t="shared" si="4"/>
        <v>0</v>
      </c>
      <c r="U30" s="301">
        <f t="shared" si="5"/>
        <v>0</v>
      </c>
      <c r="V30" s="301">
        <f t="shared" si="6"/>
        <v>0</v>
      </c>
      <c r="W30" s="301">
        <f t="shared" si="7"/>
        <v>0</v>
      </c>
      <c r="X30" s="302" t="str">
        <f t="shared" si="8"/>
        <v/>
      </c>
      <c r="Y30" s="303"/>
      <c r="Z30" s="304"/>
      <c r="AA30" s="304"/>
      <c r="AC30" s="237">
        <f>K30*P30</f>
        <v>0</v>
      </c>
      <c r="AD30" s="237" t="str">
        <f>CONCATENATE(M30,"-",P30)</f>
        <v>-1</v>
      </c>
    </row>
    <row r="31" spans="2:30" ht="15">
      <c r="B31" s="694"/>
      <c r="C31" s="331"/>
      <c r="D31" s="295"/>
      <c r="E31" s="294"/>
      <c r="F31" s="295"/>
      <c r="G31" s="296"/>
      <c r="H31" s="294"/>
      <c r="I31" s="297">
        <f t="shared" si="0"/>
        <v>0</v>
      </c>
      <c r="J31" s="295"/>
      <c r="K31" s="298"/>
      <c r="L31" s="298"/>
      <c r="M31" s="299"/>
      <c r="N31" s="299"/>
      <c r="O31" s="300">
        <f t="shared" si="1"/>
        <v>0</v>
      </c>
      <c r="P31" s="484">
        <v>1</v>
      </c>
      <c r="Q31" s="484">
        <v>1</v>
      </c>
      <c r="R31" s="292">
        <f t="shared" si="2"/>
        <v>0</v>
      </c>
      <c r="S31" s="292">
        <f t="shared" si="3"/>
        <v>0</v>
      </c>
      <c r="T31" s="292">
        <f t="shared" si="4"/>
        <v>0</v>
      </c>
      <c r="U31" s="301">
        <f t="shared" si="5"/>
        <v>0</v>
      </c>
      <c r="V31" s="301">
        <f t="shared" si="6"/>
        <v>0</v>
      </c>
      <c r="W31" s="301">
        <f t="shared" si="7"/>
        <v>0</v>
      </c>
      <c r="X31" s="302" t="str">
        <f t="shared" si="8"/>
        <v/>
      </c>
      <c r="Y31" s="303"/>
      <c r="Z31" s="304"/>
      <c r="AA31" s="304"/>
    </row>
    <row r="32" spans="2:30" ht="15">
      <c r="B32" s="694"/>
      <c r="C32" s="331"/>
      <c r="D32" s="295"/>
      <c r="E32" s="294"/>
      <c r="F32" s="295"/>
      <c r="G32" s="296"/>
      <c r="H32" s="294"/>
      <c r="I32" s="297">
        <f t="shared" si="0"/>
        <v>0</v>
      </c>
      <c r="J32" s="295"/>
      <c r="K32" s="298"/>
      <c r="L32" s="298"/>
      <c r="M32" s="299"/>
      <c r="N32" s="299"/>
      <c r="O32" s="300">
        <f t="shared" si="1"/>
        <v>0</v>
      </c>
      <c r="P32" s="484">
        <v>1</v>
      </c>
      <c r="Q32" s="484">
        <v>1</v>
      </c>
      <c r="R32" s="292">
        <f t="shared" si="2"/>
        <v>0</v>
      </c>
      <c r="S32" s="292">
        <f t="shared" si="3"/>
        <v>0</v>
      </c>
      <c r="T32" s="292">
        <f t="shared" si="4"/>
        <v>0</v>
      </c>
      <c r="U32" s="301">
        <f t="shared" si="5"/>
        <v>0</v>
      </c>
      <c r="V32" s="301">
        <f t="shared" si="6"/>
        <v>0</v>
      </c>
      <c r="W32" s="301">
        <f t="shared" si="7"/>
        <v>0</v>
      </c>
      <c r="X32" s="302" t="str">
        <f t="shared" si="8"/>
        <v/>
      </c>
      <c r="Y32" s="303"/>
      <c r="Z32" s="304"/>
      <c r="AA32" s="304"/>
      <c r="AC32" s="237">
        <f t="shared" ref="AC32:AC34" si="11">K32*O32</f>
        <v>0</v>
      </c>
      <c r="AD32" s="237" t="str">
        <f t="shared" ref="AD32:AD34" si="12">CONCATENATE(M32,"-",O32)</f>
        <v>-0</v>
      </c>
    </row>
    <row r="33" spans="2:30" ht="15">
      <c r="B33" s="694"/>
      <c r="C33" s="331"/>
      <c r="D33" s="295"/>
      <c r="E33" s="294"/>
      <c r="F33" s="295"/>
      <c r="G33" s="296"/>
      <c r="H33" s="294"/>
      <c r="I33" s="297">
        <f t="shared" si="0"/>
        <v>0</v>
      </c>
      <c r="J33" s="295"/>
      <c r="K33" s="298"/>
      <c r="L33" s="298"/>
      <c r="M33" s="299"/>
      <c r="N33" s="299"/>
      <c r="O33" s="300">
        <f t="shared" si="1"/>
        <v>0</v>
      </c>
      <c r="P33" s="484">
        <v>1</v>
      </c>
      <c r="Q33" s="484">
        <v>1</v>
      </c>
      <c r="R33" s="292">
        <f t="shared" si="2"/>
        <v>0</v>
      </c>
      <c r="S33" s="292">
        <f t="shared" si="3"/>
        <v>0</v>
      </c>
      <c r="T33" s="292">
        <f t="shared" si="4"/>
        <v>0</v>
      </c>
      <c r="U33" s="301">
        <f t="shared" si="5"/>
        <v>0</v>
      </c>
      <c r="V33" s="301">
        <f t="shared" si="6"/>
        <v>0</v>
      </c>
      <c r="W33" s="301">
        <f t="shared" si="7"/>
        <v>0</v>
      </c>
      <c r="X33" s="302" t="str">
        <f t="shared" si="8"/>
        <v/>
      </c>
      <c r="Y33" s="303"/>
      <c r="Z33" s="304"/>
      <c r="AA33" s="304"/>
      <c r="AC33" s="237">
        <f t="shared" si="11"/>
        <v>0</v>
      </c>
      <c r="AD33" s="237" t="str">
        <f t="shared" si="12"/>
        <v>-0</v>
      </c>
    </row>
    <row r="34" spans="2:30" ht="15">
      <c r="B34" s="694"/>
      <c r="C34" s="331"/>
      <c r="D34" s="295"/>
      <c r="E34" s="294"/>
      <c r="F34" s="295"/>
      <c r="G34" s="296"/>
      <c r="H34" s="294"/>
      <c r="I34" s="297">
        <f t="shared" si="0"/>
        <v>0</v>
      </c>
      <c r="J34" s="295"/>
      <c r="K34" s="298"/>
      <c r="L34" s="298"/>
      <c r="M34" s="299"/>
      <c r="N34" s="299"/>
      <c r="O34" s="300">
        <f t="shared" si="1"/>
        <v>0</v>
      </c>
      <c r="P34" s="484">
        <v>1</v>
      </c>
      <c r="Q34" s="484">
        <v>1</v>
      </c>
      <c r="R34" s="292">
        <f t="shared" si="2"/>
        <v>0</v>
      </c>
      <c r="S34" s="292">
        <f t="shared" si="3"/>
        <v>0</v>
      </c>
      <c r="T34" s="292">
        <f t="shared" si="4"/>
        <v>0</v>
      </c>
      <c r="U34" s="301">
        <f t="shared" si="5"/>
        <v>0</v>
      </c>
      <c r="V34" s="301">
        <f t="shared" si="6"/>
        <v>0</v>
      </c>
      <c r="W34" s="301">
        <f t="shared" si="7"/>
        <v>0</v>
      </c>
      <c r="X34" s="302" t="str">
        <f t="shared" si="8"/>
        <v/>
      </c>
      <c r="Y34" s="303"/>
      <c r="Z34" s="304"/>
      <c r="AA34" s="304"/>
      <c r="AC34" s="237">
        <f t="shared" si="11"/>
        <v>0</v>
      </c>
      <c r="AD34" s="237" t="str">
        <f t="shared" si="12"/>
        <v>-0</v>
      </c>
    </row>
    <row r="35" spans="2:30" ht="15">
      <c r="B35" s="694"/>
      <c r="C35" s="331"/>
      <c r="D35" s="295"/>
      <c r="E35" s="294"/>
      <c r="F35" s="295"/>
      <c r="G35" s="296"/>
      <c r="H35" s="294"/>
      <c r="I35" s="297">
        <f t="shared" si="0"/>
        <v>0</v>
      </c>
      <c r="J35" s="295"/>
      <c r="K35" s="298"/>
      <c r="L35" s="298"/>
      <c r="M35" s="299"/>
      <c r="N35" s="299"/>
      <c r="O35" s="300">
        <f t="shared" si="1"/>
        <v>0</v>
      </c>
      <c r="P35" s="484">
        <v>1</v>
      </c>
      <c r="Q35" s="484">
        <v>1</v>
      </c>
      <c r="R35" s="292">
        <f t="shared" si="2"/>
        <v>0</v>
      </c>
      <c r="S35" s="292">
        <f t="shared" si="3"/>
        <v>0</v>
      </c>
      <c r="T35" s="292">
        <f t="shared" si="4"/>
        <v>0</v>
      </c>
      <c r="U35" s="301">
        <f t="shared" si="5"/>
        <v>0</v>
      </c>
      <c r="V35" s="301">
        <f t="shared" si="6"/>
        <v>0</v>
      </c>
      <c r="W35" s="301">
        <f t="shared" si="7"/>
        <v>0</v>
      </c>
      <c r="X35" s="302" t="str">
        <f t="shared" si="8"/>
        <v/>
      </c>
      <c r="Y35" s="303"/>
      <c r="Z35" s="304"/>
      <c r="AA35" s="304"/>
      <c r="AC35" s="237">
        <f t="shared" ref="AC35:AC37" si="13">K35*O35</f>
        <v>0</v>
      </c>
      <c r="AD35" s="237" t="str">
        <f t="shared" ref="AD35:AD37" si="14">CONCATENATE(M35,"-",O35)</f>
        <v>-0</v>
      </c>
    </row>
    <row r="36" spans="2:30" ht="15">
      <c r="B36" s="694"/>
      <c r="C36" s="331"/>
      <c r="D36" s="295"/>
      <c r="E36" s="294"/>
      <c r="F36" s="295"/>
      <c r="G36" s="296"/>
      <c r="H36" s="294"/>
      <c r="I36" s="297">
        <f t="shared" si="0"/>
        <v>0</v>
      </c>
      <c r="J36" s="295"/>
      <c r="K36" s="298"/>
      <c r="L36" s="298"/>
      <c r="M36" s="299"/>
      <c r="N36" s="299"/>
      <c r="O36" s="300">
        <f t="shared" si="1"/>
        <v>0</v>
      </c>
      <c r="P36" s="484">
        <v>1</v>
      </c>
      <c r="Q36" s="484">
        <v>1</v>
      </c>
      <c r="R36" s="292">
        <f t="shared" si="2"/>
        <v>0</v>
      </c>
      <c r="S36" s="292">
        <f t="shared" si="3"/>
        <v>0</v>
      </c>
      <c r="T36" s="292">
        <f t="shared" si="4"/>
        <v>0</v>
      </c>
      <c r="U36" s="301">
        <f t="shared" si="5"/>
        <v>0</v>
      </c>
      <c r="V36" s="301">
        <f t="shared" si="6"/>
        <v>0</v>
      </c>
      <c r="W36" s="301">
        <f t="shared" si="7"/>
        <v>0</v>
      </c>
      <c r="X36" s="302" t="str">
        <f t="shared" si="8"/>
        <v/>
      </c>
      <c r="Y36" s="303"/>
      <c r="Z36" s="304"/>
      <c r="AA36" s="304"/>
      <c r="AC36" s="237">
        <f t="shared" si="13"/>
        <v>0</v>
      </c>
      <c r="AD36" s="237" t="str">
        <f t="shared" si="14"/>
        <v>-0</v>
      </c>
    </row>
    <row r="37" spans="2:30" ht="5" customHeight="1">
      <c r="B37" s="573"/>
      <c r="C37" s="574"/>
      <c r="D37" s="573"/>
      <c r="E37" s="575"/>
      <c r="F37" s="573"/>
      <c r="G37" s="576"/>
      <c r="H37" s="577"/>
      <c r="I37" s="578"/>
      <c r="J37" s="573"/>
      <c r="K37" s="579"/>
      <c r="L37" s="579"/>
      <c r="M37" s="580"/>
      <c r="N37" s="573"/>
      <c r="O37" s="573"/>
      <c r="P37" s="580"/>
      <c r="Q37" s="580"/>
      <c r="R37" s="581"/>
      <c r="S37" s="581"/>
      <c r="T37" s="577"/>
      <c r="U37" s="573"/>
      <c r="V37" s="573"/>
      <c r="W37" s="577"/>
      <c r="X37" s="577"/>
      <c r="Y37" s="582"/>
      <c r="Z37" s="573"/>
      <c r="AA37" s="573"/>
      <c r="AC37" s="237">
        <f t="shared" si="13"/>
        <v>0</v>
      </c>
      <c r="AD37" s="237" t="str">
        <f t="shared" si="14"/>
        <v>-</v>
      </c>
    </row>
  </sheetData>
  <autoFilter ref="B12:AA37" xr:uid="{00000000-0001-0000-0500-000000000000}"/>
  <mergeCells count="1">
    <mergeCell ref="G10:H10"/>
  </mergeCells>
  <conditionalFormatting sqref="B14:C36">
    <cfRule type="notContainsBlanks" dxfId="146" priority="82">
      <formula>LEN(TRIM(B14))&gt;0</formula>
    </cfRule>
  </conditionalFormatting>
  <conditionalFormatting sqref="P14:Q36">
    <cfRule type="cellIs" dxfId="145" priority="83" operator="lessThan">
      <formula>1</formula>
    </cfRule>
    <cfRule type="cellIs" dxfId="144" priority="84" operator="greaterThan">
      <formula>1</formula>
    </cfRule>
  </conditionalFormatting>
  <conditionalFormatting sqref="R9:T9 R14:W36 Z14:AA36">
    <cfRule type="cellIs" dxfId="143" priority="340" operator="greaterThan">
      <formula>0</formula>
    </cfRule>
  </conditionalFormatting>
  <dataValidations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BCE6ECF5-C312-9A4C-97E9-065F8EACDEBB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7" max="1048575" man="1"/>
  </colBreaks>
  <picture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9B52-20D2-9249-966E-47B14BFC5C9F}">
  <sheetPr>
    <pageSetUpPr fitToPage="1"/>
  </sheetPr>
  <dimension ref="A1:AG161"/>
  <sheetViews>
    <sheetView showGridLines="0" showRowColHeaders="0" showZeros="0" showOutlineSymbols="0" zoomScaleNormal="100" zoomScaleSheetLayoutView="75" workbookViewId="0">
      <pane ySplit="11" topLeftCell="A13" activePane="bottomLeft" state="frozenSplit"/>
      <selection activeCell="S9" sqref="S9"/>
      <selection pane="bottomLeft"/>
    </sheetView>
  </sheetViews>
  <sheetFormatPr baseColWidth="10" defaultColWidth="0" defaultRowHeight="15" zeroHeight="1"/>
  <cols>
    <col min="1" max="1" width="7.59765625" style="335" customWidth="1"/>
    <col min="2" max="2" width="13.19921875" style="335" customWidth="1"/>
    <col min="3" max="3" width="16" style="335" customWidth="1"/>
    <col min="4" max="4" width="6.59765625" style="335" customWidth="1"/>
    <col min="5" max="5" width="40.3984375" style="335" customWidth="1"/>
    <col min="6" max="6" width="16.3984375" style="335" customWidth="1"/>
    <col min="7" max="7" width="14" style="335" customWidth="1"/>
    <col min="8" max="8" width="3.59765625" style="335" customWidth="1"/>
    <col min="9" max="9" width="10" style="335" customWidth="1"/>
    <col min="10" max="10" width="8.796875" style="335" customWidth="1"/>
    <col min="11" max="11" width="33" style="335" customWidth="1"/>
    <col min="12" max="12" width="4.59765625" style="335" customWidth="1"/>
    <col min="13" max="13" width="13.19921875" style="335" customWidth="1"/>
    <col min="14" max="16" width="15.59765625" style="335" customWidth="1"/>
    <col min="17" max="17" width="1" style="335" customWidth="1"/>
    <col min="18" max="18" width="14.796875" style="335" hidden="1" customWidth="1"/>
    <col min="19" max="19" width="1.3984375" style="335" customWidth="1"/>
    <col min="20" max="22" width="15.59765625" style="335" customWidth="1"/>
    <col min="23" max="23" width="0.19921875" style="335" customWidth="1"/>
    <col min="24" max="24" width="0.19921875" style="335" hidden="1" customWidth="1"/>
    <col min="25" max="25" width="16" style="335" hidden="1" customWidth="1"/>
    <col min="26" max="26" width="20" style="335" bestFit="1" customWidth="1"/>
    <col min="27" max="33" width="0" style="335" hidden="1" customWidth="1"/>
    <col min="34" max="16384" width="10.59765625" style="335" hidden="1"/>
  </cols>
  <sheetData>
    <row r="1" spans="1:27" s="3" customFormat="1" ht="9" customHeight="1" thickBot="1">
      <c r="B1" s="6"/>
      <c r="C1" s="6"/>
      <c r="D1" s="6"/>
      <c r="E1" s="30"/>
      <c r="F1" s="30"/>
      <c r="G1" s="49"/>
      <c r="H1" s="30"/>
      <c r="I1" s="30"/>
      <c r="J1" s="30"/>
      <c r="K1" s="30"/>
      <c r="L1" s="30"/>
      <c r="M1" s="30"/>
      <c r="N1" s="30"/>
      <c r="O1" s="30"/>
      <c r="P1" s="30"/>
      <c r="Q1" s="30"/>
      <c r="R1" s="100"/>
      <c r="S1" s="30"/>
      <c r="T1" s="99"/>
      <c r="U1" s="99"/>
      <c r="V1" s="99"/>
    </row>
    <row r="2" spans="1:27" s="3" customFormat="1" ht="8" customHeight="1">
      <c r="B2" s="6"/>
      <c r="C2" s="6"/>
      <c r="D2" s="6"/>
      <c r="E2" s="102"/>
      <c r="F2" s="102"/>
      <c r="G2" s="101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99"/>
      <c r="U2" s="99"/>
      <c r="V2" s="99"/>
    </row>
    <row r="3" spans="1:27" ht="7.25" customHeight="1">
      <c r="K3" s="336"/>
      <c r="L3" s="337"/>
    </row>
    <row r="4" spans="1:27" ht="17">
      <c r="E4" s="338" t="s">
        <v>27</v>
      </c>
      <c r="F4" s="36" t="s">
        <v>210</v>
      </c>
      <c r="G4" s="339"/>
      <c r="H4" s="340"/>
      <c r="I4" s="340"/>
      <c r="J4" s="340"/>
      <c r="K4" s="340"/>
      <c r="L4" s="337"/>
      <c r="N4" s="341"/>
      <c r="O4" s="342"/>
      <c r="P4" s="342"/>
      <c r="Q4" s="342"/>
      <c r="R4" s="342"/>
      <c r="S4" s="343"/>
    </row>
    <row r="5" spans="1:27" ht="17">
      <c r="E5" s="197" t="s">
        <v>85</v>
      </c>
      <c r="F5" s="201" t="str">
        <f>Voorblad!$E$16</f>
        <v>Stichting Opspoor</v>
      </c>
      <c r="G5" s="344"/>
      <c r="I5" s="340"/>
      <c r="J5" s="340"/>
      <c r="K5" s="340"/>
      <c r="L5" s="337"/>
      <c r="N5" s="341"/>
      <c r="O5" s="342"/>
      <c r="P5" s="342"/>
      <c r="Q5" s="342"/>
      <c r="R5" s="342"/>
      <c r="S5" s="343"/>
    </row>
    <row r="6" spans="1:27" ht="18" thickBot="1">
      <c r="A6" s="524"/>
      <c r="B6" s="506" t="s">
        <v>153</v>
      </c>
      <c r="E6" s="197" t="s">
        <v>33</v>
      </c>
      <c r="F6" s="201" t="str">
        <f>'1.0-Contractblad'!$E$7</f>
        <v>Purmerend e.o.</v>
      </c>
      <c r="G6" s="36"/>
      <c r="H6" s="345"/>
      <c r="I6" s="346"/>
      <c r="J6" s="347"/>
      <c r="K6" s="199"/>
      <c r="L6" s="337"/>
      <c r="M6" s="337"/>
      <c r="P6" s="337"/>
      <c r="Q6" s="337"/>
      <c r="R6" s="337"/>
      <c r="S6" s="337"/>
      <c r="T6" s="337"/>
      <c r="U6" s="337"/>
      <c r="V6" s="337"/>
      <c r="W6" s="337"/>
      <c r="X6" s="337"/>
      <c r="Y6" s="337"/>
    </row>
    <row r="7" spans="1:27" ht="19" thickTop="1" thickBot="1">
      <c r="A7" s="632"/>
      <c r="B7" s="506" t="s">
        <v>384</v>
      </c>
      <c r="E7" s="197" t="s">
        <v>114</v>
      </c>
      <c r="F7" s="207" t="str">
        <f>Voorblad!$E$24</f>
        <v>1501-102-2026</v>
      </c>
      <c r="G7" s="348"/>
      <c r="H7" s="345"/>
      <c r="I7" s="346"/>
      <c r="J7" s="347"/>
      <c r="K7" s="208"/>
      <c r="L7" s="337"/>
      <c r="N7" s="821" t="s">
        <v>385</v>
      </c>
      <c r="O7" s="822"/>
      <c r="P7" s="337"/>
      <c r="Q7" s="337"/>
      <c r="R7" s="337"/>
      <c r="S7" s="337"/>
      <c r="T7" s="821" t="s">
        <v>385</v>
      </c>
      <c r="U7" s="822"/>
      <c r="V7" s="337"/>
      <c r="W7" s="337"/>
      <c r="X7" s="337"/>
      <c r="Y7" s="337"/>
    </row>
    <row r="8" spans="1:27" ht="18" thickBot="1">
      <c r="A8" s="534"/>
      <c r="B8" s="506" t="s">
        <v>272</v>
      </c>
      <c r="C8" s="337"/>
      <c r="E8" s="197" t="s">
        <v>145</v>
      </c>
      <c r="F8" s="212" t="str">
        <f ca="1">Voorblad!$E$26</f>
        <v>Calculatiemodule Opspoor Perceel 2 V1.1 | 01-jan-27 Wijziging bijgehouden</v>
      </c>
      <c r="G8" s="348"/>
      <c r="H8" s="349"/>
      <c r="I8" s="346"/>
      <c r="J8" s="347"/>
      <c r="K8" s="208"/>
      <c r="L8" s="337"/>
      <c r="N8" s="823"/>
      <c r="O8" s="824"/>
      <c r="P8" s="337"/>
      <c r="Q8" s="337"/>
      <c r="R8" s="337"/>
      <c r="S8" s="337"/>
      <c r="T8" s="823"/>
      <c r="U8" s="824"/>
      <c r="V8" s="337"/>
      <c r="W8" s="337"/>
      <c r="X8" s="337"/>
      <c r="Y8" s="337"/>
    </row>
    <row r="9" spans="1:27" ht="17">
      <c r="A9" s="690"/>
      <c r="B9" s="506" t="s">
        <v>479</v>
      </c>
      <c r="E9" s="197" t="s">
        <v>83</v>
      </c>
      <c r="F9" s="216" t="str">
        <f>Voorblad!$E$19</f>
        <v>Naam organisatie</v>
      </c>
      <c r="G9" s="346"/>
      <c r="H9" s="349"/>
      <c r="I9" s="346"/>
      <c r="J9" s="347"/>
      <c r="K9" s="208"/>
      <c r="L9" s="337"/>
      <c r="N9" s="823"/>
      <c r="O9" s="824"/>
      <c r="P9" s="337"/>
      <c r="Q9" s="337"/>
      <c r="R9" s="337"/>
      <c r="S9" s="337"/>
      <c r="T9" s="823"/>
      <c r="U9" s="824"/>
      <c r="V9" s="337"/>
      <c r="W9" s="337"/>
      <c r="X9" s="337"/>
      <c r="Y9" s="337"/>
    </row>
    <row r="10" spans="1:27" ht="18" thickBot="1">
      <c r="E10" s="197" t="s">
        <v>6</v>
      </c>
      <c r="F10" s="828">
        <f>Voorblad!$E$22</f>
        <v>46388</v>
      </c>
      <c r="G10" s="828"/>
      <c r="H10" s="349"/>
      <c r="I10" s="346"/>
      <c r="J10" s="347"/>
      <c r="K10" s="199"/>
      <c r="L10" s="337"/>
      <c r="M10" s="337"/>
      <c r="N10" s="825"/>
      <c r="O10" s="826"/>
      <c r="P10" s="337"/>
      <c r="Q10" s="337"/>
      <c r="R10" s="337"/>
      <c r="S10" s="337"/>
      <c r="T10" s="825"/>
      <c r="U10" s="826"/>
      <c r="V10" s="337"/>
      <c r="W10" s="337"/>
      <c r="X10" s="337"/>
      <c r="Y10" s="337"/>
    </row>
    <row r="11" spans="1:27" ht="37" customHeight="1" thickTop="1" thickBot="1">
      <c r="E11" s="338"/>
      <c r="F11" s="351"/>
      <c r="G11" s="346"/>
      <c r="H11" s="346"/>
      <c r="M11" s="43"/>
      <c r="N11" s="829" t="s">
        <v>274</v>
      </c>
      <c r="O11" s="829"/>
      <c r="P11" s="829"/>
      <c r="Q11" s="43"/>
      <c r="R11" s="352"/>
      <c r="S11" s="350"/>
      <c r="T11" s="829" t="s">
        <v>273</v>
      </c>
      <c r="U11" s="829"/>
      <c r="V11" s="829"/>
      <c r="W11" s="43"/>
      <c r="X11" s="830" t="s">
        <v>271</v>
      </c>
      <c r="Y11" s="831"/>
    </row>
    <row r="12" spans="1:27" ht="16" hidden="1" customHeight="1">
      <c r="E12" s="338"/>
      <c r="F12" s="45"/>
      <c r="G12" s="346"/>
      <c r="H12" s="346"/>
      <c r="I12" s="346"/>
      <c r="J12" s="347"/>
      <c r="K12" s="43"/>
      <c r="L12" s="43"/>
      <c r="M12" s="43"/>
      <c r="N12" s="43"/>
      <c r="O12" s="43"/>
      <c r="P12" s="43"/>
      <c r="Q12" s="43"/>
      <c r="R12" s="43"/>
      <c r="S12" s="350"/>
      <c r="T12" s="43"/>
      <c r="U12" s="43"/>
      <c r="V12" s="43"/>
      <c r="W12" s="43"/>
      <c r="X12" s="43"/>
      <c r="Y12" s="43"/>
    </row>
    <row r="13" spans="1:27" ht="49.25" customHeight="1">
      <c r="H13" s="353"/>
      <c r="I13" s="353"/>
      <c r="J13" s="347"/>
      <c r="K13" s="354"/>
      <c r="L13" s="122"/>
      <c r="M13" s="342"/>
      <c r="N13" s="426" t="s">
        <v>160</v>
      </c>
      <c r="O13" s="426" t="s">
        <v>160</v>
      </c>
      <c r="P13" s="426" t="s">
        <v>160</v>
      </c>
      <c r="Q13" s="43"/>
      <c r="R13" s="355" t="s">
        <v>160</v>
      </c>
      <c r="S13" s="350"/>
      <c r="T13" s="426" t="s">
        <v>160</v>
      </c>
      <c r="U13" s="426" t="s">
        <v>160</v>
      </c>
      <c r="V13" s="426" t="s">
        <v>160</v>
      </c>
      <c r="W13" s="43"/>
      <c r="X13" s="355" t="s">
        <v>160</v>
      </c>
      <c r="Y13" s="355" t="s">
        <v>160</v>
      </c>
    </row>
    <row r="14" spans="1:27" ht="8" customHeight="1">
      <c r="H14" s="353"/>
      <c r="I14" s="353"/>
      <c r="J14" s="347"/>
      <c r="K14" s="354"/>
      <c r="L14" s="122"/>
      <c r="M14" s="122"/>
      <c r="N14" s="122"/>
      <c r="O14" s="122"/>
      <c r="P14" s="122"/>
      <c r="Q14" s="43"/>
      <c r="R14" s="122"/>
      <c r="S14" s="350"/>
      <c r="T14" s="122"/>
      <c r="U14" s="122"/>
      <c r="V14" s="122"/>
      <c r="W14" s="43"/>
      <c r="X14" s="122"/>
      <c r="Y14" s="122"/>
    </row>
    <row r="15" spans="1:27" s="342" customFormat="1" ht="44" customHeight="1">
      <c r="E15" s="335"/>
      <c r="H15" s="356"/>
      <c r="I15" s="356"/>
      <c r="J15" s="357"/>
      <c r="K15" s="358"/>
      <c r="L15" s="359"/>
      <c r="M15" s="358"/>
      <c r="N15" s="427" t="s">
        <v>181</v>
      </c>
      <c r="O15" s="427" t="s">
        <v>181</v>
      </c>
      <c r="P15" s="427" t="s">
        <v>181</v>
      </c>
      <c r="Q15" s="43"/>
      <c r="R15" s="360" t="s">
        <v>181</v>
      </c>
      <c r="S15" s="350"/>
      <c r="T15" s="427" t="s">
        <v>181</v>
      </c>
      <c r="U15" s="427" t="s">
        <v>181</v>
      </c>
      <c r="V15" s="427" t="s">
        <v>181</v>
      </c>
      <c r="W15" s="43"/>
      <c r="X15" s="360" t="s">
        <v>181</v>
      </c>
      <c r="Y15" s="360" t="s">
        <v>181</v>
      </c>
      <c r="Z15" s="335"/>
      <c r="AA15" s="361"/>
    </row>
    <row r="16" spans="1:27" hidden="1">
      <c r="F16" s="362"/>
      <c r="G16" s="362"/>
      <c r="H16" s="362"/>
      <c r="I16" s="362"/>
      <c r="J16" s="362"/>
      <c r="K16" s="363"/>
      <c r="L16" s="364"/>
      <c r="M16" s="365" t="s">
        <v>251</v>
      </c>
      <c r="N16" s="366" t="str">
        <f>IF(N17=0,"Selecteer cel",CONCATENATE(N13," Dienstjaar ",N15))</f>
        <v>Selecteer cel</v>
      </c>
      <c r="O16" s="366" t="str">
        <f>IF(O17=0,"Selecteer cel",CONCATENATE(O13," Dienstjaar ",O15))</f>
        <v>Selecteer cel</v>
      </c>
      <c r="P16" s="366" t="str">
        <f>IF(P17=0,"Selecteer cel",CONCATENATE(P13," Dienstjaar ",P15))</f>
        <v>Selecteer cel</v>
      </c>
      <c r="Q16" s="43"/>
      <c r="R16" s="366" t="str">
        <f>IF(R17=0,"Selecteer cel",CONCATENATE(R13," Dienstjaar ",R15))</f>
        <v>Selecteer cel</v>
      </c>
      <c r="S16" s="365" t="s">
        <v>250</v>
      </c>
      <c r="T16" s="366" t="str">
        <f>IF(T17=0,"Selecteer cel",CONCATENATE(T13," Dienstjaar ",T15))</f>
        <v>Selecteer cel</v>
      </c>
      <c r="U16" s="366" t="str">
        <f>IF(U17=0,"Selecteer cel",CONCATENATE(U13," Dienstjaar ",U15))</f>
        <v>Selecteer cel</v>
      </c>
      <c r="V16" s="366" t="str">
        <f>IF(V17=0,"Selecteer cel",CONCATENATE(V13," Dienstjaar ",V15))</f>
        <v>Selecteer cel</v>
      </c>
      <c r="W16" s="365" t="s">
        <v>256</v>
      </c>
      <c r="X16" s="366" t="str">
        <f>IF(X17=0,"Selecteer cel",CONCATENATE(X13," Dienstjaar ",X15))</f>
        <v>Selecteer cel</v>
      </c>
      <c r="Y16" s="366" t="str">
        <f>IF(Y17=0,"Selecteer cel",CONCATENATE(Y13," Dienstjaar ",Y15))</f>
        <v>Selecteer cel</v>
      </c>
      <c r="AA16" s="367"/>
    </row>
    <row r="17" spans="5:25" ht="17">
      <c r="E17" s="368" t="s">
        <v>330</v>
      </c>
      <c r="G17" s="369" t="s">
        <v>255</v>
      </c>
      <c r="H17" s="370"/>
      <c r="I17" s="347"/>
      <c r="J17" s="371"/>
      <c r="K17" s="359"/>
      <c r="L17" s="372"/>
      <c r="M17" s="151"/>
      <c r="N17" s="485"/>
      <c r="O17" s="485"/>
      <c r="P17" s="485"/>
      <c r="Q17" s="43"/>
      <c r="R17" s="44"/>
      <c r="S17" s="373"/>
      <c r="T17" s="485"/>
      <c r="U17" s="485"/>
      <c r="V17" s="485"/>
      <c r="W17" s="43"/>
      <c r="X17" s="42"/>
      <c r="Y17" s="42"/>
    </row>
    <row r="18" spans="5:25" hidden="1">
      <c r="G18" s="374">
        <f>IF(F18="x",F82,0)</f>
        <v>0</v>
      </c>
      <c r="H18" s="370"/>
      <c r="I18" s="347"/>
      <c r="J18" s="371"/>
      <c r="K18" s="359"/>
      <c r="L18" s="375"/>
      <c r="M18" s="122"/>
      <c r="N18" s="122">
        <v>0</v>
      </c>
      <c r="O18" s="122"/>
      <c r="P18" s="122"/>
      <c r="Q18" s="43"/>
      <c r="R18" s="122"/>
      <c r="S18" s="122"/>
      <c r="T18" s="122"/>
      <c r="U18" s="122"/>
      <c r="V18" s="122"/>
      <c r="W18" s="122"/>
      <c r="X18" s="122"/>
      <c r="Y18" s="122"/>
    </row>
    <row r="19" spans="5:25">
      <c r="E19" s="697" t="s">
        <v>482</v>
      </c>
      <c r="F19" s="698"/>
      <c r="G19" s="489"/>
      <c r="H19" s="376"/>
      <c r="I19" s="347"/>
      <c r="J19" s="371"/>
      <c r="K19" s="359"/>
      <c r="L19" s="372"/>
      <c r="M19" s="122"/>
      <c r="N19" s="122"/>
      <c r="O19" s="122"/>
      <c r="P19" s="122"/>
      <c r="Q19" s="43"/>
      <c r="R19" s="122"/>
      <c r="S19" s="122"/>
      <c r="T19" s="122"/>
      <c r="U19" s="122"/>
      <c r="V19" s="122"/>
      <c r="W19" s="122"/>
      <c r="X19" s="122"/>
      <c r="Y19" s="122"/>
    </row>
    <row r="20" spans="5:25" ht="16">
      <c r="E20" s="699" t="s">
        <v>252</v>
      </c>
      <c r="F20" s="700"/>
      <c r="G20" s="489"/>
      <c r="H20" s="370"/>
      <c r="I20" s="347"/>
      <c r="J20" s="371"/>
      <c r="K20" s="354"/>
      <c r="L20" s="354"/>
      <c r="M20" s="378" t="s">
        <v>158</v>
      </c>
      <c r="N20" s="354"/>
      <c r="O20" s="354"/>
      <c r="P20" s="354"/>
      <c r="Q20" s="43"/>
      <c r="R20" s="354"/>
      <c r="S20" s="350"/>
      <c r="T20" s="379"/>
      <c r="U20" s="354"/>
      <c r="V20" s="354"/>
      <c r="W20" s="43"/>
      <c r="X20" s="354"/>
      <c r="Y20" s="354"/>
    </row>
    <row r="21" spans="5:25" ht="16">
      <c r="E21" s="701" t="s">
        <v>253</v>
      </c>
      <c r="F21" s="700"/>
      <c r="G21" s="489"/>
      <c r="H21" s="370" t="s">
        <v>339</v>
      </c>
      <c r="I21" s="347"/>
      <c r="J21" s="371"/>
      <c r="K21" s="122"/>
      <c r="L21" s="380" t="s">
        <v>177</v>
      </c>
      <c r="M21" s="378"/>
      <c r="N21" s="485"/>
      <c r="O21" s="485"/>
      <c r="P21" s="485"/>
      <c r="Q21" s="43"/>
      <c r="R21" s="44">
        <v>0</v>
      </c>
      <c r="S21" s="350"/>
      <c r="T21" s="485"/>
      <c r="U21" s="485"/>
      <c r="V21" s="485"/>
      <c r="W21" s="43"/>
      <c r="X21" s="44">
        <v>0</v>
      </c>
      <c r="Y21" s="44">
        <v>0</v>
      </c>
    </row>
    <row r="22" spans="5:25" ht="16">
      <c r="E22" s="702"/>
      <c r="F22" s="703" t="s">
        <v>254</v>
      </c>
      <c r="G22" s="707">
        <f>SUM(G19:G21)</f>
        <v>0</v>
      </c>
      <c r="H22" s="370"/>
      <c r="I22" s="347"/>
      <c r="J22" s="371"/>
      <c r="K22" s="354"/>
      <c r="L22" s="381" t="s">
        <v>159</v>
      </c>
      <c r="M22" s="378"/>
      <c r="N22" s="485"/>
      <c r="O22" s="485"/>
      <c r="P22" s="485"/>
      <c r="Q22" s="43"/>
      <c r="R22" s="44">
        <v>0</v>
      </c>
      <c r="S22" s="350"/>
      <c r="T22" s="485"/>
      <c r="U22" s="485"/>
      <c r="V22" s="485"/>
      <c r="W22" s="43"/>
      <c r="X22" s="44">
        <v>0</v>
      </c>
      <c r="Y22" s="44">
        <v>0</v>
      </c>
    </row>
    <row r="23" spans="5:25" ht="16">
      <c r="E23" s="702"/>
      <c r="F23" s="704"/>
      <c r="G23" s="704"/>
      <c r="H23" s="376"/>
      <c r="I23" s="382"/>
      <c r="J23" s="371"/>
      <c r="K23" s="354"/>
      <c r="L23" s="372" t="s">
        <v>212</v>
      </c>
      <c r="M23" s="378"/>
      <c r="N23" s="485"/>
      <c r="O23" s="485"/>
      <c r="P23" s="485"/>
      <c r="Q23" s="43"/>
      <c r="R23" s="44">
        <v>0</v>
      </c>
      <c r="S23" s="350"/>
      <c r="T23" s="485"/>
      <c r="U23" s="485"/>
      <c r="V23" s="485"/>
      <c r="W23" s="43"/>
      <c r="X23" s="44">
        <v>0</v>
      </c>
      <c r="Y23" s="44">
        <v>0</v>
      </c>
    </row>
    <row r="24" spans="5:25" ht="19" customHeight="1">
      <c r="E24" s="705"/>
      <c r="F24" s="700"/>
      <c r="G24" s="700"/>
      <c r="I24" s="347"/>
      <c r="J24" s="371"/>
      <c r="K24" s="354"/>
      <c r="L24" s="381" t="s">
        <v>119</v>
      </c>
      <c r="M24" s="783">
        <v>0.05</v>
      </c>
      <c r="N24" s="383">
        <f>N17*$M$24</f>
        <v>0</v>
      </c>
      <c r="O24" s="383">
        <f>O17*$M$24</f>
        <v>0</v>
      </c>
      <c r="P24" s="383">
        <f>P17*$M$24</f>
        <v>0</v>
      </c>
      <c r="Q24" s="43"/>
      <c r="R24" s="383">
        <f>R17*$M$24</f>
        <v>0</v>
      </c>
      <c r="S24" s="350"/>
      <c r="T24" s="383">
        <f>T17*$M$24</f>
        <v>0</v>
      </c>
      <c r="U24" s="383">
        <f>U17*$M$24</f>
        <v>0</v>
      </c>
      <c r="V24" s="383">
        <f>V17*$M$24</f>
        <v>0</v>
      </c>
      <c r="W24" s="43"/>
      <c r="X24" s="383">
        <f>X17*$M$24</f>
        <v>0</v>
      </c>
      <c r="Y24" s="383">
        <f>Y17*$M$24</f>
        <v>0</v>
      </c>
    </row>
    <row r="25" spans="5:25" ht="18" customHeight="1">
      <c r="E25" s="701" t="s">
        <v>483</v>
      </c>
      <c r="F25" s="704"/>
      <c r="G25" s="489"/>
      <c r="H25" s="370"/>
      <c r="I25" s="347"/>
      <c r="J25" s="371"/>
      <c r="K25" s="354"/>
      <c r="L25" s="381"/>
      <c r="M25" s="384"/>
      <c r="N25" s="385"/>
      <c r="O25" s="385"/>
      <c r="P25" s="385"/>
      <c r="Q25" s="43"/>
      <c r="R25" s="354"/>
      <c r="S25" s="354"/>
      <c r="T25" s="354"/>
      <c r="U25" s="354"/>
      <c r="V25" s="354"/>
      <c r="W25" s="43"/>
      <c r="X25" s="354"/>
      <c r="Y25" s="354"/>
    </row>
    <row r="26" spans="5:25">
      <c r="E26" s="705" t="s">
        <v>278</v>
      </c>
      <c r="F26" s="700"/>
      <c r="G26" s="489"/>
      <c r="H26" s="370"/>
      <c r="I26" s="347"/>
      <c r="J26" s="371"/>
      <c r="K26" s="371"/>
      <c r="L26" s="381"/>
      <c r="M26" s="384"/>
      <c r="N26" s="354"/>
      <c r="O26" s="354"/>
      <c r="P26" s="354"/>
      <c r="Q26" s="43"/>
      <c r="R26" s="354"/>
      <c r="S26" s="354"/>
      <c r="T26" s="354"/>
      <c r="U26" s="354"/>
      <c r="V26" s="354"/>
      <c r="W26" s="43"/>
      <c r="X26" s="354"/>
      <c r="Y26" s="354"/>
    </row>
    <row r="27" spans="5:25">
      <c r="E27" s="705" t="s">
        <v>484</v>
      </c>
      <c r="F27" s="700"/>
      <c r="G27" s="489"/>
      <c r="H27" s="370"/>
      <c r="I27" s="347"/>
      <c r="J27" s="371"/>
      <c r="K27" s="354"/>
      <c r="L27" s="371" t="s">
        <v>22</v>
      </c>
      <c r="M27" s="378"/>
      <c r="N27" s="386">
        <f>SUM(N17:N25)</f>
        <v>0</v>
      </c>
      <c r="O27" s="386">
        <f>SUM(O17:O25)</f>
        <v>0</v>
      </c>
      <c r="P27" s="386">
        <f>SUM(P17:P25)</f>
        <v>0</v>
      </c>
      <c r="Q27" s="43"/>
      <c r="R27" s="386">
        <f>SUM(R17:R25)</f>
        <v>0</v>
      </c>
      <c r="S27" s="386"/>
      <c r="T27" s="386">
        <f>SUM(T17:T25)</f>
        <v>0</v>
      </c>
      <c r="U27" s="386">
        <f>SUM(U17:U25)</f>
        <v>0</v>
      </c>
      <c r="V27" s="386">
        <f>SUM(V17:V25)</f>
        <v>0</v>
      </c>
      <c r="W27" s="43"/>
      <c r="X27" s="386">
        <f>SUM(X17:X25)</f>
        <v>0</v>
      </c>
      <c r="Y27" s="386">
        <f>SUM(Y17:Y25)</f>
        <v>0</v>
      </c>
    </row>
    <row r="28" spans="5:25">
      <c r="E28" s="699" t="s">
        <v>140</v>
      </c>
      <c r="F28" s="700"/>
      <c r="G28" s="707">
        <f>G43</f>
        <v>0</v>
      </c>
      <c r="H28" s="370"/>
      <c r="I28" s="347"/>
      <c r="J28" s="371"/>
      <c r="K28" s="354"/>
      <c r="L28" s="122"/>
      <c r="M28" s="387"/>
      <c r="N28" s="354"/>
      <c r="O28" s="354"/>
      <c r="P28" s="354"/>
      <c r="Q28" s="43"/>
      <c r="R28" s="354"/>
      <c r="S28" s="354"/>
      <c r="T28" s="354"/>
      <c r="U28" s="354"/>
      <c r="V28" s="354"/>
      <c r="W28" s="43"/>
      <c r="X28" s="354"/>
      <c r="Y28" s="354"/>
    </row>
    <row r="29" spans="5:25">
      <c r="E29" s="699" t="s">
        <v>73</v>
      </c>
      <c r="F29" s="700"/>
      <c r="G29" s="489"/>
      <c r="H29" s="370"/>
      <c r="I29" s="347"/>
      <c r="J29" s="371"/>
      <c r="K29" s="354"/>
      <c r="L29" s="381" t="s">
        <v>1</v>
      </c>
      <c r="M29" s="783">
        <v>0.08</v>
      </c>
      <c r="N29" s="383">
        <f>N27*$M$29</f>
        <v>0</v>
      </c>
      <c r="O29" s="383">
        <f>O27*$M$29</f>
        <v>0</v>
      </c>
      <c r="P29" s="383">
        <f>P27*$M$29</f>
        <v>0</v>
      </c>
      <c r="Q29" s="43"/>
      <c r="R29" s="383">
        <f>R27*$M$29</f>
        <v>0</v>
      </c>
      <c r="S29" s="383"/>
      <c r="T29" s="383">
        <f>T27*$M$29</f>
        <v>0</v>
      </c>
      <c r="U29" s="383">
        <f>U27*$M$29</f>
        <v>0</v>
      </c>
      <c r="V29" s="383">
        <f>V27*$M$29</f>
        <v>0</v>
      </c>
      <c r="W29" s="43"/>
      <c r="X29" s="383">
        <f>X27*$M$29</f>
        <v>0</v>
      </c>
      <c r="Y29" s="383">
        <f>Y27*$M$29</f>
        <v>0</v>
      </c>
    </row>
    <row r="30" spans="5:25">
      <c r="E30" s="699" t="s">
        <v>86</v>
      </c>
      <c r="F30" s="700"/>
      <c r="G30" s="489"/>
      <c r="H30" s="370"/>
      <c r="I30" s="347"/>
      <c r="J30" s="371"/>
      <c r="K30" s="354"/>
      <c r="L30" s="122"/>
      <c r="M30" s="387"/>
      <c r="N30" s="354"/>
      <c r="O30" s="354"/>
      <c r="P30" s="354"/>
      <c r="Q30" s="43"/>
      <c r="R30" s="354"/>
      <c r="S30" s="354"/>
      <c r="T30" s="354"/>
      <c r="U30" s="354"/>
      <c r="V30" s="354"/>
      <c r="W30" s="43"/>
      <c r="X30" s="354"/>
      <c r="Y30" s="354"/>
    </row>
    <row r="31" spans="5:25">
      <c r="E31" s="377"/>
      <c r="F31" s="377"/>
      <c r="G31" s="377"/>
      <c r="H31" s="370"/>
      <c r="I31" s="347"/>
      <c r="J31" s="371"/>
      <c r="K31" s="354"/>
      <c r="L31" s="371" t="s">
        <v>52</v>
      </c>
      <c r="M31" s="378"/>
      <c r="N31" s="386">
        <f>SUM(N27:N29)</f>
        <v>0</v>
      </c>
      <c r="O31" s="386">
        <f>SUM(O27:O29)</f>
        <v>0</v>
      </c>
      <c r="P31" s="386">
        <f>SUM(P27:P29)</f>
        <v>0</v>
      </c>
      <c r="Q31" s="43"/>
      <c r="R31" s="386">
        <f>SUM(R27:R29)</f>
        <v>0</v>
      </c>
      <c r="S31" s="386"/>
      <c r="T31" s="386">
        <f>SUM(T27:T29)</f>
        <v>0</v>
      </c>
      <c r="U31" s="386">
        <f>SUM(U27:U29)</f>
        <v>0</v>
      </c>
      <c r="V31" s="386">
        <f>SUM(V27:V29)</f>
        <v>0</v>
      </c>
      <c r="W31" s="43"/>
      <c r="X31" s="386">
        <f>SUM(X27:X29)</f>
        <v>0</v>
      </c>
      <c r="Y31" s="386">
        <f>SUM(Y27:Y29)</f>
        <v>0</v>
      </c>
    </row>
    <row r="32" spans="5:25">
      <c r="E32" s="377"/>
      <c r="G32" s="388"/>
      <c r="H32" s="370" t="s">
        <v>339</v>
      </c>
      <c r="I32" s="347"/>
      <c r="J32" s="371"/>
      <c r="K32" s="354"/>
      <c r="L32" s="122"/>
      <c r="M32" s="387"/>
      <c r="N32" s="354"/>
      <c r="O32" s="354"/>
      <c r="P32" s="354"/>
      <c r="Q32" s="43"/>
      <c r="R32" s="354"/>
      <c r="S32" s="354"/>
      <c r="T32" s="354"/>
      <c r="U32" s="354"/>
      <c r="V32" s="354"/>
      <c r="W32" s="43"/>
      <c r="X32" s="354"/>
      <c r="Y32" s="354"/>
    </row>
    <row r="33" spans="5:25">
      <c r="E33" s="371"/>
      <c r="F33" s="371" t="s">
        <v>211</v>
      </c>
      <c r="G33" s="708">
        <f>SUM(G22:G32)</f>
        <v>0</v>
      </c>
      <c r="H33" s="370"/>
      <c r="I33" s="347"/>
      <c r="J33" s="371"/>
      <c r="K33" s="354"/>
      <c r="L33" s="389" t="s">
        <v>112</v>
      </c>
      <c r="M33" s="378"/>
      <c r="N33" s="390">
        <f>N31*0.995</f>
        <v>0</v>
      </c>
      <c r="O33" s="390">
        <f>O31*0.995</f>
        <v>0</v>
      </c>
      <c r="P33" s="390">
        <f>P31*0.995</f>
        <v>0</v>
      </c>
      <c r="Q33" s="43"/>
      <c r="R33" s="390">
        <f>R31*0.995</f>
        <v>0</v>
      </c>
      <c r="S33" s="390"/>
      <c r="T33" s="390">
        <f>T31*0.995</f>
        <v>0</v>
      </c>
      <c r="U33" s="390">
        <f>U31*0.995</f>
        <v>0</v>
      </c>
      <c r="V33" s="390">
        <f>V31*0.995</f>
        <v>0</v>
      </c>
      <c r="W33" s="43"/>
      <c r="X33" s="390">
        <f>X31*0.995</f>
        <v>0</v>
      </c>
      <c r="Y33" s="390">
        <f>Y31*0.995</f>
        <v>0</v>
      </c>
    </row>
    <row r="34" spans="5:25">
      <c r="H34" s="376"/>
      <c r="I34" s="347"/>
      <c r="J34" s="371"/>
      <c r="K34" s="354"/>
      <c r="L34" s="381" t="s">
        <v>102</v>
      </c>
      <c r="M34" s="643">
        <f>G33</f>
        <v>0</v>
      </c>
      <c r="N34" s="383">
        <f>IF(N33=0,0,N33*'1.4-Opbouw uurtarieven'!$G$33)</f>
        <v>0</v>
      </c>
      <c r="O34" s="383">
        <f>IF(O33=0,0,O33*'1.4-Opbouw uurtarieven'!$G$33)</f>
        <v>0</v>
      </c>
      <c r="P34" s="383">
        <f>IF(P33=0,0,P33*'1.4-Opbouw uurtarieven'!$G$33)</f>
        <v>0</v>
      </c>
      <c r="Q34" s="43"/>
      <c r="R34" s="383">
        <f>IF(R33=0,0,R33*'1.4-Opbouw uurtarieven'!$G$33)</f>
        <v>0</v>
      </c>
      <c r="S34" s="383"/>
      <c r="T34" s="383">
        <f>IF(T33=0,0,T33*'1.4-Opbouw uurtarieven'!$G$33)</f>
        <v>0</v>
      </c>
      <c r="U34" s="383">
        <f>IF(U33=0,0,U33*'1.4-Opbouw uurtarieven'!$G$33)</f>
        <v>0</v>
      </c>
      <c r="V34" s="383">
        <f>IF(V33=0,0,V33*'1.4-Opbouw uurtarieven'!$G$33)</f>
        <v>0</v>
      </c>
      <c r="W34" s="43"/>
      <c r="X34" s="383">
        <f>IF(X33=0,0,X33*'1.4-Opbouw uurtarieven'!$G$33)</f>
        <v>0</v>
      </c>
      <c r="Y34" s="383">
        <f>IF(Y33=0,0,Y33*'1.4-Opbouw uurtarieven'!$G$33)</f>
        <v>0</v>
      </c>
    </row>
    <row r="35" spans="5:25" ht="17">
      <c r="E35" s="368" t="s">
        <v>331</v>
      </c>
      <c r="F35" s="353"/>
      <c r="G35" s="391"/>
      <c r="H35" s="370"/>
      <c r="I35" s="347"/>
      <c r="J35" s="371"/>
      <c r="K35" s="354"/>
      <c r="L35" s="122"/>
      <c r="M35" s="392"/>
      <c r="N35" s="354"/>
      <c r="O35" s="354"/>
      <c r="P35" s="354"/>
      <c r="Q35" s="43"/>
      <c r="R35" s="354"/>
      <c r="S35" s="354"/>
      <c r="T35" s="354"/>
      <c r="U35" s="354"/>
      <c r="V35" s="354"/>
      <c r="W35" s="43"/>
      <c r="X35" s="354"/>
      <c r="Y35" s="354"/>
    </row>
    <row r="36" spans="5:25">
      <c r="E36" s="370"/>
      <c r="F36" s="370"/>
      <c r="G36" s="393"/>
      <c r="H36" s="370"/>
      <c r="I36" s="347"/>
      <c r="J36" s="371"/>
      <c r="K36" s="354"/>
      <c r="L36" s="371" t="s">
        <v>2</v>
      </c>
      <c r="M36" s="394"/>
      <c r="N36" s="386">
        <f>N34+N31</f>
        <v>0</v>
      </c>
      <c r="O36" s="386">
        <f>O34+O31</f>
        <v>0</v>
      </c>
      <c r="P36" s="386">
        <f>P34+P31</f>
        <v>0</v>
      </c>
      <c r="Q36" s="43"/>
      <c r="R36" s="386">
        <f>R34+R31</f>
        <v>0</v>
      </c>
      <c r="S36" s="386"/>
      <c r="T36" s="386">
        <f>T34+T31</f>
        <v>0</v>
      </c>
      <c r="U36" s="386">
        <f>U34+U31</f>
        <v>0</v>
      </c>
      <c r="V36" s="386">
        <f>V34+V31</f>
        <v>0</v>
      </c>
      <c r="W36" s="43"/>
      <c r="X36" s="386">
        <f>X34+X31</f>
        <v>0</v>
      </c>
      <c r="Y36" s="386">
        <f>Y34+Y31</f>
        <v>0</v>
      </c>
    </row>
    <row r="37" spans="5:25">
      <c r="E37" s="370"/>
      <c r="F37" s="370"/>
      <c r="G37" s="369" t="s">
        <v>74</v>
      </c>
      <c r="H37" s="370"/>
      <c r="I37" s="347"/>
      <c r="J37" s="371"/>
      <c r="K37" s="354"/>
      <c r="L37" s="122"/>
      <c r="M37" s="392"/>
      <c r="N37" s="354"/>
      <c r="O37" s="354"/>
      <c r="P37" s="354"/>
      <c r="Q37" s="43"/>
      <c r="R37" s="354"/>
      <c r="S37" s="354"/>
      <c r="T37" s="354"/>
      <c r="U37" s="354"/>
      <c r="V37" s="354"/>
      <c r="W37" s="43"/>
      <c r="X37" s="354"/>
      <c r="Y37" s="354"/>
    </row>
    <row r="38" spans="5:25">
      <c r="E38" s="335" t="s">
        <v>75</v>
      </c>
      <c r="G38" s="535">
        <f>O78</f>
        <v>0</v>
      </c>
      <c r="H38" s="370"/>
      <c r="I38" s="347"/>
      <c r="J38" s="371"/>
      <c r="K38" s="354"/>
      <c r="L38" s="381" t="s">
        <v>3</v>
      </c>
      <c r="M38" s="643">
        <f>$G$63</f>
        <v>0</v>
      </c>
      <c r="N38" s="383">
        <f>N36*'1.4-Opbouw uurtarieven'!$G$63</f>
        <v>0</v>
      </c>
      <c r="O38" s="383">
        <f>O36*'1.4-Opbouw uurtarieven'!$G$63</f>
        <v>0</v>
      </c>
      <c r="P38" s="383">
        <f>P36*'1.4-Opbouw uurtarieven'!$G$63</f>
        <v>0</v>
      </c>
      <c r="Q38" s="43"/>
      <c r="R38" s="383">
        <f>R36*'1.4-Opbouw uurtarieven'!$G$63</f>
        <v>0</v>
      </c>
      <c r="S38" s="383"/>
      <c r="T38" s="383">
        <f>T36*'1.4-Opbouw uurtarieven'!$G$63</f>
        <v>0</v>
      </c>
      <c r="U38" s="383">
        <f>U36*'1.4-Opbouw uurtarieven'!$G$63</f>
        <v>0</v>
      </c>
      <c r="V38" s="383">
        <f>V36*'1.4-Opbouw uurtarieven'!$G$63</f>
        <v>0</v>
      </c>
      <c r="W38" s="43"/>
      <c r="X38" s="383">
        <f>X36*'1.4-Opbouw uurtarieven'!$G$63</f>
        <v>0</v>
      </c>
      <c r="Y38" s="383">
        <f>Y36*'1.4-Opbouw uurtarieven'!$G$63</f>
        <v>0</v>
      </c>
    </row>
    <row r="39" spans="5:25">
      <c r="E39" s="335" t="s">
        <v>64</v>
      </c>
      <c r="F39" s="395"/>
      <c r="G39" s="781"/>
      <c r="H39" s="537" t="s">
        <v>338</v>
      </c>
      <c r="I39" s="396"/>
      <c r="J39" s="371"/>
      <c r="K39" s="354"/>
      <c r="L39" s="371" t="s">
        <v>45</v>
      </c>
      <c r="M39" s="378"/>
      <c r="N39" s="386">
        <f>SUM(N36:N38)</f>
        <v>0</v>
      </c>
      <c r="O39" s="386">
        <f>SUM(O36:O38)</f>
        <v>0</v>
      </c>
      <c r="P39" s="386">
        <f>SUM(P36:P38)</f>
        <v>0</v>
      </c>
      <c r="Q39" s="43"/>
      <c r="R39" s="386">
        <f>SUM(R36:R38)</f>
        <v>0</v>
      </c>
      <c r="S39" s="386"/>
      <c r="T39" s="386">
        <f>SUM(T36:T38)</f>
        <v>0</v>
      </c>
      <c r="U39" s="386">
        <f>SUM(U36:U38)</f>
        <v>0</v>
      </c>
      <c r="V39" s="386">
        <f>SUM(V36:V38)</f>
        <v>0</v>
      </c>
      <c r="W39" s="43"/>
      <c r="X39" s="386">
        <f>SUM(X36:X38)</f>
        <v>0</v>
      </c>
      <c r="Y39" s="386">
        <f>SUM(Y36:Y38)</f>
        <v>0</v>
      </c>
    </row>
    <row r="40" spans="5:25">
      <c r="E40" s="335" t="s">
        <v>19</v>
      </c>
      <c r="G40" s="536">
        <f>G38-G39</f>
        <v>0</v>
      </c>
      <c r="H40" s="370"/>
      <c r="I40" s="347"/>
      <c r="J40" s="397"/>
      <c r="K40" s="354"/>
      <c r="L40" s="122"/>
      <c r="M40" s="387"/>
      <c r="N40" s="354"/>
      <c r="O40" s="354"/>
      <c r="P40" s="354"/>
      <c r="Q40" s="43"/>
      <c r="R40" s="354"/>
      <c r="S40" s="386"/>
      <c r="T40" s="354"/>
      <c r="U40" s="354"/>
      <c r="V40" s="354"/>
      <c r="W40" s="43"/>
      <c r="X40" s="354"/>
      <c r="Y40" s="354"/>
    </row>
    <row r="41" spans="5:25">
      <c r="E41" s="377" t="s">
        <v>20</v>
      </c>
      <c r="G41" s="782"/>
      <c r="H41" s="346"/>
      <c r="I41" s="346"/>
      <c r="J41" s="371"/>
      <c r="K41" s="354"/>
      <c r="L41" s="381" t="s">
        <v>89</v>
      </c>
      <c r="M41" s="378"/>
      <c r="N41" s="485"/>
      <c r="O41" s="485"/>
      <c r="P41" s="485"/>
      <c r="Q41" s="43"/>
      <c r="R41" s="44"/>
      <c r="S41" s="386"/>
      <c r="T41" s="354"/>
      <c r="U41" s="354"/>
      <c r="V41" s="354"/>
      <c r="W41" s="43"/>
      <c r="X41" s="354"/>
      <c r="Y41" s="354"/>
    </row>
    <row r="42" spans="5:25">
      <c r="E42" s="370"/>
      <c r="G42" s="393"/>
      <c r="H42" s="346"/>
      <c r="I42" s="346"/>
      <c r="J42" s="371"/>
      <c r="K42" s="354"/>
      <c r="L42" s="381" t="s">
        <v>16</v>
      </c>
      <c r="M42" s="378"/>
      <c r="N42" s="485"/>
      <c r="O42" s="485"/>
      <c r="P42" s="485"/>
      <c r="Q42" s="43"/>
      <c r="R42" s="44"/>
      <c r="S42" s="386"/>
      <c r="T42" s="485"/>
      <c r="U42" s="485"/>
      <c r="V42" s="485"/>
      <c r="W42" s="43"/>
      <c r="X42" s="44"/>
      <c r="Y42" s="44"/>
    </row>
    <row r="43" spans="5:25">
      <c r="E43" s="371"/>
      <c r="F43" s="428" t="s">
        <v>65</v>
      </c>
      <c r="G43" s="689">
        <f>IF(G38=0,0,(G40/G38)*G41)</f>
        <v>0</v>
      </c>
      <c r="H43" s="346"/>
      <c r="I43" s="398">
        <f>IF(I38=0,0,(I40/I38)*I41)</f>
        <v>0</v>
      </c>
      <c r="J43" s="371"/>
      <c r="K43" s="354"/>
      <c r="L43" s="122"/>
      <c r="M43" s="387"/>
      <c r="N43" s="354"/>
      <c r="O43" s="354"/>
      <c r="P43" s="354"/>
      <c r="Q43" s="43"/>
      <c r="R43" s="354"/>
      <c r="S43" s="386"/>
      <c r="T43" s="354"/>
      <c r="U43" s="354"/>
      <c r="V43" s="354"/>
      <c r="W43" s="43"/>
      <c r="X43" s="354"/>
      <c r="Y43" s="354"/>
    </row>
    <row r="44" spans="5:25">
      <c r="E44" s="399"/>
      <c r="G44" s="400"/>
      <c r="H44" s="346"/>
      <c r="I44" s="346"/>
      <c r="J44" s="347"/>
      <c r="K44" s="354"/>
      <c r="L44" s="371" t="s">
        <v>90</v>
      </c>
      <c r="M44" s="378"/>
      <c r="N44" s="386">
        <f>SUM(N39:N42)</f>
        <v>0</v>
      </c>
      <c r="O44" s="386">
        <f>SUM(O39:O42)</f>
        <v>0</v>
      </c>
      <c r="P44" s="386">
        <f>SUM(P39:P42)</f>
        <v>0</v>
      </c>
      <c r="Q44" s="43"/>
      <c r="R44" s="386">
        <f>SUM(R39:R42)</f>
        <v>0</v>
      </c>
      <c r="S44" s="386"/>
      <c r="T44" s="386">
        <f>SUM(T39:T42)</f>
        <v>0</v>
      </c>
      <c r="U44" s="386">
        <f>SUM(U39:U42)</f>
        <v>0</v>
      </c>
      <c r="V44" s="386">
        <f>SUM(V39:V42)</f>
        <v>0</v>
      </c>
      <c r="W44" s="43"/>
      <c r="X44" s="386">
        <f>SUM(X39:X42)</f>
        <v>0</v>
      </c>
      <c r="Y44" s="386">
        <f>SUM(Y39:Y42)</f>
        <v>0</v>
      </c>
    </row>
    <row r="45" spans="5:25">
      <c r="J45" s="340"/>
      <c r="K45" s="354"/>
      <c r="L45" s="122"/>
      <c r="M45" s="387"/>
      <c r="N45" s="354"/>
      <c r="O45" s="354"/>
      <c r="P45" s="354"/>
      <c r="Q45" s="43"/>
      <c r="R45" s="354"/>
      <c r="S45" s="386"/>
      <c r="T45" s="354"/>
      <c r="U45" s="354"/>
      <c r="V45" s="354"/>
      <c r="W45" s="43"/>
      <c r="X45" s="354"/>
      <c r="Y45" s="354"/>
    </row>
    <row r="46" spans="5:25" ht="17">
      <c r="F46" s="401"/>
      <c r="G46" s="402"/>
      <c r="H46" s="346"/>
      <c r="J46" s="340"/>
      <c r="K46" s="354"/>
      <c r="L46" s="381" t="s">
        <v>97</v>
      </c>
      <c r="M46" s="403"/>
      <c r="N46" s="485"/>
      <c r="O46" s="485"/>
      <c r="P46" s="485"/>
      <c r="Q46" s="43"/>
      <c r="R46" s="44"/>
      <c r="S46" s="386"/>
      <c r="T46" s="485"/>
      <c r="U46" s="485"/>
      <c r="V46" s="485"/>
      <c r="W46" s="43"/>
      <c r="X46" s="44"/>
      <c r="Y46" s="44"/>
    </row>
    <row r="47" spans="5:25" ht="17">
      <c r="E47" s="368" t="s">
        <v>332</v>
      </c>
      <c r="G47" s="404"/>
      <c r="H47" s="346"/>
      <c r="J47" s="340"/>
      <c r="K47" s="354"/>
      <c r="L47" s="381" t="s">
        <v>81</v>
      </c>
      <c r="M47" s="403"/>
      <c r="N47" s="485"/>
      <c r="O47" s="485"/>
      <c r="P47" s="485"/>
      <c r="Q47" s="43"/>
      <c r="R47" s="44"/>
      <c r="S47" s="386"/>
      <c r="T47" s="485"/>
      <c r="U47" s="485"/>
      <c r="V47" s="485"/>
      <c r="W47" s="43"/>
      <c r="X47" s="44"/>
      <c r="Y47" s="44"/>
    </row>
    <row r="48" spans="5:25">
      <c r="E48" s="404"/>
      <c r="F48" s="347" t="s">
        <v>144</v>
      </c>
      <c r="G48" s="404"/>
      <c r="H48" s="346"/>
      <c r="J48" s="340"/>
      <c r="K48" s="354"/>
      <c r="L48" s="381" t="s">
        <v>55</v>
      </c>
      <c r="M48" s="403"/>
      <c r="N48" s="485"/>
      <c r="O48" s="485"/>
      <c r="P48" s="485"/>
      <c r="Q48" s="43"/>
      <c r="R48" s="44"/>
      <c r="S48" s="386"/>
      <c r="T48" s="485"/>
      <c r="U48" s="485"/>
      <c r="V48" s="485"/>
      <c r="W48" s="43"/>
      <c r="X48" s="44"/>
      <c r="Y48" s="44"/>
    </row>
    <row r="49" spans="5:25">
      <c r="E49" s="405" t="s">
        <v>9</v>
      </c>
      <c r="F49" s="523"/>
      <c r="G49" s="406"/>
      <c r="H49" s="407"/>
      <c r="J49" s="340"/>
      <c r="K49" s="354"/>
      <c r="L49" s="381" t="s">
        <v>56</v>
      </c>
      <c r="M49" s="403"/>
      <c r="N49" s="485"/>
      <c r="O49" s="485"/>
      <c r="P49" s="485"/>
      <c r="Q49" s="43"/>
      <c r="R49" s="44"/>
      <c r="S49" s="386"/>
      <c r="T49" s="485"/>
      <c r="U49" s="485"/>
      <c r="V49" s="485"/>
      <c r="W49" s="43"/>
      <c r="X49" s="44"/>
      <c r="Y49" s="44"/>
    </row>
    <row r="50" spans="5:25">
      <c r="E50" s="405" t="s">
        <v>10</v>
      </c>
      <c r="F50" s="538"/>
      <c r="G50" s="408"/>
      <c r="H50" s="409"/>
      <c r="J50" s="340"/>
      <c r="K50" s="354"/>
      <c r="L50" s="381" t="s">
        <v>7</v>
      </c>
      <c r="M50" s="403"/>
      <c r="N50" s="485"/>
      <c r="O50" s="485"/>
      <c r="P50" s="485"/>
      <c r="Q50" s="43"/>
      <c r="R50" s="44"/>
      <c r="S50" s="386"/>
      <c r="T50" s="485"/>
      <c r="U50" s="485"/>
      <c r="V50" s="485"/>
      <c r="W50" s="43"/>
      <c r="X50" s="44"/>
      <c r="Y50" s="44"/>
    </row>
    <row r="51" spans="5:25">
      <c r="E51" s="399" t="s">
        <v>11</v>
      </c>
      <c r="F51" s="410"/>
      <c r="G51" s="640">
        <f>F49-F50</f>
        <v>0</v>
      </c>
      <c r="H51" s="409"/>
      <c r="J51" s="340"/>
      <c r="K51" s="354"/>
      <c r="L51" s="381" t="s">
        <v>8</v>
      </c>
      <c r="M51" s="403"/>
      <c r="N51" s="485"/>
      <c r="O51" s="485"/>
      <c r="P51" s="485"/>
      <c r="Q51" s="43"/>
      <c r="R51" s="44"/>
      <c r="S51" s="386"/>
      <c r="T51" s="485"/>
      <c r="U51" s="485"/>
      <c r="V51" s="485"/>
      <c r="W51" s="43"/>
      <c r="X51" s="44"/>
      <c r="Y51" s="44"/>
    </row>
    <row r="52" spans="5:25">
      <c r="E52" s="399"/>
      <c r="F52" s="410"/>
      <c r="G52" s="411"/>
      <c r="H52" s="409"/>
      <c r="J52" s="340"/>
      <c r="K52" s="354"/>
      <c r="L52" s="381" t="s">
        <v>485</v>
      </c>
      <c r="M52" s="403"/>
      <c r="N52" s="485"/>
      <c r="O52" s="485"/>
      <c r="P52" s="485"/>
      <c r="Q52" s="43"/>
      <c r="R52" s="44"/>
      <c r="S52" s="386"/>
      <c r="T52" s="485"/>
      <c r="U52" s="485"/>
      <c r="V52" s="485"/>
      <c r="W52" s="43"/>
      <c r="X52" s="44"/>
      <c r="Y52" s="44"/>
    </row>
    <row r="53" spans="5:25">
      <c r="E53" s="405" t="s">
        <v>58</v>
      </c>
      <c r="F53" s="485"/>
      <c r="G53" s="412"/>
      <c r="H53" s="409"/>
      <c r="J53" s="340"/>
      <c r="K53" s="413"/>
      <c r="L53" s="381" t="s">
        <v>213</v>
      </c>
      <c r="M53" s="403"/>
      <c r="N53" s="485"/>
      <c r="O53" s="485"/>
      <c r="P53" s="485"/>
      <c r="Q53" s="43"/>
      <c r="R53" s="44"/>
      <c r="S53" s="386"/>
      <c r="T53" s="485"/>
      <c r="U53" s="485"/>
      <c r="V53" s="485"/>
      <c r="W53" s="43"/>
      <c r="X53" s="44"/>
      <c r="Y53" s="44"/>
    </row>
    <row r="54" spans="5:25">
      <c r="E54" s="405" t="s">
        <v>30</v>
      </c>
      <c r="F54" s="485"/>
      <c r="G54" s="412"/>
      <c r="H54" s="409"/>
      <c r="J54" s="340"/>
      <c r="K54" s="354"/>
      <c r="L54" s="122"/>
      <c r="M54" s="387"/>
      <c r="N54" s="354"/>
      <c r="O54" s="354"/>
      <c r="P54" s="354"/>
      <c r="Q54" s="43"/>
      <c r="R54" s="354"/>
      <c r="S54" s="386"/>
      <c r="T54" s="354"/>
      <c r="U54" s="354"/>
      <c r="V54" s="354"/>
      <c r="W54" s="43"/>
      <c r="X54" s="354"/>
      <c r="Y54" s="354"/>
    </row>
    <row r="55" spans="5:25">
      <c r="E55" s="405" t="s">
        <v>59</v>
      </c>
      <c r="F55" s="485"/>
      <c r="G55" s="414"/>
      <c r="H55" s="409"/>
      <c r="J55" s="340"/>
      <c r="K55" s="354"/>
      <c r="L55" s="371" t="s">
        <v>109</v>
      </c>
      <c r="M55" s="378"/>
      <c r="N55" s="386">
        <f>SUM(N44:N54)</f>
        <v>0</v>
      </c>
      <c r="O55" s="386">
        <f>SUM(O44:O54)</f>
        <v>0</v>
      </c>
      <c r="P55" s="386">
        <f>SUM(P44:P54)</f>
        <v>0</v>
      </c>
      <c r="Q55" s="43"/>
      <c r="R55" s="386">
        <f>SUM(R44:R54)</f>
        <v>0</v>
      </c>
      <c r="S55" s="386"/>
      <c r="T55" s="386">
        <f>SUM(T44:T54)</f>
        <v>0</v>
      </c>
      <c r="U55" s="386">
        <f>SUM(U44:U54)</f>
        <v>0</v>
      </c>
      <c r="V55" s="386">
        <f>SUM(V44:V54)</f>
        <v>0</v>
      </c>
      <c r="W55" s="43"/>
      <c r="X55" s="386">
        <f>SUM(X44:X54)</f>
        <v>0</v>
      </c>
      <c r="Y55" s="386">
        <f>SUM(Y44:Y54)</f>
        <v>0</v>
      </c>
    </row>
    <row r="56" spans="5:25">
      <c r="E56" s="405" t="s">
        <v>60</v>
      </c>
      <c r="F56" s="415"/>
      <c r="G56" s="414"/>
      <c r="H56" s="409"/>
      <c r="J56" s="340"/>
      <c r="K56" s="354"/>
      <c r="L56" s="122"/>
      <c r="M56" s="387"/>
      <c r="N56" s="354"/>
      <c r="O56" s="354"/>
      <c r="P56" s="354"/>
      <c r="Q56" s="43"/>
      <c r="R56" s="354"/>
      <c r="S56" s="386"/>
      <c r="T56" s="354"/>
      <c r="U56" s="354"/>
      <c r="V56" s="354"/>
      <c r="W56" s="43"/>
      <c r="X56" s="354"/>
      <c r="Y56" s="354"/>
    </row>
    <row r="57" spans="5:25">
      <c r="E57" s="399" t="s">
        <v>36</v>
      </c>
      <c r="F57" s="539"/>
      <c r="G57" s="640">
        <f>G51-F53-F54-F55</f>
        <v>0</v>
      </c>
      <c r="H57" s="409"/>
      <c r="J57" s="340"/>
      <c r="K57" s="354"/>
      <c r="L57" s="381" t="s">
        <v>76</v>
      </c>
      <c r="M57" s="486"/>
      <c r="N57" s="416">
        <f>N55*$M$57</f>
        <v>0</v>
      </c>
      <c r="O57" s="416">
        <f>O55*$M$57</f>
        <v>0</v>
      </c>
      <c r="P57" s="416">
        <f>P55*$M$57</f>
        <v>0</v>
      </c>
      <c r="Q57" s="43"/>
      <c r="R57" s="416">
        <f>R55*$M$57</f>
        <v>0</v>
      </c>
      <c r="S57" s="386"/>
      <c r="T57" s="416">
        <f>T55*$M$57</f>
        <v>0</v>
      </c>
      <c r="U57" s="416">
        <f>U55*$M$57</f>
        <v>0</v>
      </c>
      <c r="V57" s="416">
        <f>V55*$M$57</f>
        <v>0</v>
      </c>
      <c r="W57" s="43"/>
      <c r="X57" s="416">
        <f>X55*$M$57</f>
        <v>0</v>
      </c>
      <c r="Y57" s="416">
        <f>Y55*$M$57</f>
        <v>0</v>
      </c>
    </row>
    <row r="58" spans="5:25">
      <c r="E58" s="399"/>
      <c r="F58" s="417"/>
      <c r="G58" s="404"/>
      <c r="H58" s="346"/>
      <c r="J58" s="340"/>
      <c r="K58" s="354"/>
      <c r="L58" s="122"/>
      <c r="M58" s="418"/>
      <c r="N58" s="354"/>
      <c r="O58" s="354"/>
      <c r="P58" s="354"/>
      <c r="Q58" s="43"/>
      <c r="R58" s="354"/>
      <c r="S58" s="386"/>
      <c r="T58" s="354"/>
      <c r="U58" s="354"/>
      <c r="V58" s="354"/>
      <c r="W58" s="43"/>
      <c r="X58" s="354"/>
      <c r="Y58" s="354"/>
    </row>
    <row r="59" spans="5:25">
      <c r="E59" s="340" t="s">
        <v>69</v>
      </c>
      <c r="F59" s="641">
        <f>IF(F53=0,0,F53/$G$57)</f>
        <v>0</v>
      </c>
      <c r="G59" s="419"/>
      <c r="H59" s="346"/>
      <c r="J59" s="340"/>
      <c r="K59" s="354"/>
      <c r="L59" s="381" t="s">
        <v>110</v>
      </c>
      <c r="M59" s="122"/>
      <c r="N59" s="420">
        <f>N57+N55</f>
        <v>0</v>
      </c>
      <c r="O59" s="420">
        <f>O57+O55</f>
        <v>0</v>
      </c>
      <c r="P59" s="420">
        <f>P57+P55</f>
        <v>0</v>
      </c>
      <c r="Q59" s="43"/>
      <c r="R59" s="420">
        <f>R57+R55</f>
        <v>0</v>
      </c>
      <c r="S59" s="386"/>
      <c r="T59" s="420">
        <f>T57+T55</f>
        <v>0</v>
      </c>
      <c r="U59" s="420">
        <f>U57+U55</f>
        <v>0</v>
      </c>
      <c r="V59" s="420">
        <f>V57+V55</f>
        <v>0</v>
      </c>
      <c r="W59" s="43"/>
      <c r="X59" s="420">
        <f>X57+X55</f>
        <v>0</v>
      </c>
      <c r="Y59" s="420">
        <f>Y57+Y55</f>
        <v>0</v>
      </c>
    </row>
    <row r="60" spans="5:25">
      <c r="E60" s="340" t="s">
        <v>30</v>
      </c>
      <c r="F60" s="641">
        <f>IF(F54=0,0,F54/$G$57)</f>
        <v>0</v>
      </c>
      <c r="G60" s="419"/>
      <c r="H60" s="346"/>
      <c r="J60" s="340"/>
      <c r="K60" s="354"/>
      <c r="L60" s="83"/>
      <c r="M60" s="122"/>
      <c r="N60" s="122"/>
      <c r="O60" s="122"/>
      <c r="P60" s="122"/>
      <c r="Q60" s="43"/>
      <c r="R60" s="122"/>
      <c r="S60" s="386"/>
      <c r="T60" s="122"/>
      <c r="U60" s="122"/>
      <c r="V60" s="122"/>
      <c r="W60" s="43"/>
      <c r="X60" s="122"/>
      <c r="Y60" s="122"/>
    </row>
    <row r="61" spans="5:25">
      <c r="E61" s="340" t="s">
        <v>113</v>
      </c>
      <c r="F61" s="641">
        <f>IF(F55=0,0,F55/$G$57)</f>
        <v>0</v>
      </c>
      <c r="G61" s="419"/>
      <c r="H61" s="346"/>
      <c r="J61" s="340"/>
      <c r="K61" s="354"/>
      <c r="L61" s="381" t="s">
        <v>126</v>
      </c>
      <c r="M61" s="122"/>
      <c r="N61" s="420">
        <f>N$39*30%+N59</f>
        <v>0</v>
      </c>
      <c r="O61" s="420">
        <f>O$39*30%+O59</f>
        <v>0</v>
      </c>
      <c r="P61" s="420">
        <f>P$39*30%+P59</f>
        <v>0</v>
      </c>
      <c r="Q61" s="43"/>
      <c r="R61" s="420">
        <f>R$39*30%+R59</f>
        <v>0</v>
      </c>
      <c r="S61" s="386"/>
      <c r="T61" s="420">
        <f>T$39*30%+T59</f>
        <v>0</v>
      </c>
      <c r="U61" s="420">
        <f>U$39*30%+U59</f>
        <v>0</v>
      </c>
      <c r="V61" s="420">
        <f>V$39*30%+V59</f>
        <v>0</v>
      </c>
      <c r="W61" s="43"/>
      <c r="X61" s="420">
        <f>X$39*30%+X59</f>
        <v>0</v>
      </c>
      <c r="Y61" s="420">
        <f>Y$39*30%+Y59</f>
        <v>0</v>
      </c>
    </row>
    <row r="62" spans="5:25">
      <c r="E62" s="340" t="s">
        <v>60</v>
      </c>
      <c r="F62" s="421">
        <f>IF(F56=0,0,F56/$G$57)</f>
        <v>0</v>
      </c>
      <c r="G62" s="419"/>
      <c r="H62" s="346"/>
      <c r="J62" s="340"/>
      <c r="K62" s="354"/>
      <c r="L62" s="83"/>
      <c r="M62" s="122"/>
      <c r="N62" s="122"/>
      <c r="O62" s="122"/>
      <c r="P62" s="122"/>
      <c r="Q62" s="43"/>
      <c r="R62" s="122"/>
      <c r="S62" s="386"/>
      <c r="T62" s="122"/>
      <c r="U62" s="122"/>
      <c r="V62" s="122"/>
      <c r="W62" s="43"/>
      <c r="X62" s="122"/>
      <c r="Y62" s="122"/>
    </row>
    <row r="63" spans="5:25">
      <c r="E63" s="371"/>
      <c r="F63" s="709" t="s">
        <v>0</v>
      </c>
      <c r="G63" s="642">
        <f>SUM(F59:F61)</f>
        <v>0</v>
      </c>
      <c r="H63" s="370"/>
      <c r="J63" s="340"/>
      <c r="K63" s="354"/>
      <c r="L63" s="381" t="s">
        <v>49</v>
      </c>
      <c r="M63" s="122"/>
      <c r="N63" s="420">
        <f>N$39*50%+N59</f>
        <v>0</v>
      </c>
      <c r="O63" s="420">
        <f>O$39*50%+O59</f>
        <v>0</v>
      </c>
      <c r="P63" s="420">
        <f>P$39*50%+P59</f>
        <v>0</v>
      </c>
      <c r="Q63" s="43"/>
      <c r="R63" s="420">
        <f>R$39*50%+R59</f>
        <v>0</v>
      </c>
      <c r="S63" s="386"/>
      <c r="T63" s="420">
        <f>T$39*50%+T59</f>
        <v>0</v>
      </c>
      <c r="U63" s="420">
        <f>U$39*50%+U59</f>
        <v>0</v>
      </c>
      <c r="V63" s="420">
        <f>V$39*50%+V59</f>
        <v>0</v>
      </c>
      <c r="W63" s="43"/>
      <c r="X63" s="420">
        <f>X$39*50%+X59</f>
        <v>0</v>
      </c>
      <c r="Y63" s="420">
        <f>Y$39*50%+Y59</f>
        <v>0</v>
      </c>
    </row>
    <row r="64" spans="5:25">
      <c r="K64" s="354"/>
      <c r="L64" s="83"/>
      <c r="M64" s="122"/>
      <c r="N64" s="122"/>
      <c r="O64" s="122"/>
      <c r="P64" s="122"/>
      <c r="Q64" s="43"/>
      <c r="R64" s="122"/>
      <c r="S64" s="122"/>
      <c r="T64" s="122"/>
      <c r="U64" s="122"/>
      <c r="V64" s="122"/>
      <c r="W64" s="43"/>
      <c r="X64" s="122"/>
      <c r="Y64" s="122"/>
    </row>
    <row r="65" spans="5:25">
      <c r="K65" s="354"/>
      <c r="L65" s="381" t="s">
        <v>18</v>
      </c>
      <c r="M65" s="122"/>
      <c r="N65" s="420">
        <f>N$39*150%+N59</f>
        <v>0</v>
      </c>
      <c r="O65" s="420">
        <f>O$39*150%+O59</f>
        <v>0</v>
      </c>
      <c r="P65" s="420">
        <f>P$39*150%+P59</f>
        <v>0</v>
      </c>
      <c r="Q65" s="43"/>
      <c r="R65" s="420">
        <f>R$39*150%+R59</f>
        <v>0</v>
      </c>
      <c r="S65" s="420"/>
      <c r="T65" s="420">
        <f>T$39*150%+T59</f>
        <v>0</v>
      </c>
      <c r="U65" s="420">
        <f>U$39*150%+U59</f>
        <v>0</v>
      </c>
      <c r="V65" s="420">
        <f>V$39*150%+V59</f>
        <v>0</v>
      </c>
      <c r="W65" s="43"/>
      <c r="X65" s="420">
        <f>X$39*150%+X59</f>
        <v>0</v>
      </c>
      <c r="Y65" s="420">
        <f>Y$39*150%+Y59</f>
        <v>0</v>
      </c>
    </row>
    <row r="66" spans="5:25" ht="16" thickBot="1">
      <c r="K66" s="354"/>
      <c r="L66" s="354"/>
      <c r="M66" s="122"/>
      <c r="N66" s="122"/>
      <c r="O66" s="122"/>
      <c r="P66" s="122"/>
      <c r="Q66" s="43"/>
      <c r="R66" s="122"/>
      <c r="S66" s="122"/>
      <c r="T66" s="122"/>
      <c r="U66" s="122"/>
      <c r="V66" s="122"/>
      <c r="W66" s="43"/>
      <c r="X66" s="122"/>
      <c r="Y66" s="122"/>
    </row>
    <row r="67" spans="5:25">
      <c r="E67" s="429"/>
      <c r="F67" s="429"/>
      <c r="G67" s="429"/>
      <c r="H67" s="429"/>
      <c r="I67" s="429"/>
      <c r="J67" s="429"/>
      <c r="K67" s="430"/>
      <c r="L67" s="431"/>
      <c r="M67" s="432"/>
      <c r="N67" s="432"/>
      <c r="O67" s="432"/>
      <c r="P67" s="432"/>
      <c r="Q67" s="432"/>
      <c r="R67" s="432"/>
      <c r="S67" s="432"/>
      <c r="T67" s="432"/>
      <c r="U67" s="432"/>
      <c r="V67" s="432"/>
      <c r="W67" s="43"/>
      <c r="X67" s="122"/>
      <c r="Y67" s="122"/>
    </row>
    <row r="68" spans="5:25" ht="32">
      <c r="J68" s="469"/>
      <c r="K68" s="470"/>
      <c r="L68" s="471" t="s">
        <v>297</v>
      </c>
      <c r="M68" s="470"/>
      <c r="N68" s="472" t="s">
        <v>304</v>
      </c>
      <c r="O68" s="472" t="s">
        <v>333</v>
      </c>
      <c r="P68" s="472" t="s">
        <v>334</v>
      </c>
      <c r="Q68" s="473"/>
      <c r="R68" s="122"/>
      <c r="S68" s="122"/>
      <c r="T68" s="122"/>
      <c r="U68" s="122"/>
      <c r="V68" s="122"/>
      <c r="W68" s="43"/>
      <c r="X68" s="122"/>
      <c r="Y68" s="122"/>
    </row>
    <row r="69" spans="5:25">
      <c r="J69" s="469"/>
      <c r="K69" s="473"/>
      <c r="L69" s="474" t="str">
        <f>'1.0-Contractblad'!D20</f>
        <v>Selecteer tarief uitvoerend</v>
      </c>
      <c r="M69" s="473"/>
      <c r="N69" s="475">
        <f>'1.0-Contractblad'!H20</f>
        <v>0</v>
      </c>
      <c r="O69" s="476">
        <f>N33</f>
        <v>0</v>
      </c>
      <c r="P69" s="476">
        <f>N69*O69</f>
        <v>0</v>
      </c>
      <c r="Q69" s="469"/>
      <c r="S69" s="122"/>
      <c r="T69" s="122"/>
      <c r="U69" s="122"/>
      <c r="V69" s="122"/>
      <c r="W69" s="43"/>
      <c r="X69" s="122"/>
      <c r="Y69" s="122"/>
    </row>
    <row r="70" spans="5:25">
      <c r="E70" s="340"/>
      <c r="F70" s="340"/>
      <c r="G70" s="340"/>
      <c r="H70" s="346"/>
      <c r="I70" s="346"/>
      <c r="J70" s="477"/>
      <c r="K70" s="473"/>
      <c r="L70" s="474" t="str">
        <f>'1.0-Contractblad'!D22</f>
        <v>Selecteer tarief uitvoerend</v>
      </c>
      <c r="M70" s="473"/>
      <c r="N70" s="475">
        <f>'1.0-Contractblad'!H22</f>
        <v>0</v>
      </c>
      <c r="O70" s="476">
        <f>O33</f>
        <v>0</v>
      </c>
      <c r="P70" s="476">
        <f t="shared" ref="P70:P75" si="0">N70*O70</f>
        <v>0</v>
      </c>
      <c r="Q70" s="469"/>
      <c r="S70" s="122"/>
      <c r="T70" s="122"/>
      <c r="U70" s="122"/>
      <c r="V70" s="122"/>
      <c r="W70" s="43"/>
      <c r="X70" s="122"/>
      <c r="Y70" s="122"/>
    </row>
    <row r="71" spans="5:25">
      <c r="E71" s="340"/>
      <c r="F71" s="340"/>
      <c r="G71" s="340"/>
      <c r="H71" s="346"/>
      <c r="I71" s="346"/>
      <c r="J71" s="477"/>
      <c r="K71" s="473"/>
      <c r="L71" s="474" t="str">
        <f>'1.0-Contractblad'!D24</f>
        <v>Selecteer tarief uitvoerend</v>
      </c>
      <c r="M71" s="473"/>
      <c r="N71" s="475">
        <f>'1.0-Contractblad'!H24</f>
        <v>0</v>
      </c>
      <c r="O71" s="476">
        <f>P33</f>
        <v>0</v>
      </c>
      <c r="P71" s="476">
        <f t="shared" si="0"/>
        <v>0</v>
      </c>
      <c r="Q71" s="469"/>
      <c r="S71" s="122"/>
      <c r="T71" s="122"/>
      <c r="U71" s="122"/>
      <c r="V71" s="122"/>
      <c r="W71" s="43"/>
      <c r="X71" s="122"/>
      <c r="Y71" s="122"/>
    </row>
    <row r="72" spans="5:25">
      <c r="E72" s="340"/>
      <c r="F72" s="340"/>
      <c r="G72" s="340"/>
      <c r="H72" s="346"/>
      <c r="I72" s="346"/>
      <c r="J72" s="477"/>
      <c r="K72" s="473"/>
      <c r="L72" s="474">
        <f>'1.0-Contractblad'!D23</f>
        <v>0</v>
      </c>
      <c r="M72" s="473"/>
      <c r="N72" s="475"/>
      <c r="O72" s="476"/>
      <c r="P72" s="476"/>
      <c r="Q72" s="469"/>
      <c r="S72" s="122"/>
      <c r="T72" s="122"/>
      <c r="U72" s="122"/>
      <c r="V72" s="122"/>
      <c r="W72" s="43"/>
      <c r="X72" s="122"/>
      <c r="Y72" s="122"/>
    </row>
    <row r="73" spans="5:25">
      <c r="E73" s="340"/>
      <c r="F73" s="340"/>
      <c r="G73" s="340"/>
      <c r="H73" s="346"/>
      <c r="I73" s="346"/>
      <c r="J73" s="477"/>
      <c r="K73" s="473"/>
      <c r="L73" s="474" t="str">
        <f>'1.0-Contractblad'!D30</f>
        <v>Selecteer tarief toezicht</v>
      </c>
      <c r="M73" s="473"/>
      <c r="N73" s="475">
        <f>'1.0-Contractblad'!H30</f>
        <v>0</v>
      </c>
      <c r="O73" s="476">
        <f>T33</f>
        <v>0</v>
      </c>
      <c r="P73" s="476">
        <f t="shared" si="0"/>
        <v>0</v>
      </c>
      <c r="Q73" s="469"/>
      <c r="S73" s="122"/>
      <c r="T73" s="122"/>
      <c r="U73" s="122"/>
      <c r="V73" s="122"/>
      <c r="W73" s="43"/>
      <c r="X73" s="122"/>
      <c r="Y73" s="122"/>
    </row>
    <row r="74" spans="5:25">
      <c r="E74" s="340"/>
      <c r="F74" s="340"/>
      <c r="G74" s="340"/>
      <c r="H74" s="346"/>
      <c r="I74" s="346"/>
      <c r="J74" s="477"/>
      <c r="K74" s="473"/>
      <c r="L74" s="474" t="str">
        <f>'1.0-Contractblad'!D32</f>
        <v>Selecteer tarief toezicht</v>
      </c>
      <c r="M74" s="473"/>
      <c r="N74" s="475">
        <f>'1.0-Contractblad'!H32</f>
        <v>0</v>
      </c>
      <c r="O74" s="476">
        <f>U33</f>
        <v>0</v>
      </c>
      <c r="P74" s="476">
        <f t="shared" si="0"/>
        <v>0</v>
      </c>
      <c r="Q74" s="469"/>
      <c r="S74" s="122"/>
      <c r="T74" s="122"/>
      <c r="U74" s="122"/>
      <c r="V74" s="122"/>
      <c r="W74" s="43"/>
      <c r="X74" s="122"/>
      <c r="Y74" s="122"/>
    </row>
    <row r="75" spans="5:25">
      <c r="E75" s="340"/>
      <c r="F75" s="340"/>
      <c r="G75" s="340"/>
      <c r="H75" s="346"/>
      <c r="I75" s="346"/>
      <c r="J75" s="477"/>
      <c r="K75" s="473"/>
      <c r="L75" s="474" t="str">
        <f>'1.0-Contractblad'!D34</f>
        <v>Selecteer tarief toezicht</v>
      </c>
      <c r="M75" s="473"/>
      <c r="N75" s="475">
        <f>'1.0-Contractblad'!H34</f>
        <v>0</v>
      </c>
      <c r="O75" s="633">
        <f>V33</f>
        <v>0</v>
      </c>
      <c r="P75" s="476">
        <f t="shared" si="0"/>
        <v>0</v>
      </c>
      <c r="Q75" s="469"/>
      <c r="S75" s="122"/>
      <c r="T75" s="122"/>
      <c r="U75" s="122"/>
      <c r="V75" s="122"/>
      <c r="W75" s="43"/>
      <c r="X75" s="122"/>
      <c r="Y75" s="122"/>
    </row>
    <row r="76" spans="5:25">
      <c r="E76" s="340"/>
      <c r="F76" s="340"/>
      <c r="G76" s="340"/>
      <c r="H76" s="346"/>
      <c r="I76" s="346"/>
      <c r="J76" s="477"/>
      <c r="K76" s="473"/>
      <c r="L76" s="469"/>
      <c r="M76" s="473"/>
      <c r="N76" s="478">
        <f>SUM(N69:N75)</f>
        <v>0</v>
      </c>
      <c r="O76" s="473"/>
      <c r="P76" s="479">
        <f>SUM(P69:P75)</f>
        <v>0</v>
      </c>
      <c r="Q76" s="469"/>
      <c r="S76" s="122"/>
      <c r="T76" s="122"/>
      <c r="U76" s="122"/>
      <c r="V76" s="122"/>
      <c r="W76" s="43"/>
      <c r="X76" s="122"/>
      <c r="Y76" s="122"/>
    </row>
    <row r="77" spans="5:25">
      <c r="E77" s="340"/>
      <c r="F77" s="340"/>
      <c r="G77" s="340"/>
      <c r="H77" s="346"/>
      <c r="I77" s="346"/>
      <c r="J77" s="477"/>
      <c r="K77" s="473"/>
      <c r="L77" s="473"/>
      <c r="M77" s="473"/>
      <c r="N77" s="473"/>
      <c r="O77" s="473"/>
      <c r="P77" s="473"/>
      <c r="Q77" s="469"/>
      <c r="S77" s="122"/>
      <c r="T77" s="122"/>
      <c r="U77" s="122"/>
      <c r="V77" s="122"/>
      <c r="W77" s="43"/>
      <c r="X77" s="122"/>
      <c r="Y77" s="122"/>
    </row>
    <row r="78" spans="5:25">
      <c r="F78" s="422"/>
      <c r="J78" s="469"/>
      <c r="K78" s="473"/>
      <c r="L78" s="473"/>
      <c r="M78" s="480"/>
      <c r="N78" s="481" t="s">
        <v>346</v>
      </c>
      <c r="O78" s="482">
        <f>IF(P76=0,0,P76/N76)</f>
        <v>0</v>
      </c>
      <c r="P78" s="473"/>
      <c r="Q78" s="473"/>
      <c r="R78" s="122"/>
      <c r="S78" s="122"/>
      <c r="T78" s="122"/>
      <c r="U78" s="122"/>
      <c r="V78" s="122"/>
      <c r="W78" s="43"/>
      <c r="X78" s="122"/>
      <c r="Y78" s="122"/>
    </row>
    <row r="79" spans="5:25">
      <c r="F79" s="422"/>
      <c r="J79" s="469"/>
      <c r="K79" s="473"/>
      <c r="L79" s="473"/>
      <c r="M79" s="480"/>
      <c r="N79" s="481"/>
      <c r="O79" s="482"/>
      <c r="P79" s="473"/>
      <c r="Q79" s="473"/>
      <c r="R79" s="122"/>
      <c r="S79" s="122"/>
      <c r="T79" s="122"/>
      <c r="U79" s="122"/>
      <c r="V79" s="122"/>
      <c r="W79" s="43"/>
      <c r="X79" s="122"/>
      <c r="Y79" s="122"/>
    </row>
    <row r="80" spans="5:25" hidden="1">
      <c r="F80" s="422"/>
      <c r="U80" s="122"/>
      <c r="V80" s="122"/>
      <c r="W80" s="43"/>
      <c r="X80" s="122"/>
      <c r="Y80" s="122"/>
    </row>
    <row r="81" spans="5:25" hidden="1">
      <c r="F81" s="422"/>
      <c r="K81" s="423" t="s">
        <v>160</v>
      </c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43"/>
      <c r="X81" s="122"/>
      <c r="Y81" s="122"/>
    </row>
    <row r="82" spans="5:25" hidden="1">
      <c r="F82" s="422"/>
      <c r="K82" s="337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43"/>
      <c r="X82" s="122"/>
      <c r="Y82" s="122"/>
    </row>
    <row r="83" spans="5:25" hidden="1">
      <c r="E83" s="335" t="s">
        <v>275</v>
      </c>
      <c r="K83" s="423" t="s">
        <v>179</v>
      </c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43"/>
      <c r="X83" s="122"/>
      <c r="Y83" s="122"/>
    </row>
    <row r="84" spans="5:25" hidden="1">
      <c r="E84" s="335" t="s">
        <v>276</v>
      </c>
      <c r="F84" s="335">
        <v>1</v>
      </c>
      <c r="G84" s="424">
        <v>6.1800000000000001E-2</v>
      </c>
      <c r="K84" s="423" t="s">
        <v>182</v>
      </c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43"/>
      <c r="X84" s="122"/>
      <c r="Y84" s="122"/>
    </row>
    <row r="85" spans="5:25" hidden="1">
      <c r="E85" s="335" t="s">
        <v>277</v>
      </c>
      <c r="F85" s="335">
        <v>2</v>
      </c>
      <c r="G85" s="424">
        <v>7.4899999999999994E-2</v>
      </c>
      <c r="K85" s="423" t="s">
        <v>183</v>
      </c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43"/>
      <c r="X85" s="122"/>
      <c r="Y85" s="122"/>
    </row>
    <row r="86" spans="5:25" hidden="1">
      <c r="F86" s="422"/>
      <c r="K86" s="423" t="s">
        <v>184</v>
      </c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43"/>
      <c r="X86" s="122"/>
      <c r="Y86" s="122"/>
    </row>
    <row r="87" spans="5:25" hidden="1">
      <c r="F87" s="422"/>
      <c r="K87" s="423" t="s">
        <v>185</v>
      </c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43"/>
      <c r="X87" s="122"/>
      <c r="Y87" s="122"/>
    </row>
    <row r="88" spans="5:25" hidden="1">
      <c r="F88" s="422"/>
      <c r="K88" s="423" t="s">
        <v>180</v>
      </c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43"/>
      <c r="X88" s="122"/>
      <c r="Y88" s="122"/>
    </row>
    <row r="89" spans="5:25" hidden="1">
      <c r="K89" s="423" t="s">
        <v>186</v>
      </c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43"/>
      <c r="X89" s="122"/>
      <c r="Y89" s="122"/>
    </row>
    <row r="90" spans="5:25" hidden="1">
      <c r="K90" s="423" t="s">
        <v>187</v>
      </c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43"/>
      <c r="X90" s="122"/>
      <c r="Y90" s="122"/>
    </row>
    <row r="91" spans="5:25" hidden="1">
      <c r="K91" s="423" t="s">
        <v>188</v>
      </c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43"/>
      <c r="X91" s="122"/>
      <c r="Y91" s="122"/>
    </row>
    <row r="92" spans="5:25" hidden="1">
      <c r="K92" s="423" t="s">
        <v>189</v>
      </c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43"/>
      <c r="X92" s="122"/>
      <c r="Y92" s="122"/>
    </row>
    <row r="93" spans="5:25" hidden="1">
      <c r="K93" s="423" t="s">
        <v>190</v>
      </c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43"/>
      <c r="X93" s="122"/>
      <c r="Y93" s="122"/>
    </row>
    <row r="94" spans="5:25" hidden="1">
      <c r="K94" s="423" t="s">
        <v>191</v>
      </c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43"/>
      <c r="X94" s="122"/>
      <c r="Y94" s="122"/>
    </row>
    <row r="95" spans="5:25" hidden="1">
      <c r="K95" s="423" t="s">
        <v>192</v>
      </c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43"/>
      <c r="X95" s="122"/>
      <c r="Y95" s="122"/>
    </row>
    <row r="96" spans="5:25" hidden="1">
      <c r="K96" s="423" t="s">
        <v>193</v>
      </c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43"/>
      <c r="X96" s="122"/>
      <c r="Y96" s="122"/>
    </row>
    <row r="97" spans="11:25" hidden="1">
      <c r="K97" s="423" t="s">
        <v>194</v>
      </c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43"/>
      <c r="X97" s="122"/>
      <c r="Y97" s="122"/>
    </row>
    <row r="98" spans="11:25" hidden="1">
      <c r="K98" s="423" t="s">
        <v>195</v>
      </c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43"/>
      <c r="X98" s="122"/>
      <c r="Y98" s="122"/>
    </row>
    <row r="99" spans="11:25" hidden="1">
      <c r="K99" s="423" t="s">
        <v>196</v>
      </c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43"/>
      <c r="X99" s="122"/>
      <c r="Y99" s="122"/>
    </row>
    <row r="100" spans="11:25" hidden="1">
      <c r="K100" s="423" t="s">
        <v>197</v>
      </c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43"/>
      <c r="X100" s="122"/>
      <c r="Y100" s="122"/>
    </row>
    <row r="101" spans="11:25" hidden="1">
      <c r="K101" s="423" t="s">
        <v>198</v>
      </c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43"/>
      <c r="X101" s="122"/>
      <c r="Y101" s="122"/>
    </row>
    <row r="102" spans="11:25" hidden="1">
      <c r="K102" s="423" t="s">
        <v>199</v>
      </c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43"/>
      <c r="X102" s="122"/>
      <c r="Y102" s="122"/>
    </row>
    <row r="103" spans="11:25" hidden="1">
      <c r="K103" s="423" t="s">
        <v>200</v>
      </c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43"/>
      <c r="X103" s="122"/>
      <c r="Y103" s="122"/>
    </row>
    <row r="104" spans="11:25" hidden="1">
      <c r="K104" s="423" t="s">
        <v>201</v>
      </c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43"/>
      <c r="X104" s="122"/>
      <c r="Y104" s="122"/>
    </row>
    <row r="105" spans="11:25" hidden="1">
      <c r="K105" s="423" t="s">
        <v>202</v>
      </c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43"/>
      <c r="X105" s="122"/>
      <c r="Y105" s="122"/>
    </row>
    <row r="106" spans="11:25" hidden="1">
      <c r="K106" s="423" t="s">
        <v>203</v>
      </c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43"/>
      <c r="X106" s="122"/>
      <c r="Y106" s="122"/>
    </row>
    <row r="107" spans="11:25" hidden="1">
      <c r="K107" s="423" t="s">
        <v>204</v>
      </c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43"/>
      <c r="X107" s="122"/>
      <c r="Y107" s="122"/>
    </row>
    <row r="108" spans="11:25" hidden="1">
      <c r="K108" s="423" t="s">
        <v>205</v>
      </c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43"/>
      <c r="X108" s="122"/>
      <c r="Y108" s="122"/>
    </row>
    <row r="109" spans="11:25" hidden="1">
      <c r="K109" s="423" t="s">
        <v>206</v>
      </c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43"/>
      <c r="X109" s="122"/>
      <c r="Y109" s="122"/>
    </row>
    <row r="110" spans="11:25" hidden="1">
      <c r="K110" s="423" t="s">
        <v>207</v>
      </c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43"/>
      <c r="X110" s="122"/>
      <c r="Y110" s="122"/>
    </row>
    <row r="111" spans="11:25" hidden="1">
      <c r="K111" s="423" t="s">
        <v>208</v>
      </c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43"/>
      <c r="X111" s="122"/>
      <c r="Y111" s="122"/>
    </row>
    <row r="112" spans="11:25" hidden="1">
      <c r="K112" s="423" t="s">
        <v>209</v>
      </c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43"/>
      <c r="X112" s="122"/>
      <c r="Y112" s="122"/>
    </row>
    <row r="113" spans="11:25" hidden="1">
      <c r="K113" s="423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43"/>
      <c r="X113" s="122"/>
      <c r="Y113" s="122"/>
    </row>
    <row r="114" spans="11:25" hidden="1">
      <c r="K114" s="423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43"/>
      <c r="X114" s="122"/>
      <c r="Y114" s="122"/>
    </row>
    <row r="115" spans="11:25" hidden="1">
      <c r="K115" s="423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43"/>
      <c r="X115" s="122"/>
      <c r="Y115" s="122"/>
    </row>
    <row r="116" spans="11:25" hidden="1">
      <c r="K116" s="423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43"/>
      <c r="X116" s="122"/>
      <c r="Y116" s="122"/>
    </row>
    <row r="117" spans="11:25" hidden="1">
      <c r="K117" s="423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43"/>
      <c r="X117" s="122"/>
      <c r="Y117" s="122"/>
    </row>
    <row r="118" spans="11:25" hidden="1">
      <c r="K118" s="423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43"/>
      <c r="X118" s="122"/>
      <c r="Y118" s="122"/>
    </row>
    <row r="119" spans="11:25" hidden="1">
      <c r="K119" s="423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43"/>
      <c r="X119" s="122"/>
      <c r="Y119" s="122"/>
    </row>
    <row r="120" spans="11:25" hidden="1">
      <c r="K120" s="423" t="s">
        <v>181</v>
      </c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43"/>
      <c r="X120" s="122"/>
      <c r="Y120" s="122"/>
    </row>
    <row r="121" spans="11:25" hidden="1">
      <c r="K121" s="425">
        <v>1</v>
      </c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43"/>
      <c r="X121" s="122"/>
      <c r="Y121" s="122"/>
    </row>
    <row r="122" spans="11:25" hidden="1">
      <c r="K122" s="423">
        <v>2</v>
      </c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43"/>
      <c r="X122" s="122"/>
      <c r="Y122" s="122"/>
    </row>
    <row r="123" spans="11:25" hidden="1">
      <c r="K123" s="423">
        <v>3</v>
      </c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43"/>
      <c r="X123" s="122"/>
      <c r="Y123" s="122"/>
    </row>
    <row r="124" spans="11:25" hidden="1">
      <c r="K124" s="423">
        <v>4</v>
      </c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43"/>
      <c r="X124" s="122"/>
      <c r="Y124" s="122"/>
    </row>
    <row r="125" spans="11:25" hidden="1">
      <c r="K125" s="423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43"/>
      <c r="X125" s="122"/>
      <c r="Y125" s="122"/>
    </row>
    <row r="126" spans="11:25" hidden="1">
      <c r="K126" s="423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43"/>
      <c r="X126" s="122"/>
      <c r="Y126" s="122"/>
    </row>
    <row r="127" spans="11:25" hidden="1">
      <c r="K127" s="423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43"/>
      <c r="X127" s="122"/>
      <c r="Y127" s="122"/>
    </row>
    <row r="128" spans="11:25" hidden="1">
      <c r="K128" s="423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43"/>
      <c r="X128" s="122"/>
      <c r="Y128" s="122"/>
    </row>
    <row r="129" spans="11:25" hidden="1">
      <c r="K129" s="423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43"/>
      <c r="X129" s="122"/>
      <c r="Y129" s="122"/>
    </row>
    <row r="130" spans="11:25" hidden="1">
      <c r="K130" s="423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43"/>
      <c r="X130" s="122"/>
      <c r="Y130" s="122"/>
    </row>
    <row r="131" spans="11:25" hidden="1">
      <c r="K131" s="423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43"/>
      <c r="X131" s="122"/>
      <c r="Y131" s="122"/>
    </row>
    <row r="132" spans="11:25" hidden="1">
      <c r="K132" s="423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43"/>
      <c r="X132" s="122"/>
      <c r="Y132" s="122"/>
    </row>
    <row r="133" spans="11:25" hidden="1">
      <c r="K133" s="423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43"/>
      <c r="X133" s="122"/>
      <c r="Y133" s="122"/>
    </row>
    <row r="134" spans="11:25" hidden="1">
      <c r="K134" s="423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43"/>
      <c r="X134" s="122"/>
      <c r="Y134" s="122"/>
    </row>
    <row r="135" spans="11:25" hidden="1">
      <c r="K135" s="423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43"/>
      <c r="X135" s="122"/>
      <c r="Y135" s="122"/>
    </row>
    <row r="136" spans="11:25" hidden="1">
      <c r="K136" s="423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43"/>
      <c r="X136" s="122"/>
      <c r="Y136" s="122"/>
    </row>
    <row r="137" spans="11:25" hidden="1">
      <c r="K137" s="423"/>
      <c r="L137" s="417"/>
      <c r="M137" s="122"/>
      <c r="N137" s="122"/>
      <c r="O137" s="122"/>
      <c r="P137" s="122"/>
      <c r="W137" s="43"/>
    </row>
    <row r="138" spans="11:25" hidden="1">
      <c r="K138" s="423"/>
      <c r="L138" s="417"/>
      <c r="M138" s="122"/>
      <c r="N138" s="122"/>
      <c r="O138" s="122"/>
      <c r="P138" s="122"/>
      <c r="W138" s="43"/>
    </row>
    <row r="139" spans="11:25" hidden="1">
      <c r="K139" s="423"/>
      <c r="L139" s="417"/>
      <c r="M139" s="122"/>
      <c r="N139" s="122"/>
      <c r="O139" s="122"/>
      <c r="P139" s="122"/>
      <c r="W139" s="43"/>
    </row>
    <row r="140" spans="11:25" hidden="1">
      <c r="K140" s="423"/>
      <c r="L140" s="417"/>
      <c r="M140" s="122"/>
      <c r="N140" s="122"/>
      <c r="O140" s="122"/>
      <c r="P140" s="122"/>
      <c r="W140" s="43"/>
    </row>
    <row r="141" spans="11:25" hidden="1">
      <c r="K141" s="423"/>
      <c r="L141" s="417"/>
      <c r="M141" s="122"/>
      <c r="N141" s="122"/>
      <c r="O141" s="122"/>
      <c r="P141" s="122"/>
      <c r="W141" s="43"/>
    </row>
    <row r="142" spans="11:25" hidden="1">
      <c r="K142" s="423"/>
      <c r="L142" s="417"/>
      <c r="M142" s="122"/>
      <c r="N142" s="122"/>
      <c r="O142" s="122"/>
      <c r="P142" s="122"/>
    </row>
    <row r="143" spans="11:25" hidden="1">
      <c r="K143" s="423"/>
      <c r="L143" s="417"/>
      <c r="M143" s="122"/>
      <c r="N143" s="122"/>
      <c r="O143" s="122"/>
      <c r="P143" s="122"/>
    </row>
    <row r="144" spans="11:25" hidden="1">
      <c r="K144" s="423"/>
      <c r="L144" s="417"/>
      <c r="M144" s="122"/>
      <c r="N144" s="122"/>
      <c r="O144" s="122"/>
      <c r="P144" s="122"/>
    </row>
    <row r="145" spans="11:16" hidden="1">
      <c r="K145" s="423"/>
      <c r="L145" s="417"/>
      <c r="M145" s="122"/>
      <c r="N145" s="122"/>
      <c r="O145" s="122"/>
      <c r="P145" s="122"/>
    </row>
    <row r="146" spans="11:16" hidden="1">
      <c r="K146" s="423"/>
      <c r="L146" s="417"/>
      <c r="M146" s="122"/>
      <c r="N146" s="122"/>
      <c r="O146" s="122"/>
      <c r="P146" s="122"/>
    </row>
    <row r="147" spans="11:16" hidden="1">
      <c r="K147" s="423"/>
      <c r="L147" s="417"/>
      <c r="M147" s="122"/>
      <c r="N147" s="122"/>
      <c r="O147" s="122"/>
      <c r="P147" s="122"/>
    </row>
    <row r="148" spans="11:16" hidden="1">
      <c r="K148" s="423"/>
      <c r="L148" s="417"/>
      <c r="M148" s="122"/>
      <c r="N148" s="122"/>
      <c r="O148" s="122"/>
      <c r="P148" s="122"/>
    </row>
    <row r="149" spans="11:16" hidden="1">
      <c r="K149" s="423"/>
      <c r="L149" s="417"/>
      <c r="M149" s="122"/>
      <c r="N149" s="122"/>
      <c r="O149" s="122"/>
      <c r="P149" s="122"/>
    </row>
    <row r="150" spans="11:16" hidden="1">
      <c r="K150" s="423"/>
      <c r="L150" s="417"/>
      <c r="M150" s="122"/>
      <c r="N150" s="122"/>
      <c r="O150" s="122"/>
      <c r="P150" s="122"/>
    </row>
    <row r="151" spans="11:16" hidden="1">
      <c r="K151" s="423"/>
      <c r="L151" s="417"/>
      <c r="M151" s="122"/>
      <c r="N151" s="122"/>
      <c r="O151" s="122"/>
      <c r="P151" s="122"/>
    </row>
    <row r="152" spans="11:16" hidden="1">
      <c r="N152" s="423"/>
    </row>
    <row r="156" spans="11:16"/>
    <row r="157" spans="11:16"/>
    <row r="158" spans="11:16"/>
    <row r="159" spans="11:16"/>
    <row r="160" spans="11:16"/>
    <row r="161"/>
  </sheetData>
  <dataConsolidate/>
  <mergeCells count="6">
    <mergeCell ref="F10:G10"/>
    <mergeCell ref="T11:V11"/>
    <mergeCell ref="X11:Y11"/>
    <mergeCell ref="N11:P11"/>
    <mergeCell ref="N7:O10"/>
    <mergeCell ref="T7:U10"/>
  </mergeCells>
  <conditionalFormatting sqref="F39">
    <cfRule type="expression" dxfId="142" priority="428">
      <formula>"D40=&gt;0"</formula>
    </cfRule>
  </conditionalFormatting>
  <conditionalFormatting sqref="F49:F50">
    <cfRule type="notContainsBlanks" dxfId="141" priority="66">
      <formula>LEN(TRIM(F49))&gt;0</formula>
    </cfRule>
  </conditionalFormatting>
  <conditionalFormatting sqref="F53:F55">
    <cfRule type="notContainsBlanks" dxfId="140" priority="11">
      <formula>LEN(TRIM(F53))&gt;0</formula>
    </cfRule>
  </conditionalFormatting>
  <conditionalFormatting sqref="F59:F61">
    <cfRule type="cellIs" dxfId="139" priority="415" operator="greaterThan">
      <formula>0</formula>
    </cfRule>
  </conditionalFormatting>
  <conditionalFormatting sqref="G19:G21">
    <cfRule type="cellIs" dxfId="138" priority="4" operator="greaterThan">
      <formula>0</formula>
    </cfRule>
  </conditionalFormatting>
  <conditionalFormatting sqref="G25:G27">
    <cfRule type="cellIs" dxfId="137" priority="3" operator="greaterThan">
      <formula>0</formula>
    </cfRule>
  </conditionalFormatting>
  <conditionalFormatting sqref="G29:G30">
    <cfRule type="cellIs" dxfId="136" priority="2" operator="greaterThan">
      <formula>0</formula>
    </cfRule>
  </conditionalFormatting>
  <conditionalFormatting sqref="G43">
    <cfRule type="cellIs" dxfId="135" priority="427" operator="greaterThan">
      <formula>0</formula>
    </cfRule>
  </conditionalFormatting>
  <conditionalFormatting sqref="G51">
    <cfRule type="cellIs" dxfId="134" priority="420" operator="greaterThan">
      <formula>0</formula>
    </cfRule>
  </conditionalFormatting>
  <conditionalFormatting sqref="G57">
    <cfRule type="cellIs" dxfId="133" priority="419" operator="greaterThan">
      <formula>0</formula>
    </cfRule>
  </conditionalFormatting>
  <conditionalFormatting sqref="G63">
    <cfRule type="cellIs" dxfId="132" priority="422" operator="greaterThan">
      <formula>0</formula>
    </cfRule>
  </conditionalFormatting>
  <conditionalFormatting sqref="M34">
    <cfRule type="cellIs" dxfId="131" priority="408" stopIfTrue="1" operator="greaterThan">
      <formula>0.01</formula>
    </cfRule>
  </conditionalFormatting>
  <conditionalFormatting sqref="M38">
    <cfRule type="cellIs" dxfId="130" priority="94" stopIfTrue="1" operator="greaterThan">
      <formula>0.01</formula>
    </cfRule>
  </conditionalFormatting>
  <conditionalFormatting sqref="M57">
    <cfRule type="cellIs" dxfId="129" priority="78" operator="greaterThan">
      <formula>0</formula>
    </cfRule>
  </conditionalFormatting>
  <conditionalFormatting sqref="M27:P27">
    <cfRule type="cellIs" dxfId="128" priority="143" operator="greaterThan">
      <formula>0</formula>
    </cfRule>
  </conditionalFormatting>
  <conditionalFormatting sqref="M33:P33">
    <cfRule type="cellIs" dxfId="127" priority="340" operator="greaterThan">
      <formula>0</formula>
    </cfRule>
  </conditionalFormatting>
  <conditionalFormatting sqref="N17:P17">
    <cfRule type="cellIs" dxfId="126" priority="9" operator="greaterThan">
      <formula>0</formula>
    </cfRule>
  </conditionalFormatting>
  <conditionalFormatting sqref="N21:P23">
    <cfRule type="cellIs" dxfId="125" priority="52" operator="greaterThan">
      <formula>0</formula>
    </cfRule>
  </conditionalFormatting>
  <conditionalFormatting sqref="N24:P25">
    <cfRule type="cellIs" dxfId="124" priority="152" operator="greaterThan">
      <formula>0</formula>
    </cfRule>
  </conditionalFormatting>
  <conditionalFormatting sqref="N29:P29 N31:P31 N34:P34 N36:P36 N38:P39 N44:P44 N57:P57 N59:P65">
    <cfRule type="cellIs" dxfId="123" priority="394" operator="greaterThan">
      <formula>0</formula>
    </cfRule>
  </conditionalFormatting>
  <conditionalFormatting sqref="N41:P42">
    <cfRule type="cellIs" dxfId="122" priority="25" operator="greaterThan">
      <formula>0</formula>
    </cfRule>
  </conditionalFormatting>
  <conditionalFormatting sqref="N46:P53">
    <cfRule type="cellIs" dxfId="121" priority="19" operator="greaterThan">
      <formula>0</formula>
    </cfRule>
  </conditionalFormatting>
  <conditionalFormatting sqref="N55:P55">
    <cfRule type="cellIs" dxfId="120" priority="352" operator="greaterThan">
      <formula>0</formula>
    </cfRule>
  </conditionalFormatting>
  <conditionalFormatting sqref="R17">
    <cfRule type="cellIs" dxfId="119" priority="10" operator="greaterThan">
      <formula>0</formula>
    </cfRule>
  </conditionalFormatting>
  <conditionalFormatting sqref="R21:R23">
    <cfRule type="cellIs" dxfId="118" priority="300" operator="greaterThan">
      <formula>0</formula>
    </cfRule>
  </conditionalFormatting>
  <conditionalFormatting sqref="R24">
    <cfRule type="cellIs" dxfId="117" priority="150" operator="greaterThan">
      <formula>0</formula>
    </cfRule>
  </conditionalFormatting>
  <conditionalFormatting sqref="R41:R42">
    <cfRule type="cellIs" dxfId="116" priority="231" operator="greaterThan">
      <formula>0</formula>
    </cfRule>
  </conditionalFormatting>
  <conditionalFormatting sqref="R44 R57 R59:R63 R64:S65">
    <cfRule type="cellIs" dxfId="115" priority="392" operator="greaterThan">
      <formula>0</formula>
    </cfRule>
  </conditionalFormatting>
  <conditionalFormatting sqref="R46:R53">
    <cfRule type="cellIs" dxfId="114" priority="225" operator="greaterThan">
      <formula>0</formula>
    </cfRule>
  </conditionalFormatting>
  <conditionalFormatting sqref="R55">
    <cfRule type="cellIs" dxfId="113" priority="350" operator="greaterThan">
      <formula>0</formula>
    </cfRule>
  </conditionalFormatting>
  <conditionalFormatting sqref="R27:V27">
    <cfRule type="cellIs" dxfId="112" priority="138" operator="greaterThan">
      <formula>0</formula>
    </cfRule>
  </conditionalFormatting>
  <conditionalFormatting sqref="R29:V29 R31:V31 R36:V36 R38:V39 T57:V57 T59:V65">
    <cfRule type="cellIs" dxfId="111" priority="387" operator="greaterThan">
      <formula>0</formula>
    </cfRule>
  </conditionalFormatting>
  <conditionalFormatting sqref="R33:V34">
    <cfRule type="cellIs" dxfId="110" priority="335" operator="greaterThan">
      <formula>0</formula>
    </cfRule>
  </conditionalFormatting>
  <conditionalFormatting sqref="S40:S63">
    <cfRule type="cellIs" dxfId="109" priority="227" operator="greaterThan">
      <formula>0</formula>
    </cfRule>
  </conditionalFormatting>
  <conditionalFormatting sqref="T17:V17">
    <cfRule type="cellIs" dxfId="108" priority="8" operator="greaterThan">
      <formula>0</formula>
    </cfRule>
  </conditionalFormatting>
  <conditionalFormatting sqref="T21:V23">
    <cfRule type="cellIs" dxfId="107" priority="47" operator="greaterThan">
      <formula>0</formula>
    </cfRule>
  </conditionalFormatting>
  <conditionalFormatting sqref="T24:V24">
    <cfRule type="cellIs" dxfId="106" priority="147" operator="greaterThan">
      <formula>0</formula>
    </cfRule>
  </conditionalFormatting>
  <conditionalFormatting sqref="T42:V42">
    <cfRule type="cellIs" dxfId="105" priority="18" operator="greaterThan">
      <formula>0</formula>
    </cfRule>
  </conditionalFormatting>
  <conditionalFormatting sqref="T44:V44">
    <cfRule type="cellIs" dxfId="104" priority="46" operator="greaterThan">
      <formula>0</formula>
    </cfRule>
  </conditionalFormatting>
  <conditionalFormatting sqref="T46:V53">
    <cfRule type="cellIs" dxfId="103" priority="1" operator="greaterThan">
      <formula>0</formula>
    </cfRule>
  </conditionalFormatting>
  <conditionalFormatting sqref="T55:V55">
    <cfRule type="cellIs" dxfId="102" priority="347" operator="greaterThan">
      <formula>0</formula>
    </cfRule>
  </conditionalFormatting>
  <conditionalFormatting sqref="X17:Y17">
    <cfRule type="cellIs" dxfId="101" priority="108" operator="greaterThan">
      <formula>0</formula>
    </cfRule>
  </conditionalFormatting>
  <conditionalFormatting sqref="X21:Y23">
    <cfRule type="cellIs" dxfId="100" priority="382" operator="greaterThan">
      <formula>0</formula>
    </cfRule>
  </conditionalFormatting>
  <conditionalFormatting sqref="X24:Y24">
    <cfRule type="cellIs" dxfId="99" priority="145" operator="greaterThan">
      <formula>0</formula>
    </cfRule>
  </conditionalFormatting>
  <conditionalFormatting sqref="X27:Y27">
    <cfRule type="cellIs" dxfId="98" priority="136" operator="greaterThan">
      <formula>0</formula>
    </cfRule>
  </conditionalFormatting>
  <conditionalFormatting sqref="X29:Y29 X31:Y31 X36:Y36 X38:Y39 X44:Y44 X57:Y57 X59:Y65">
    <cfRule type="cellIs" dxfId="97" priority="383" operator="greaterThan">
      <formula>0</formula>
    </cfRule>
  </conditionalFormatting>
  <conditionalFormatting sqref="X33:Y34">
    <cfRule type="cellIs" dxfId="96" priority="333" operator="greaterThan">
      <formula>0</formula>
    </cfRule>
  </conditionalFormatting>
  <conditionalFormatting sqref="X42:Y42">
    <cfRule type="cellIs" dxfId="95" priority="234" operator="greaterThan">
      <formula>0</formula>
    </cfRule>
  </conditionalFormatting>
  <conditionalFormatting sqref="X46:Y53">
    <cfRule type="cellIs" dxfId="94" priority="223" operator="greaterThan">
      <formula>0</formula>
    </cfRule>
  </conditionalFormatting>
  <conditionalFormatting sqref="X55:Y55">
    <cfRule type="cellIs" dxfId="93" priority="345" operator="greaterThan">
      <formula>0</formula>
    </cfRule>
  </conditionalFormatting>
  <dataValidations count="3">
    <dataValidation type="list" allowBlank="1" showInputMessage="1" showErrorMessage="1" promptTitle="Selecteer" prompt="Selecteer uit de lijst een categorie schoonmaak _x000d_medewerker" sqref="R13" xr:uid="{C3BC93C8-E7A5-9C4B-AD69-7A34A1FA6C4C}">
      <formula1>$K$78:$K$117</formula1>
    </dataValidation>
    <dataValidation type="list" allowBlank="1" showInputMessage="1" showErrorMessage="1" promptTitle="Selecteer" prompt="Selecteer uit de lijst een categorie schoonmaak _x000d_medewerker" sqref="X13:Y13 N13:P13 T13:V13" xr:uid="{A8B15222-0217-4C4E-A996-690095EC3972}">
      <formula1>$K$81:$K$118</formula1>
    </dataValidation>
    <dataValidation type="list" allowBlank="1" showInputMessage="1" showErrorMessage="1" sqref="X15:Y15 N15:P15 R15 T15:V15" xr:uid="{302E3468-44AF-7541-9FB9-1A041EE5250D}">
      <formula1>$K$120:$K$124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1" orientation="landscape" r:id="rId1"/>
  <headerFooter>
    <oddHeader>&amp;L&amp;C&amp;R</oddHeader>
    <oddFooter>&amp;L&amp;"Verdana,Standaard"&amp;K000000&amp;F-&amp;A&amp;R&amp;"Verdana,Standaard"&amp;K000000printversie &amp;D</oddFooter>
  </headerFooter>
  <picture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>
    <pageSetUpPr fitToPage="1"/>
  </sheetPr>
  <dimension ref="B1:J161"/>
  <sheetViews>
    <sheetView showGridLines="0" showRowColHeaders="0" showZeros="0" showOutlineSymbols="0" zoomScaleNormal="100" zoomScaleSheetLayoutView="75" zoomScalePageLayoutView="125" workbookViewId="0"/>
  </sheetViews>
  <sheetFormatPr baseColWidth="10" defaultColWidth="10.796875" defaultRowHeight="15"/>
  <cols>
    <col min="1" max="1" width="8.19921875" style="237" customWidth="1"/>
    <col min="2" max="2" width="15.19921875" style="237" customWidth="1"/>
    <col min="3" max="3" width="34.3984375" style="237" bestFit="1" customWidth="1"/>
    <col min="4" max="4" width="6.19921875" style="237" customWidth="1"/>
    <col min="5" max="5" width="38.59765625" style="237" customWidth="1"/>
    <col min="6" max="6" width="45" style="237" customWidth="1"/>
    <col min="7" max="7" width="15.796875" style="237" customWidth="1"/>
    <col min="8" max="8" width="19.59765625" style="237" customWidth="1"/>
    <col min="9" max="9" width="5.796875" style="237" customWidth="1"/>
    <col min="10" max="10" width="19" style="237" customWidth="1"/>
    <col min="11" max="16384" width="10.796875" style="237"/>
  </cols>
  <sheetData>
    <row r="1" spans="2:9" ht="10" customHeight="1" thickBot="1">
      <c r="E1" s="30"/>
      <c r="F1" s="30"/>
      <c r="G1" s="99"/>
      <c r="H1" s="99"/>
      <c r="I1" s="99"/>
    </row>
    <row r="2" spans="2:9" ht="10" customHeight="1">
      <c r="E2" s="102"/>
      <c r="F2" s="102"/>
      <c r="G2" s="99"/>
      <c r="H2" s="99"/>
      <c r="I2" s="99"/>
    </row>
    <row r="3" spans="2:9">
      <c r="B3" s="505" t="s">
        <v>161</v>
      </c>
    </row>
    <row r="4" spans="2:9" ht="18" thickBot="1">
      <c r="B4" s="524"/>
      <c r="C4" s="506" t="s">
        <v>153</v>
      </c>
      <c r="E4" s="460" t="s">
        <v>27</v>
      </c>
      <c r="F4" s="461" t="s">
        <v>62</v>
      </c>
      <c r="G4" s="434"/>
    </row>
    <row r="5" spans="2:9" ht="18" thickBot="1">
      <c r="B5" s="632"/>
      <c r="C5" s="506" t="s">
        <v>384</v>
      </c>
      <c r="E5" s="197" t="s">
        <v>85</v>
      </c>
      <c r="F5" s="201" t="str">
        <f>Voorblad!$E$16</f>
        <v>Stichting Opspoor</v>
      </c>
      <c r="G5" s="434"/>
    </row>
    <row r="6" spans="2:9" ht="18" thickBot="1">
      <c r="B6" s="534"/>
      <c r="C6" s="506" t="s">
        <v>272</v>
      </c>
      <c r="E6" s="197" t="s">
        <v>33</v>
      </c>
      <c r="F6" s="201" t="str">
        <f>'1.0-Contractblad'!$E$7</f>
        <v>Purmerend e.o.</v>
      </c>
      <c r="G6" s="435"/>
      <c r="H6" s="435"/>
    </row>
    <row r="7" spans="2:9" ht="17">
      <c r="B7" s="690"/>
      <c r="C7" s="506" t="s">
        <v>479</v>
      </c>
      <c r="E7" s="197" t="s">
        <v>114</v>
      </c>
      <c r="F7" s="207" t="str">
        <f>Voorblad!$E$24</f>
        <v>1501-102-2026</v>
      </c>
      <c r="G7" s="434"/>
    </row>
    <row r="8" spans="2:9" ht="17">
      <c r="E8" s="197" t="s">
        <v>145</v>
      </c>
      <c r="F8" s="212" t="str">
        <f ca="1">Voorblad!$E$26</f>
        <v>Calculatiemodule Opspoor Perceel 2 V1.1 | 01-jan-27 Wijziging bijgehouden</v>
      </c>
      <c r="G8" s="436"/>
    </row>
    <row r="9" spans="2:9" ht="17">
      <c r="E9" s="460" t="s">
        <v>83</v>
      </c>
      <c r="F9" s="246" t="str">
        <f>Voorblad!$E$19</f>
        <v>Naam organisatie</v>
      </c>
      <c r="G9" s="434"/>
    </row>
    <row r="10" spans="2:9" ht="17">
      <c r="E10" s="197" t="s">
        <v>6</v>
      </c>
      <c r="F10" s="219">
        <f>Voorblad!$E$22</f>
        <v>46388</v>
      </c>
    </row>
    <row r="11" spans="2:9" ht="17">
      <c r="E11" s="433"/>
      <c r="F11" s="437"/>
    </row>
    <row r="12" spans="2:9">
      <c r="E12" s="438"/>
      <c r="F12" s="438"/>
      <c r="G12" s="438"/>
      <c r="H12" s="438"/>
    </row>
    <row r="13" spans="2:9" ht="15.75" customHeight="1">
      <c r="C13" s="43"/>
      <c r="E13" s="509" t="s">
        <v>63</v>
      </c>
      <c r="F13" s="832"/>
      <c r="G13" s="833"/>
      <c r="H13" s="834"/>
    </row>
    <row r="14" spans="2:9">
      <c r="B14" s="335"/>
      <c r="C14" s="335"/>
      <c r="E14" s="510" t="s">
        <v>35</v>
      </c>
      <c r="F14" s="832"/>
      <c r="G14" s="833"/>
      <c r="H14" s="834"/>
    </row>
    <row r="15" spans="2:9">
      <c r="E15" s="440"/>
      <c r="F15" s="440"/>
      <c r="G15" s="441"/>
      <c r="H15" s="441"/>
    </row>
    <row r="16" spans="2:9" ht="17">
      <c r="E16" s="439" t="s">
        <v>82</v>
      </c>
      <c r="F16" s="440"/>
      <c r="G16" s="442"/>
      <c r="H16" s="443" t="s">
        <v>105</v>
      </c>
    </row>
    <row r="17" spans="5:10">
      <c r="E17" s="440" t="s">
        <v>66</v>
      </c>
      <c r="F17" s="440"/>
      <c r="G17" s="440"/>
      <c r="H17" s="487"/>
    </row>
    <row r="18" spans="5:10">
      <c r="E18" s="440" t="s">
        <v>38</v>
      </c>
      <c r="F18" s="440"/>
      <c r="G18" s="440"/>
      <c r="H18" s="487"/>
    </row>
    <row r="19" spans="5:10">
      <c r="E19" s="440" t="s">
        <v>98</v>
      </c>
      <c r="F19" s="440"/>
      <c r="G19" s="440"/>
      <c r="H19" s="541">
        <f>H17-H18</f>
        <v>0</v>
      </c>
    </row>
    <row r="20" spans="5:10">
      <c r="E20" s="440" t="s">
        <v>79</v>
      </c>
      <c r="F20" s="440"/>
      <c r="G20" s="440"/>
      <c r="H20" s="488"/>
      <c r="J20" s="774">
        <f>IF(H20&gt;4,"Afschrijving maximaal 4 jaar!",0)</f>
        <v>0</v>
      </c>
    </row>
    <row r="21" spans="5:10">
      <c r="E21" s="440" t="s">
        <v>99</v>
      </c>
      <c r="F21" s="440"/>
      <c r="G21" s="440"/>
      <c r="H21" s="542"/>
    </row>
    <row r="22" spans="5:10">
      <c r="E22" s="440"/>
      <c r="F22" s="440"/>
      <c r="G22" s="441"/>
      <c r="H22" s="444"/>
    </row>
    <row r="23" spans="5:10">
      <c r="E23" s="439" t="s">
        <v>57</v>
      </c>
      <c r="F23" s="440"/>
      <c r="G23" s="440"/>
      <c r="H23" s="445"/>
    </row>
    <row r="24" spans="5:10">
      <c r="E24" s="440" t="s">
        <v>103</v>
      </c>
      <c r="F24" s="440"/>
      <c r="G24" s="440"/>
      <c r="H24" s="543">
        <f>IF(H20=0,0,(H19-H21)/H20)</f>
        <v>0</v>
      </c>
    </row>
    <row r="25" spans="5:10">
      <c r="E25" s="440" t="s">
        <v>111</v>
      </c>
      <c r="F25" s="440"/>
      <c r="G25" s="440"/>
      <c r="H25" s="487"/>
    </row>
    <row r="26" spans="5:10">
      <c r="E26" s="440" t="s">
        <v>32</v>
      </c>
      <c r="F26" s="444" t="s">
        <v>29</v>
      </c>
      <c r="G26" s="489"/>
      <c r="H26" s="543">
        <f>G26*H19</f>
        <v>0</v>
      </c>
    </row>
    <row r="27" spans="5:10">
      <c r="E27" s="440" t="s">
        <v>71</v>
      </c>
      <c r="F27" s="444" t="s">
        <v>29</v>
      </c>
      <c r="G27" s="489"/>
      <c r="H27" s="543">
        <f>G27*H19</f>
        <v>0</v>
      </c>
    </row>
    <row r="28" spans="5:10">
      <c r="E28" s="440"/>
      <c r="F28" s="440"/>
      <c r="G28" s="441"/>
      <c r="H28" s="444"/>
    </row>
    <row r="29" spans="5:10">
      <c r="E29" s="439" t="s">
        <v>54</v>
      </c>
      <c r="F29" s="440"/>
      <c r="G29" s="440"/>
      <c r="H29" s="543">
        <f>SUM(H24:H28)</f>
        <v>0</v>
      </c>
    </row>
    <row r="30" spans="5:10">
      <c r="E30" s="440"/>
      <c r="F30" s="440"/>
      <c r="G30" s="441"/>
      <c r="H30" s="444"/>
    </row>
    <row r="31" spans="5:10">
      <c r="F31" s="440" t="s">
        <v>101</v>
      </c>
      <c r="G31" s="488"/>
      <c r="H31" s="543">
        <f>G31*H29</f>
        <v>0</v>
      </c>
    </row>
    <row r="32" spans="5:10" ht="17">
      <c r="E32" s="198"/>
      <c r="F32" s="446"/>
      <c r="G32" s="434"/>
      <c r="H32" s="434"/>
    </row>
    <row r="33" spans="5:10">
      <c r="E33" s="509" t="s">
        <v>63</v>
      </c>
      <c r="F33" s="832"/>
      <c r="G33" s="833"/>
      <c r="H33" s="834"/>
    </row>
    <row r="34" spans="5:10">
      <c r="E34" s="510" t="s">
        <v>35</v>
      </c>
      <c r="F34" s="832"/>
      <c r="G34" s="833"/>
      <c r="H34" s="834"/>
    </row>
    <row r="35" spans="5:10">
      <c r="E35" s="440"/>
      <c r="F35" s="440"/>
      <c r="G35" s="441"/>
      <c r="H35" s="441"/>
    </row>
    <row r="36" spans="5:10" ht="17">
      <c r="E36" s="439" t="s">
        <v>82</v>
      </c>
      <c r="F36" s="440"/>
      <c r="G36" s="442"/>
      <c r="H36" s="443" t="s">
        <v>105</v>
      </c>
    </row>
    <row r="37" spans="5:10">
      <c r="E37" s="440" t="s">
        <v>66</v>
      </c>
      <c r="F37" s="440"/>
      <c r="G37" s="440"/>
      <c r="H37" s="487"/>
    </row>
    <row r="38" spans="5:10">
      <c r="E38" s="440" t="s">
        <v>38</v>
      </c>
      <c r="F38" s="440"/>
      <c r="G38" s="440"/>
      <c r="H38" s="487">
        <v>0</v>
      </c>
    </row>
    <row r="39" spans="5:10">
      <c r="E39" s="440" t="s">
        <v>98</v>
      </c>
      <c r="F39" s="440"/>
      <c r="G39" s="440"/>
      <c r="H39" s="541">
        <f>H37-H38</f>
        <v>0</v>
      </c>
    </row>
    <row r="40" spans="5:10">
      <c r="E40" s="440" t="s">
        <v>79</v>
      </c>
      <c r="F40" s="440"/>
      <c r="G40" s="440"/>
      <c r="H40" s="488"/>
      <c r="J40" s="774">
        <f>IF(H40&gt;4,"Afschrijving maximaal 4 jaar!",0)</f>
        <v>0</v>
      </c>
    </row>
    <row r="41" spans="5:10">
      <c r="E41" s="440" t="s">
        <v>99</v>
      </c>
      <c r="F41" s="440"/>
      <c r="G41" s="440"/>
      <c r="H41" s="542">
        <v>0</v>
      </c>
    </row>
    <row r="42" spans="5:10">
      <c r="E42" s="440"/>
      <c r="F42" s="440"/>
      <c r="G42" s="441"/>
      <c r="H42" s="444"/>
    </row>
    <row r="43" spans="5:10">
      <c r="E43" s="439" t="s">
        <v>57</v>
      </c>
      <c r="F43" s="440"/>
      <c r="G43" s="440"/>
      <c r="H43" s="445"/>
    </row>
    <row r="44" spans="5:10">
      <c r="E44" s="440" t="s">
        <v>103</v>
      </c>
      <c r="F44" s="440"/>
      <c r="G44" s="440"/>
      <c r="H44" s="543">
        <f>IF(H40=0,0,(H39-H41)/H40)</f>
        <v>0</v>
      </c>
    </row>
    <row r="45" spans="5:10">
      <c r="E45" s="440" t="s">
        <v>111</v>
      </c>
      <c r="F45" s="440"/>
      <c r="G45" s="440"/>
      <c r="H45" s="487"/>
    </row>
    <row r="46" spans="5:10">
      <c r="E46" s="440" t="s">
        <v>32</v>
      </c>
      <c r="F46" s="444" t="s">
        <v>29</v>
      </c>
      <c r="G46" s="489"/>
      <c r="H46" s="543">
        <f>G46*H39</f>
        <v>0</v>
      </c>
    </row>
    <row r="47" spans="5:10">
      <c r="E47" s="440" t="s">
        <v>71</v>
      </c>
      <c r="F47" s="444" t="s">
        <v>29</v>
      </c>
      <c r="G47" s="489"/>
      <c r="H47" s="543">
        <f>G47*H39</f>
        <v>0</v>
      </c>
    </row>
    <row r="48" spans="5:10">
      <c r="E48" s="440"/>
      <c r="F48" s="440"/>
      <c r="G48" s="441"/>
      <c r="H48" s="444"/>
    </row>
    <row r="49" spans="5:10">
      <c r="E49" s="439" t="s">
        <v>54</v>
      </c>
      <c r="F49" s="440"/>
      <c r="G49" s="440"/>
      <c r="H49" s="543">
        <f>SUM(H44:H48)</f>
        <v>0</v>
      </c>
    </row>
    <row r="50" spans="5:10">
      <c r="E50" s="440"/>
      <c r="F50" s="440"/>
      <c r="G50" s="441"/>
      <c r="H50" s="444"/>
    </row>
    <row r="51" spans="5:10">
      <c r="F51" s="440" t="s">
        <v>101</v>
      </c>
      <c r="G51" s="488"/>
      <c r="H51" s="543">
        <f>G51*H49</f>
        <v>0</v>
      </c>
    </row>
    <row r="52" spans="5:10" ht="17">
      <c r="E52" s="198"/>
      <c r="F52" s="446"/>
      <c r="G52" s="434"/>
      <c r="H52" s="434"/>
    </row>
    <row r="53" spans="5:10">
      <c r="E53" s="509" t="s">
        <v>63</v>
      </c>
      <c r="F53" s="832"/>
      <c r="G53" s="833"/>
      <c r="H53" s="834"/>
    </row>
    <row r="54" spans="5:10">
      <c r="E54" s="510" t="s">
        <v>35</v>
      </c>
      <c r="F54" s="832"/>
      <c r="G54" s="833"/>
      <c r="H54" s="834"/>
    </row>
    <row r="55" spans="5:10">
      <c r="E55" s="440"/>
      <c r="F55" s="440"/>
      <c r="G55" s="441"/>
      <c r="H55" s="441"/>
    </row>
    <row r="56" spans="5:10" ht="17">
      <c r="E56" s="439" t="s">
        <v>82</v>
      </c>
      <c r="F56" s="440"/>
      <c r="G56" s="442"/>
      <c r="H56" s="443" t="s">
        <v>105</v>
      </c>
    </row>
    <row r="57" spans="5:10">
      <c r="E57" s="440" t="s">
        <v>66</v>
      </c>
      <c r="F57" s="440"/>
      <c r="G57" s="440"/>
      <c r="H57" s="487"/>
    </row>
    <row r="58" spans="5:10">
      <c r="E58" s="440" t="s">
        <v>38</v>
      </c>
      <c r="F58" s="440"/>
      <c r="G58" s="440"/>
      <c r="H58" s="487">
        <v>0</v>
      </c>
    </row>
    <row r="59" spans="5:10">
      <c r="E59" s="440" t="s">
        <v>98</v>
      </c>
      <c r="F59" s="440"/>
      <c r="G59" s="440"/>
      <c r="H59" s="541">
        <f>H57-H58</f>
        <v>0</v>
      </c>
    </row>
    <row r="60" spans="5:10">
      <c r="E60" s="440" t="s">
        <v>79</v>
      </c>
      <c r="F60" s="440"/>
      <c r="G60" s="440"/>
      <c r="H60" s="488"/>
      <c r="J60" s="774">
        <f>IF(H60&gt;4,"Afschrijving maximaal 4 jaar!",0)</f>
        <v>0</v>
      </c>
    </row>
    <row r="61" spans="5:10">
      <c r="E61" s="440" t="s">
        <v>99</v>
      </c>
      <c r="F61" s="440"/>
      <c r="G61" s="440"/>
      <c r="H61" s="542">
        <v>0</v>
      </c>
    </row>
    <row r="62" spans="5:10">
      <c r="E62" s="440"/>
      <c r="F62" s="440"/>
      <c r="G62" s="441"/>
      <c r="H62" s="444"/>
    </row>
    <row r="63" spans="5:10">
      <c r="E63" s="439" t="s">
        <v>57</v>
      </c>
      <c r="F63" s="440"/>
      <c r="G63" s="440"/>
      <c r="H63" s="445"/>
    </row>
    <row r="64" spans="5:10">
      <c r="E64" s="440" t="s">
        <v>103</v>
      </c>
      <c r="F64" s="440"/>
      <c r="G64" s="440"/>
      <c r="H64" s="543">
        <f>IF(H60=0,0,(H59-H61)/H60)</f>
        <v>0</v>
      </c>
    </row>
    <row r="65" spans="5:10">
      <c r="E65" s="440" t="s">
        <v>111</v>
      </c>
      <c r="F65" s="440"/>
      <c r="G65" s="440"/>
      <c r="H65" s="487"/>
    </row>
    <row r="66" spans="5:10">
      <c r="E66" s="440" t="s">
        <v>32</v>
      </c>
      <c r="F66" s="444" t="s">
        <v>29</v>
      </c>
      <c r="G66" s="489"/>
      <c r="H66" s="543">
        <f>G66*H59</f>
        <v>0</v>
      </c>
    </row>
    <row r="67" spans="5:10">
      <c r="E67" s="440" t="s">
        <v>71</v>
      </c>
      <c r="F67" s="444" t="s">
        <v>29</v>
      </c>
      <c r="G67" s="489"/>
      <c r="H67" s="543">
        <f>G67*H59</f>
        <v>0</v>
      </c>
    </row>
    <row r="68" spans="5:10">
      <c r="E68" s="440"/>
      <c r="F68" s="440"/>
      <c r="G68" s="441"/>
      <c r="H68" s="444"/>
    </row>
    <row r="69" spans="5:10">
      <c r="E69" s="439" t="s">
        <v>54</v>
      </c>
      <c r="F69" s="440"/>
      <c r="G69" s="440"/>
      <c r="H69" s="543">
        <f>SUM(H64:H68)</f>
        <v>0</v>
      </c>
    </row>
    <row r="70" spans="5:10">
      <c r="E70" s="440"/>
      <c r="F70" s="440"/>
      <c r="G70" s="441"/>
      <c r="H70" s="444"/>
    </row>
    <row r="71" spans="5:10">
      <c r="F71" s="440" t="s">
        <v>101</v>
      </c>
      <c r="G71" s="488"/>
      <c r="H71" s="543">
        <f>G71*H69</f>
        <v>0</v>
      </c>
    </row>
    <row r="72" spans="5:10" ht="17">
      <c r="E72" s="198"/>
      <c r="F72" s="446"/>
      <c r="G72" s="434"/>
      <c r="H72" s="434"/>
    </row>
    <row r="73" spans="5:10">
      <c r="E73" s="509" t="s">
        <v>63</v>
      </c>
      <c r="F73" s="832"/>
      <c r="G73" s="833"/>
      <c r="H73" s="834"/>
    </row>
    <row r="74" spans="5:10">
      <c r="E74" s="510" t="s">
        <v>35</v>
      </c>
      <c r="F74" s="832"/>
      <c r="G74" s="833"/>
      <c r="H74" s="834"/>
    </row>
    <row r="75" spans="5:10">
      <c r="E75" s="440"/>
      <c r="F75" s="440"/>
      <c r="G75" s="441"/>
      <c r="H75" s="441"/>
    </row>
    <row r="76" spans="5:10" ht="17">
      <c r="E76" s="439" t="s">
        <v>82</v>
      </c>
      <c r="F76" s="440"/>
      <c r="G76" s="442"/>
      <c r="H76" s="443" t="s">
        <v>105</v>
      </c>
    </row>
    <row r="77" spans="5:10">
      <c r="E77" s="440" t="s">
        <v>66</v>
      </c>
      <c r="F77" s="440"/>
      <c r="G77" s="440"/>
      <c r="H77" s="487"/>
    </row>
    <row r="78" spans="5:10">
      <c r="E78" s="440" t="s">
        <v>38</v>
      </c>
      <c r="F78" s="440"/>
      <c r="G78" s="440"/>
      <c r="H78" s="487">
        <v>0</v>
      </c>
    </row>
    <row r="79" spans="5:10">
      <c r="E79" s="440" t="s">
        <v>98</v>
      </c>
      <c r="F79" s="440"/>
      <c r="G79" s="440"/>
      <c r="H79" s="541">
        <f>H77-H78</f>
        <v>0</v>
      </c>
    </row>
    <row r="80" spans="5:10">
      <c r="E80" s="440" t="s">
        <v>79</v>
      </c>
      <c r="F80" s="440"/>
      <c r="G80" s="440"/>
      <c r="H80" s="488"/>
      <c r="J80" s="774">
        <f>IF(H80&gt;4,"Afschrijving maximaal 4 jaar!",0)</f>
        <v>0</v>
      </c>
    </row>
    <row r="81" spans="5:9">
      <c r="E81" s="440" t="s">
        <v>99</v>
      </c>
      <c r="F81" s="440"/>
      <c r="G81" s="440"/>
      <c r="H81" s="542">
        <v>0</v>
      </c>
    </row>
    <row r="82" spans="5:9">
      <c r="E82" s="440"/>
      <c r="F82" s="440"/>
      <c r="G82" s="441"/>
      <c r="H82" s="444"/>
    </row>
    <row r="83" spans="5:9">
      <c r="E83" s="439" t="s">
        <v>57</v>
      </c>
      <c r="F83" s="440"/>
      <c r="G83" s="440"/>
      <c r="H83" s="445"/>
    </row>
    <row r="84" spans="5:9">
      <c r="E84" s="440" t="s">
        <v>103</v>
      </c>
      <c r="F84" s="440"/>
      <c r="G84" s="440"/>
      <c r="H84" s="543">
        <f>IF(H80=0,0,(H79-H81)/H80)</f>
        <v>0</v>
      </c>
    </row>
    <row r="85" spans="5:9">
      <c r="E85" s="440" t="s">
        <v>111</v>
      </c>
      <c r="F85" s="440"/>
      <c r="G85" s="440"/>
      <c r="H85" s="487">
        <v>0</v>
      </c>
    </row>
    <row r="86" spans="5:9">
      <c r="E86" s="440" t="s">
        <v>32</v>
      </c>
      <c r="F86" s="444" t="s">
        <v>29</v>
      </c>
      <c r="G86" s="489">
        <v>0</v>
      </c>
      <c r="H86" s="543">
        <f>G86*H79</f>
        <v>0</v>
      </c>
    </row>
    <row r="87" spans="5:9">
      <c r="E87" s="440" t="s">
        <v>71</v>
      </c>
      <c r="F87" s="444" t="s">
        <v>29</v>
      </c>
      <c r="G87" s="489">
        <v>0</v>
      </c>
      <c r="H87" s="543">
        <f>G87*H79</f>
        <v>0</v>
      </c>
    </row>
    <row r="88" spans="5:9">
      <c r="E88" s="440"/>
      <c r="F88" s="440"/>
      <c r="G88" s="441"/>
      <c r="H88" s="444"/>
    </row>
    <row r="89" spans="5:9">
      <c r="E89" s="439" t="s">
        <v>54</v>
      </c>
      <c r="F89" s="440"/>
      <c r="G89" s="440"/>
      <c r="H89" s="543">
        <f>SUM(H84:H88)</f>
        <v>0</v>
      </c>
    </row>
    <row r="90" spans="5:9">
      <c r="E90" s="440"/>
      <c r="F90" s="440"/>
      <c r="G90" s="441"/>
      <c r="H90" s="444"/>
    </row>
    <row r="91" spans="5:9">
      <c r="F91" s="440" t="s">
        <v>101</v>
      </c>
      <c r="G91" s="488"/>
      <c r="H91" s="543">
        <f>G91*H89</f>
        <v>0</v>
      </c>
    </row>
    <row r="92" spans="5:9" ht="17">
      <c r="E92" s="198"/>
      <c r="F92" s="446"/>
      <c r="G92" s="434"/>
      <c r="H92" s="434"/>
    </row>
    <row r="93" spans="5:9">
      <c r="E93" s="440"/>
      <c r="F93" s="440"/>
      <c r="G93" s="440"/>
      <c r="H93" s="447"/>
    </row>
    <row r="94" spans="5:9" ht="17">
      <c r="E94" s="439" t="s">
        <v>87</v>
      </c>
      <c r="G94" s="448"/>
      <c r="H94" s="544">
        <f>(H91+H71+H51+H31)</f>
        <v>0</v>
      </c>
      <c r="I94" s="450"/>
    </row>
    <row r="97" spans="5:10" ht="32" hidden="1">
      <c r="E97" s="452" t="s">
        <v>26</v>
      </c>
      <c r="F97" s="453" t="s">
        <v>142</v>
      </c>
      <c r="G97" s="454"/>
      <c r="H97" s="453" t="s">
        <v>143</v>
      </c>
      <c r="I97" s="454"/>
    </row>
    <row r="98" spans="5:10" hidden="1">
      <c r="E98" s="452"/>
      <c r="F98" s="453"/>
      <c r="G98" s="454"/>
      <c r="H98" s="453"/>
      <c r="I98" s="454"/>
    </row>
    <row r="99" spans="5:10" hidden="1">
      <c r="E99" s="83" t="e">
        <f>'1.1a-Jaarprijzen'!#REF!</f>
        <v>#REF!</v>
      </c>
      <c r="F99" s="455"/>
      <c r="H99" s="508">
        <f>F99*$H$94</f>
        <v>0</v>
      </c>
      <c r="J99" s="459"/>
    </row>
    <row r="100" spans="5:10" hidden="1">
      <c r="E100" s="83" t="e">
        <f>'1.1a-Jaarprijzen'!#REF!</f>
        <v>#REF!</v>
      </c>
      <c r="F100" s="455"/>
      <c r="H100" s="508">
        <f t="shared" ref="H100:H108" si="0">F100*$H$94</f>
        <v>0</v>
      </c>
      <c r="J100" s="459"/>
    </row>
    <row r="101" spans="5:10" hidden="1">
      <c r="E101" s="83" t="e">
        <f>'1.1a-Jaarprijzen'!#REF!</f>
        <v>#REF!</v>
      </c>
      <c r="F101" s="455"/>
      <c r="H101" s="508">
        <f t="shared" si="0"/>
        <v>0</v>
      </c>
      <c r="J101" s="459"/>
    </row>
    <row r="102" spans="5:10" hidden="1">
      <c r="E102" s="83" t="e">
        <f>'1.1a-Jaarprijzen'!#REF!</f>
        <v>#REF!</v>
      </c>
      <c r="F102" s="455"/>
      <c r="H102" s="508">
        <f t="shared" si="0"/>
        <v>0</v>
      </c>
      <c r="J102" s="459"/>
    </row>
    <row r="103" spans="5:10" hidden="1">
      <c r="E103" s="83" t="e">
        <f>'1.1a-Jaarprijzen'!#REF!</f>
        <v>#REF!</v>
      </c>
      <c r="F103" s="455"/>
      <c r="H103" s="508">
        <f t="shared" si="0"/>
        <v>0</v>
      </c>
      <c r="J103" s="459"/>
    </row>
    <row r="104" spans="5:10" hidden="1">
      <c r="E104" s="83" t="e">
        <f>'1.1a-Jaarprijzen'!#REF!</f>
        <v>#REF!</v>
      </c>
      <c r="F104" s="455"/>
      <c r="H104" s="508">
        <f t="shared" si="0"/>
        <v>0</v>
      </c>
      <c r="J104" s="459"/>
    </row>
    <row r="105" spans="5:10" hidden="1">
      <c r="E105" s="83" t="e">
        <f>'1.1a-Jaarprijzen'!#REF!</f>
        <v>#REF!</v>
      </c>
      <c r="F105" s="455"/>
      <c r="H105" s="508">
        <f t="shared" si="0"/>
        <v>0</v>
      </c>
      <c r="J105" s="459"/>
    </row>
    <row r="106" spans="5:10" hidden="1">
      <c r="E106" s="83" t="e">
        <f>'1.1a-Jaarprijzen'!#REF!</f>
        <v>#REF!</v>
      </c>
      <c r="F106" s="455"/>
      <c r="H106" s="508">
        <f t="shared" si="0"/>
        <v>0</v>
      </c>
      <c r="J106" s="459"/>
    </row>
    <row r="107" spans="5:10" hidden="1">
      <c r="E107" s="83" t="e">
        <f>'1.1a-Jaarprijzen'!#REF!</f>
        <v>#REF!</v>
      </c>
      <c r="F107" s="455"/>
      <c r="H107" s="508">
        <f t="shared" si="0"/>
        <v>0</v>
      </c>
      <c r="J107" s="459"/>
    </row>
    <row r="108" spans="5:10" hidden="1">
      <c r="E108" s="83" t="e">
        <f>'1.1a-Jaarprijzen'!#REF!</f>
        <v>#REF!</v>
      </c>
      <c r="F108" s="455"/>
      <c r="H108" s="508">
        <f t="shared" si="0"/>
        <v>0</v>
      </c>
      <c r="J108" s="459"/>
    </row>
    <row r="109" spans="5:10" hidden="1">
      <c r="E109" s="83" t="e">
        <f>'1.1a-Jaarprijzen'!#REF!</f>
        <v>#REF!</v>
      </c>
      <c r="F109" s="455"/>
      <c r="H109" s="508">
        <f t="shared" ref="H109:H149" si="1">F109*$H$94</f>
        <v>0</v>
      </c>
      <c r="J109" s="459"/>
    </row>
    <row r="110" spans="5:10" hidden="1">
      <c r="E110" s="83" t="e">
        <f>'1.1a-Jaarprijzen'!#REF!</f>
        <v>#REF!</v>
      </c>
      <c r="F110" s="455"/>
      <c r="H110" s="508">
        <f t="shared" si="1"/>
        <v>0</v>
      </c>
      <c r="J110" s="459"/>
    </row>
    <row r="111" spans="5:10" hidden="1">
      <c r="E111" s="83" t="e">
        <f>'1.1a-Jaarprijzen'!#REF!</f>
        <v>#REF!</v>
      </c>
      <c r="F111" s="455"/>
      <c r="H111" s="508">
        <f t="shared" si="1"/>
        <v>0</v>
      </c>
      <c r="J111" s="459"/>
    </row>
    <row r="112" spans="5:10" hidden="1">
      <c r="E112" s="83" t="e">
        <f>'1.1a-Jaarprijzen'!#REF!</f>
        <v>#REF!</v>
      </c>
      <c r="F112" s="455"/>
      <c r="H112" s="508">
        <f t="shared" si="1"/>
        <v>0</v>
      </c>
      <c r="J112" s="459"/>
    </row>
    <row r="113" spans="5:10" hidden="1">
      <c r="E113" s="83" t="e">
        <f>'1.1a-Jaarprijzen'!#REF!</f>
        <v>#REF!</v>
      </c>
      <c r="F113" s="455"/>
      <c r="H113" s="508">
        <f t="shared" si="1"/>
        <v>0</v>
      </c>
      <c r="J113" s="459"/>
    </row>
    <row r="114" spans="5:10" hidden="1">
      <c r="E114" s="83" t="e">
        <f>'1.1a-Jaarprijzen'!#REF!</f>
        <v>#REF!</v>
      </c>
      <c r="F114" s="455"/>
      <c r="H114" s="508">
        <f t="shared" si="1"/>
        <v>0</v>
      </c>
      <c r="J114" s="459"/>
    </row>
    <row r="115" spans="5:10" hidden="1">
      <c r="E115" s="83" t="str">
        <f>'1.1a-Jaarprijzen'!B13</f>
        <v>OBS Willem Eggert</v>
      </c>
      <c r="F115" s="455"/>
      <c r="H115" s="508">
        <f t="shared" si="1"/>
        <v>0</v>
      </c>
      <c r="J115" s="459"/>
    </row>
    <row r="116" spans="5:10" hidden="1">
      <c r="E116" s="83" t="str">
        <f>'1.1a-Jaarprijzen'!B14</f>
        <v>SBO Het Tangram</v>
      </c>
      <c r="F116" s="455"/>
      <c r="H116" s="508">
        <f t="shared" si="1"/>
        <v>0</v>
      </c>
      <c r="J116" s="459"/>
    </row>
    <row r="117" spans="5:10" hidden="1">
      <c r="E117" s="83" t="str">
        <f>'1.1a-Jaarprijzen'!B15</f>
        <v>OBS De Fuut</v>
      </c>
      <c r="F117" s="455"/>
      <c r="H117" s="508">
        <f t="shared" si="1"/>
        <v>0</v>
      </c>
      <c r="J117" s="459"/>
    </row>
    <row r="118" spans="5:10" hidden="1">
      <c r="E118" s="83" t="str">
        <f>'1.1a-Jaarprijzen'!B16</f>
        <v>OCBS De Fuut</v>
      </c>
      <c r="F118" s="455"/>
      <c r="H118" s="508">
        <f t="shared" si="1"/>
        <v>0</v>
      </c>
      <c r="J118" s="459"/>
    </row>
    <row r="119" spans="5:10" hidden="1">
      <c r="E119" s="83" t="str">
        <f>'1.1a-Jaarprijzen'!B17</f>
        <v>OBS De Havenrakkers</v>
      </c>
      <c r="F119" s="455"/>
      <c r="H119" s="508">
        <f t="shared" si="1"/>
        <v>0</v>
      </c>
      <c r="J119" s="459"/>
    </row>
    <row r="120" spans="5:10" hidden="1">
      <c r="E120" s="83" t="str">
        <f>'1.1a-Jaarprijzen'!B18</f>
        <v>OBS De Overhaal</v>
      </c>
      <c r="F120" s="455"/>
      <c r="H120" s="508">
        <f t="shared" si="1"/>
        <v>0</v>
      </c>
      <c r="J120" s="459"/>
    </row>
    <row r="121" spans="5:10" hidden="1">
      <c r="E121" s="83" t="str">
        <f>'1.1a-Jaarprijzen'!B19</f>
        <v>OBS De Gouwzee</v>
      </c>
      <c r="F121" s="455"/>
      <c r="H121" s="508">
        <f t="shared" si="1"/>
        <v>0</v>
      </c>
      <c r="J121" s="459"/>
    </row>
    <row r="122" spans="5:10" hidden="1">
      <c r="E122" s="83" t="str">
        <f>'1.1a-Jaarprijzen'!B20</f>
        <v>OBS Het Parelhof</v>
      </c>
      <c r="F122" s="455"/>
      <c r="H122" s="508">
        <f t="shared" si="1"/>
        <v>0</v>
      </c>
      <c r="J122" s="459"/>
    </row>
    <row r="123" spans="5:10" hidden="1">
      <c r="E123" s="83" t="str">
        <f>'1.1a-Jaarprijzen'!B21</f>
        <v>OBS Delta Beethoven</v>
      </c>
      <c r="F123" s="455"/>
      <c r="H123" s="508">
        <f t="shared" si="1"/>
        <v>0</v>
      </c>
      <c r="J123" s="459"/>
    </row>
    <row r="124" spans="5:10" hidden="1">
      <c r="E124" s="83" t="str">
        <f>'1.1a-Jaarprijzen'!B22</f>
        <v>OBS Noorderlicht</v>
      </c>
      <c r="F124" s="455"/>
      <c r="H124" s="508">
        <f t="shared" si="1"/>
        <v>0</v>
      </c>
      <c r="J124" s="459"/>
    </row>
    <row r="125" spans="5:10" hidden="1">
      <c r="E125" s="83" t="str">
        <f>'1.1a-Jaarprijzen'!B23</f>
        <v>OBS De Delta</v>
      </c>
      <c r="F125" s="455"/>
      <c r="H125" s="508">
        <f t="shared" si="1"/>
        <v>0</v>
      </c>
      <c r="J125" s="459"/>
    </row>
    <row r="126" spans="5:10" hidden="1">
      <c r="E126" s="83" t="str">
        <f>'1.1a-Jaarprijzen'!B24</f>
        <v>Kindcentrum Wheermolen</v>
      </c>
      <c r="F126" s="455"/>
      <c r="H126" s="508">
        <f t="shared" si="1"/>
        <v>0</v>
      </c>
      <c r="J126" s="459"/>
    </row>
    <row r="127" spans="5:10" hidden="1">
      <c r="E127" s="83" t="str">
        <f>'1.1a-Jaarprijzen'!B25</f>
        <v>OBS Wheermolen KO</v>
      </c>
      <c r="F127" s="455"/>
      <c r="H127" s="508">
        <f t="shared" si="1"/>
        <v>0</v>
      </c>
      <c r="J127" s="459"/>
    </row>
    <row r="128" spans="5:10" hidden="1">
      <c r="E128" s="83" t="str">
        <f>'1.1a-Jaarprijzen'!B26</f>
        <v>OCBS Kawama</v>
      </c>
      <c r="F128" s="455"/>
      <c r="H128" s="508">
        <f t="shared" si="1"/>
        <v>0</v>
      </c>
      <c r="J128" s="459"/>
    </row>
    <row r="129" spans="5:10" hidden="1">
      <c r="E129" s="83" t="str">
        <f>'1.1a-Jaarprijzen'!B27</f>
        <v>OBS Oeboentoe</v>
      </c>
      <c r="F129" s="455"/>
      <c r="H129" s="508">
        <f t="shared" si="1"/>
        <v>0</v>
      </c>
      <c r="J129" s="459"/>
    </row>
    <row r="130" spans="5:10" hidden="1">
      <c r="E130" s="83" t="str">
        <f>'1.1a-Jaarprijzen'!B28</f>
        <v>Kawama-Oeboentoe</v>
      </c>
      <c r="F130" s="455"/>
      <c r="H130" s="508">
        <f t="shared" si="1"/>
        <v>0</v>
      </c>
      <c r="J130" s="459"/>
    </row>
    <row r="131" spans="5:10" hidden="1">
      <c r="E131" s="83" t="str">
        <f>'1.1a-Jaarprijzen'!B29</f>
        <v>Gezamenlijk</v>
      </c>
      <c r="F131" s="455"/>
      <c r="H131" s="508">
        <f t="shared" si="1"/>
        <v>0</v>
      </c>
      <c r="J131" s="459"/>
    </row>
    <row r="132" spans="5:10" hidden="1">
      <c r="E132" s="83" t="str">
        <f>'1.1a-Jaarprijzen'!B30</f>
        <v>Kinderdagverblijf Anansi</v>
      </c>
      <c r="F132" s="455"/>
      <c r="H132" s="508">
        <f t="shared" si="1"/>
        <v>0</v>
      </c>
      <c r="J132" s="459"/>
    </row>
    <row r="133" spans="5:10" hidden="1">
      <c r="E133" s="83" t="e">
        <f>'1.1a-Jaarprijzen'!#REF!</f>
        <v>#REF!</v>
      </c>
      <c r="F133" s="455"/>
      <c r="H133" s="508">
        <f t="shared" si="1"/>
        <v>0</v>
      </c>
      <c r="J133" s="459"/>
    </row>
    <row r="134" spans="5:10" hidden="1">
      <c r="E134" s="83" t="e">
        <f>'1.1a-Jaarprijzen'!#REF!</f>
        <v>#REF!</v>
      </c>
      <c r="F134" s="455"/>
      <c r="H134" s="508">
        <f t="shared" si="1"/>
        <v>0</v>
      </c>
      <c r="J134" s="459"/>
    </row>
    <row r="135" spans="5:10" hidden="1">
      <c r="E135" s="83" t="e">
        <f>'1.1a-Jaarprijzen'!#REF!</f>
        <v>#REF!</v>
      </c>
      <c r="F135" s="455"/>
      <c r="H135" s="508">
        <f t="shared" si="1"/>
        <v>0</v>
      </c>
      <c r="J135" s="459"/>
    </row>
    <row r="136" spans="5:10" hidden="1">
      <c r="E136" s="83" t="e">
        <f>'1.1a-Jaarprijzen'!#REF!</f>
        <v>#REF!</v>
      </c>
      <c r="F136" s="455"/>
      <c r="H136" s="508">
        <f t="shared" si="1"/>
        <v>0</v>
      </c>
      <c r="J136" s="459"/>
    </row>
    <row r="137" spans="5:10" hidden="1">
      <c r="E137" s="83" t="e">
        <f>'1.1a-Jaarprijzen'!#REF!</f>
        <v>#REF!</v>
      </c>
      <c r="F137" s="455"/>
      <c r="H137" s="508">
        <f t="shared" si="1"/>
        <v>0</v>
      </c>
      <c r="J137" s="459"/>
    </row>
    <row r="138" spans="5:10" hidden="1">
      <c r="E138" s="83" t="e">
        <f>'1.1a-Jaarprijzen'!#REF!</f>
        <v>#REF!</v>
      </c>
      <c r="F138" s="455"/>
      <c r="H138" s="508">
        <f t="shared" si="1"/>
        <v>0</v>
      </c>
      <c r="J138" s="459"/>
    </row>
    <row r="139" spans="5:10" hidden="1">
      <c r="E139" s="83" t="e">
        <f>'1.1a-Jaarprijzen'!#REF!</f>
        <v>#REF!</v>
      </c>
      <c r="F139" s="455"/>
      <c r="H139" s="508">
        <f t="shared" si="1"/>
        <v>0</v>
      </c>
      <c r="J139" s="459"/>
    </row>
    <row r="140" spans="5:10" hidden="1">
      <c r="E140" s="83" t="e">
        <f>'1.1a-Jaarprijzen'!#REF!</f>
        <v>#REF!</v>
      </c>
      <c r="F140" s="455"/>
      <c r="H140" s="508">
        <f t="shared" si="1"/>
        <v>0</v>
      </c>
      <c r="J140" s="459"/>
    </row>
    <row r="141" spans="5:10" hidden="1">
      <c r="E141" s="83" t="e">
        <f>'1.1a-Jaarprijzen'!#REF!</f>
        <v>#REF!</v>
      </c>
      <c r="F141" s="455"/>
      <c r="H141" s="508">
        <f t="shared" si="1"/>
        <v>0</v>
      </c>
      <c r="J141" s="459"/>
    </row>
    <row r="142" spans="5:10" hidden="1">
      <c r="E142" s="83" t="e">
        <f>'1.1a-Jaarprijzen'!#REF!</f>
        <v>#REF!</v>
      </c>
      <c r="F142" s="455"/>
      <c r="H142" s="508">
        <f t="shared" si="1"/>
        <v>0</v>
      </c>
      <c r="J142" s="459"/>
    </row>
    <row r="143" spans="5:10" hidden="1">
      <c r="E143" s="83" t="e">
        <f>'1.1a-Jaarprijzen'!#REF!</f>
        <v>#REF!</v>
      </c>
      <c r="F143" s="455"/>
      <c r="H143" s="508">
        <f t="shared" si="1"/>
        <v>0</v>
      </c>
      <c r="J143" s="459"/>
    </row>
    <row r="144" spans="5:10" hidden="1">
      <c r="E144" s="83" t="e">
        <f>'1.1a-Jaarprijzen'!#REF!</f>
        <v>#REF!</v>
      </c>
      <c r="F144" s="455"/>
      <c r="H144" s="508">
        <f t="shared" si="1"/>
        <v>0</v>
      </c>
      <c r="J144" s="459"/>
    </row>
    <row r="145" spans="5:10" hidden="1">
      <c r="E145" s="83" t="e">
        <f>'1.1a-Jaarprijzen'!#REF!</f>
        <v>#REF!</v>
      </c>
      <c r="F145" s="455"/>
      <c r="H145" s="508">
        <f t="shared" si="1"/>
        <v>0</v>
      </c>
      <c r="J145" s="459"/>
    </row>
    <row r="146" spans="5:10" hidden="1">
      <c r="E146" s="83" t="e">
        <f>'1.1a-Jaarprijzen'!#REF!</f>
        <v>#REF!</v>
      </c>
      <c r="F146" s="455"/>
      <c r="H146" s="508">
        <f t="shared" si="1"/>
        <v>0</v>
      </c>
      <c r="J146" s="459"/>
    </row>
    <row r="147" spans="5:10" hidden="1">
      <c r="E147" s="83" t="e">
        <f>'1.1a-Jaarprijzen'!#REF!</f>
        <v>#REF!</v>
      </c>
      <c r="F147" s="455"/>
      <c r="H147" s="508">
        <f t="shared" si="1"/>
        <v>0</v>
      </c>
      <c r="J147" s="459"/>
    </row>
    <row r="148" spans="5:10" hidden="1">
      <c r="E148" s="83">
        <f>'1.1a-Jaarprijzen'!B31</f>
        <v>0</v>
      </c>
      <c r="F148" s="455"/>
      <c r="H148" s="508">
        <f t="shared" si="1"/>
        <v>0</v>
      </c>
      <c r="J148" s="459"/>
    </row>
    <row r="149" spans="5:10" hidden="1">
      <c r="E149" s="83">
        <f>'1.1a-Jaarprijzen'!B32</f>
        <v>0</v>
      </c>
      <c r="F149" s="455"/>
      <c r="H149" s="508">
        <f t="shared" si="1"/>
        <v>0</v>
      </c>
      <c r="J149" s="459"/>
    </row>
    <row r="150" spans="5:10" hidden="1">
      <c r="E150" s="83"/>
      <c r="F150" s="455"/>
      <c r="H150" s="508"/>
      <c r="J150" s="459"/>
    </row>
    <row r="151" spans="5:10" hidden="1">
      <c r="E151" s="83"/>
      <c r="F151" s="455"/>
      <c r="H151" s="508"/>
      <c r="J151" s="459"/>
    </row>
    <row r="152" spans="5:10" hidden="1">
      <c r="E152" s="83"/>
      <c r="F152" s="455"/>
      <c r="H152" s="508"/>
      <c r="J152" s="459"/>
    </row>
    <row r="153" spans="5:10" hidden="1">
      <c r="E153" s="456"/>
      <c r="F153" s="455"/>
      <c r="H153" s="449"/>
      <c r="J153" s="459"/>
    </row>
    <row r="154" spans="5:10" hidden="1">
      <c r="E154" s="456"/>
      <c r="F154" s="457">
        <f>SUM(F99:F153)</f>
        <v>0</v>
      </c>
      <c r="H154" s="449">
        <f>SUM(H99:H153)</f>
        <v>0</v>
      </c>
      <c r="J154" s="449">
        <f>SUM(J99:J153)</f>
        <v>0</v>
      </c>
    </row>
    <row r="155" spans="5:10" hidden="1">
      <c r="E155" s="456"/>
      <c r="F155" s="458"/>
      <c r="H155" s="449"/>
    </row>
    <row r="156" spans="5:10" hidden="1">
      <c r="E156" s="456"/>
      <c r="F156" s="458"/>
      <c r="H156" s="449"/>
    </row>
    <row r="157" spans="5:10" hidden="1">
      <c r="E157" s="456">
        <f>'1.1a-Jaarprijzen'!B34</f>
        <v>0</v>
      </c>
      <c r="F157" s="458"/>
      <c r="H157" s="449"/>
    </row>
    <row r="158" spans="5:10">
      <c r="E158" s="456"/>
    </row>
    <row r="159" spans="5:10">
      <c r="G159" s="451"/>
    </row>
    <row r="160" spans="5:10" ht="16" thickBot="1">
      <c r="E160" s="3"/>
      <c r="F160" s="30"/>
      <c r="G160" s="30"/>
      <c r="H160" s="30"/>
    </row>
    <row r="161" spans="5:8">
      <c r="E161" s="184"/>
      <c r="F161" s="102"/>
      <c r="G161" s="102"/>
      <c r="H161" s="102"/>
    </row>
  </sheetData>
  <mergeCells count="8">
    <mergeCell ref="F74:H74"/>
    <mergeCell ref="F13:H13"/>
    <mergeCell ref="F33:H33"/>
    <mergeCell ref="F53:H53"/>
    <mergeCell ref="F73:H73"/>
    <mergeCell ref="F14:H14"/>
    <mergeCell ref="F34:H34"/>
    <mergeCell ref="F54:H54"/>
  </mergeCells>
  <phoneticPr fontId="10"/>
  <conditionalFormatting sqref="F154">
    <cfRule type="cellIs" dxfId="92" priority="132" stopIfTrue="1" operator="greaterThan">
      <formula>1</formula>
    </cfRule>
  </conditionalFormatting>
  <conditionalFormatting sqref="G26:G27">
    <cfRule type="cellIs" dxfId="91" priority="32" stopIfTrue="1" operator="greaterThan">
      <formula>0</formula>
    </cfRule>
  </conditionalFormatting>
  <conditionalFormatting sqref="G31">
    <cfRule type="cellIs" dxfId="90" priority="124" operator="greaterThan">
      <formula>0</formula>
    </cfRule>
  </conditionalFormatting>
  <conditionalFormatting sqref="G46:G47">
    <cfRule type="cellIs" dxfId="89" priority="16" stopIfTrue="1" operator="greaterThan">
      <formula>0</formula>
    </cfRule>
  </conditionalFormatting>
  <conditionalFormatting sqref="G51">
    <cfRule type="cellIs" dxfId="88" priority="18" operator="greaterThan">
      <formula>0</formula>
    </cfRule>
  </conditionalFormatting>
  <conditionalFormatting sqref="G66:G67">
    <cfRule type="cellIs" dxfId="87" priority="9" stopIfTrue="1" operator="greaterThan">
      <formula>0</formula>
    </cfRule>
  </conditionalFormatting>
  <conditionalFormatting sqref="G71">
    <cfRule type="cellIs" dxfId="86" priority="11" operator="greaterThan">
      <formula>0</formula>
    </cfRule>
  </conditionalFormatting>
  <conditionalFormatting sqref="G86:G87">
    <cfRule type="cellIs" dxfId="85" priority="2" stopIfTrue="1" operator="greaterThan">
      <formula>0</formula>
    </cfRule>
  </conditionalFormatting>
  <conditionalFormatting sqref="G91">
    <cfRule type="cellIs" dxfId="84" priority="4" operator="greaterThan">
      <formula>0</formula>
    </cfRule>
  </conditionalFormatting>
  <conditionalFormatting sqref="H17:H18">
    <cfRule type="cellIs" dxfId="83" priority="130" operator="greaterThan">
      <formula>0</formula>
    </cfRule>
  </conditionalFormatting>
  <conditionalFormatting sqref="H20">
    <cfRule type="cellIs" dxfId="82" priority="129" operator="greaterThan">
      <formula>0</formula>
    </cfRule>
  </conditionalFormatting>
  <conditionalFormatting sqref="H25">
    <cfRule type="cellIs" dxfId="81" priority="127" operator="greaterThan">
      <formula>0</formula>
    </cfRule>
  </conditionalFormatting>
  <conditionalFormatting sqref="H37:H38">
    <cfRule type="cellIs" dxfId="80" priority="21" operator="greaterThan">
      <formula>0</formula>
    </cfRule>
  </conditionalFormatting>
  <conditionalFormatting sqref="H40">
    <cfRule type="cellIs" dxfId="79" priority="20" operator="greaterThan">
      <formula>0</formula>
    </cfRule>
  </conditionalFormatting>
  <conditionalFormatting sqref="H45">
    <cfRule type="cellIs" dxfId="78" priority="19" operator="greaterThan">
      <formula>0</formula>
    </cfRule>
  </conditionalFormatting>
  <conditionalFormatting sqref="H57:H58">
    <cfRule type="cellIs" dxfId="77" priority="14" operator="greaterThan">
      <formula>0</formula>
    </cfRule>
  </conditionalFormatting>
  <conditionalFormatting sqref="H60">
    <cfRule type="cellIs" dxfId="76" priority="13" operator="greaterThan">
      <formula>0</formula>
    </cfRule>
  </conditionalFormatting>
  <conditionalFormatting sqref="H65">
    <cfRule type="cellIs" dxfId="75" priority="12" operator="greaterThan">
      <formula>0</formula>
    </cfRule>
  </conditionalFormatting>
  <conditionalFormatting sqref="H77:H78">
    <cfRule type="cellIs" dxfId="74" priority="7" operator="greaterThan">
      <formula>0</formula>
    </cfRule>
  </conditionalFormatting>
  <conditionalFormatting sqref="H80">
    <cfRule type="cellIs" dxfId="73" priority="6" operator="greaterThan">
      <formula>0</formula>
    </cfRule>
  </conditionalFormatting>
  <conditionalFormatting sqref="H85">
    <cfRule type="cellIs" dxfId="72" priority="5" operator="greaterThan">
      <formula>0</formula>
    </cfRule>
  </conditionalFormatting>
  <conditionalFormatting sqref="H99:H157">
    <cfRule type="cellIs" dxfId="71" priority="99" operator="greaterThan">
      <formula>0</formula>
    </cfRule>
  </conditionalFormatting>
  <conditionalFormatting sqref="J154">
    <cfRule type="cellIs" dxfId="70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3" xr:uid="{00000000-0002-0000-0A00-000000000000}"/>
  </dataValidations>
  <printOptions horizontalCentered="1"/>
  <pageMargins left="3.1496062992126001E-3" right="3.1496062992126001E-3" top="0.39" bottom="0.59" header="0.39" footer="0.2"/>
  <pageSetup paperSize="9" scale="48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V1440"/>
  <sheetViews>
    <sheetView showGridLines="0" showRowColHeaders="0" showZeros="0" tabSelected="1" showOutlineSymbols="0" topLeftCell="B80" zoomScaleNormal="100" zoomScaleSheetLayoutView="75" workbookViewId="0">
      <selection activeCell="L105" sqref="L105"/>
    </sheetView>
  </sheetViews>
  <sheetFormatPr baseColWidth="10" defaultColWidth="11" defaultRowHeight="16" zeroHeight="1"/>
  <cols>
    <col min="1" max="1" width="3.3984375" style="490" customWidth="1"/>
    <col min="2" max="2" width="14.59765625" style="490" customWidth="1"/>
    <col min="3" max="3" width="33" style="490" bestFit="1" customWidth="1"/>
    <col min="4" max="4" width="5.19921875" style="490" customWidth="1"/>
    <col min="5" max="5" width="5" style="490" customWidth="1"/>
    <col min="6" max="6" width="42.19921875" style="491" customWidth="1"/>
    <col min="7" max="7" width="19.796875" style="491" customWidth="1"/>
    <col min="8" max="8" width="15.3984375" style="491" customWidth="1"/>
    <col min="9" max="9" width="19.3984375" style="555" customWidth="1"/>
    <col min="10" max="10" width="20.19921875" style="556" customWidth="1"/>
    <col min="11" max="11" width="21" style="556" customWidth="1"/>
    <col min="12" max="12" width="21.796875" style="556" customWidth="1"/>
    <col min="13" max="13" width="10.796875" style="490" customWidth="1"/>
    <col min="14" max="14" width="12" style="490" hidden="1" customWidth="1"/>
    <col min="15" max="16" width="12.796875" style="490" hidden="1" customWidth="1"/>
    <col min="17" max="17" width="14.59765625" style="490" hidden="1" customWidth="1"/>
    <col min="18" max="18" width="12.3984375" style="490" hidden="1" customWidth="1"/>
    <col min="19" max="21" width="10.796875" style="490" hidden="1" customWidth="1"/>
    <col min="22" max="22" width="29" style="490" hidden="1" customWidth="1"/>
    <col min="23" max="23" width="5" style="490" customWidth="1"/>
    <col min="24" max="24" width="3.796875" style="490" customWidth="1"/>
    <col min="25" max="25" width="24.19921875" style="490" customWidth="1"/>
    <col min="26" max="16384" width="11" style="490"/>
  </cols>
  <sheetData>
    <row r="1" spans="2:12" ht="11" customHeight="1" thickBot="1">
      <c r="F1" s="30"/>
      <c r="G1" s="30"/>
      <c r="H1" s="30"/>
      <c r="I1" s="557"/>
      <c r="J1" s="557"/>
      <c r="K1" s="558"/>
      <c r="L1" s="558"/>
    </row>
    <row r="2" spans="2:12" ht="11" customHeight="1">
      <c r="F2" s="102"/>
      <c r="G2" s="102"/>
      <c r="H2" s="102"/>
      <c r="I2" s="559"/>
      <c r="J2" s="559"/>
      <c r="K2" s="558"/>
      <c r="L2" s="558"/>
    </row>
    <row r="3" spans="2:12" ht="11" customHeight="1">
      <c r="F3" s="493"/>
      <c r="K3" s="549"/>
      <c r="L3" s="549"/>
    </row>
    <row r="4" spans="2:12" ht="17">
      <c r="B4" s="570" t="s">
        <v>161</v>
      </c>
      <c r="C4" s="492"/>
      <c r="F4" s="338" t="s">
        <v>27</v>
      </c>
      <c r="G4" s="36" t="s">
        <v>23</v>
      </c>
      <c r="K4" s="560"/>
    </row>
    <row r="5" spans="2:12" ht="18" thickBot="1">
      <c r="B5" s="524"/>
      <c r="C5" s="506" t="s">
        <v>153</v>
      </c>
      <c r="F5" s="338" t="s">
        <v>85</v>
      </c>
      <c r="G5" s="38" t="str">
        <f>Voorblad!$E$16</f>
        <v>Stichting Opspoor</v>
      </c>
      <c r="H5" s="494"/>
      <c r="I5" s="556"/>
    </row>
    <row r="6" spans="2:12" ht="18" thickBot="1">
      <c r="B6" s="632"/>
      <c r="C6" s="506" t="s">
        <v>384</v>
      </c>
      <c r="F6" s="338" t="s">
        <v>33</v>
      </c>
      <c r="G6" s="38" t="str">
        <f>'1.0-Contractblad'!$E$7</f>
        <v>Purmerend e.o.</v>
      </c>
      <c r="H6" s="495"/>
      <c r="I6" s="556"/>
    </row>
    <row r="7" spans="2:12" ht="15.75" customHeight="1" thickBot="1">
      <c r="B7" s="534"/>
      <c r="C7" s="506" t="s">
        <v>272</v>
      </c>
      <c r="F7" s="338" t="s">
        <v>114</v>
      </c>
      <c r="G7" s="496" t="str">
        <f>Voorblad!$E$24</f>
        <v>1501-102-2026</v>
      </c>
      <c r="H7" s="497"/>
      <c r="I7" s="556"/>
    </row>
    <row r="8" spans="2:12" ht="17">
      <c r="B8" s="690"/>
      <c r="C8" s="506" t="s">
        <v>479</v>
      </c>
      <c r="F8" s="338" t="s">
        <v>145</v>
      </c>
      <c r="G8" s="41" t="str">
        <f ca="1">Voorblad!$E$26</f>
        <v>Calculatiemodule Opspoor Perceel 2 V1.1 | 01-jan-27 Wijziging bijgehouden</v>
      </c>
      <c r="H8" s="495"/>
      <c r="I8" s="556"/>
    </row>
    <row r="9" spans="2:12" ht="17">
      <c r="F9" s="338" t="s">
        <v>83</v>
      </c>
      <c r="G9" s="567" t="str">
        <f>Voorblad!$E$19</f>
        <v>Naam organisatie</v>
      </c>
      <c r="H9" s="495"/>
      <c r="I9" s="561"/>
    </row>
    <row r="10" spans="2:12" ht="17">
      <c r="F10" s="338" t="s">
        <v>6</v>
      </c>
      <c r="G10" s="45">
        <f>Voorblad!$E$22</f>
        <v>46388</v>
      </c>
      <c r="H10" s="495"/>
      <c r="I10" s="556"/>
    </row>
    <row r="11" spans="2:12" ht="17">
      <c r="F11" s="36" t="s">
        <v>15</v>
      </c>
      <c r="G11" s="792" t="s">
        <v>1081</v>
      </c>
      <c r="H11" s="495"/>
      <c r="I11" s="556"/>
    </row>
    <row r="12" spans="2:12" ht="17">
      <c r="H12" s="495"/>
      <c r="I12" s="562"/>
    </row>
    <row r="13" spans="2:12" ht="17">
      <c r="H13" s="495"/>
      <c r="I13" s="562"/>
    </row>
    <row r="14" spans="2:12">
      <c r="F14" s="498"/>
      <c r="G14" s="499"/>
      <c r="H14" s="499"/>
      <c r="I14" s="563"/>
    </row>
    <row r="15" spans="2:12">
      <c r="F15" s="498"/>
      <c r="G15" s="499"/>
      <c r="H15" s="499"/>
      <c r="I15" s="563"/>
    </row>
    <row r="16" spans="2:12" s="503" customFormat="1" ht="26" customHeight="1">
      <c r="B16" s="490"/>
      <c r="F16" s="835" t="s">
        <v>216</v>
      </c>
      <c r="G16" s="835"/>
      <c r="H16" s="835"/>
      <c r="I16" s="835"/>
      <c r="J16" s="835"/>
      <c r="K16" s="835"/>
      <c r="L16" s="835"/>
    </row>
    <row r="17" spans="3:18" ht="13" customHeight="1">
      <c r="F17" s="504"/>
      <c r="G17" s="504"/>
      <c r="I17" s="549"/>
      <c r="J17" s="549"/>
      <c r="K17" s="549"/>
      <c r="L17" s="549"/>
    </row>
    <row r="18" spans="3:18">
      <c r="C18" s="492"/>
      <c r="I18" s="836" t="s">
        <v>80</v>
      </c>
      <c r="J18" s="836"/>
      <c r="K18" s="836"/>
      <c r="L18" s="836"/>
    </row>
    <row r="19" spans="3:18">
      <c r="C19" s="506"/>
      <c r="F19" s="547"/>
      <c r="G19" s="502"/>
      <c r="H19" s="502"/>
      <c r="I19" s="564" t="s">
        <v>217</v>
      </c>
      <c r="J19" s="564" t="s">
        <v>218</v>
      </c>
      <c r="K19" s="565" t="s">
        <v>219</v>
      </c>
      <c r="L19" s="565" t="s">
        <v>220</v>
      </c>
      <c r="N19" s="618" t="s">
        <v>349</v>
      </c>
      <c r="O19" s="618" t="s">
        <v>350</v>
      </c>
      <c r="P19" s="618" t="s">
        <v>351</v>
      </c>
      <c r="Q19" s="618" t="s">
        <v>352</v>
      </c>
      <c r="R19" s="619" t="s">
        <v>353</v>
      </c>
    </row>
    <row r="20" spans="3:18">
      <c r="C20" s="506"/>
      <c r="F20" s="547"/>
      <c r="G20" s="502"/>
      <c r="H20" s="502"/>
      <c r="I20" s="547"/>
      <c r="J20" s="547"/>
      <c r="K20" s="547"/>
      <c r="L20" s="547"/>
      <c r="M20" s="500"/>
    </row>
    <row r="21" spans="3:18" ht="23" customHeight="1" thickBot="1">
      <c r="F21" s="547" t="s">
        <v>428</v>
      </c>
      <c r="G21" s="502"/>
      <c r="H21" s="502"/>
      <c r="I21" s="549"/>
      <c r="J21" s="549"/>
      <c r="K21" s="549"/>
      <c r="L21" s="549"/>
    </row>
    <row r="22" spans="3:18" ht="17" thickBot="1">
      <c r="F22" s="547" t="s">
        <v>1078</v>
      </c>
      <c r="G22" s="502"/>
      <c r="H22" s="502"/>
      <c r="I22" s="487"/>
      <c r="J22" s="487"/>
      <c r="K22" s="487"/>
      <c r="L22" s="487"/>
      <c r="M22" s="502"/>
      <c r="N22" s="670"/>
      <c r="O22" s="670"/>
      <c r="P22" s="670"/>
      <c r="Q22" s="670"/>
      <c r="R22" s="620"/>
    </row>
    <row r="23" spans="3:18">
      <c r="F23" s="547"/>
      <c r="G23" s="502"/>
      <c r="H23" s="502"/>
      <c r="N23" s="555"/>
      <c r="O23" s="556"/>
      <c r="P23" s="556"/>
      <c r="Q23" s="556"/>
    </row>
    <row r="24" spans="3:18" ht="17" thickBot="1">
      <c r="F24" s="547" t="s">
        <v>429</v>
      </c>
      <c r="G24" s="502"/>
      <c r="H24" s="502"/>
      <c r="N24" s="555"/>
      <c r="O24" s="556"/>
      <c r="P24" s="556"/>
      <c r="Q24" s="556"/>
    </row>
    <row r="25" spans="3:18" ht="17" thickBot="1">
      <c r="F25" s="547" t="s">
        <v>1078</v>
      </c>
      <c r="G25" s="502"/>
      <c r="H25" s="502"/>
      <c r="I25" s="487"/>
      <c r="J25" s="487"/>
      <c r="K25" s="487"/>
      <c r="L25" s="487"/>
      <c r="M25" s="502"/>
      <c r="N25" s="670"/>
      <c r="O25" s="670"/>
      <c r="P25" s="670"/>
      <c r="Q25" s="670"/>
      <c r="R25" s="620"/>
    </row>
    <row r="26" spans="3:18">
      <c r="F26" s="547"/>
      <c r="G26" s="502"/>
      <c r="H26" s="502"/>
      <c r="N26" s="555"/>
      <c r="O26" s="556"/>
      <c r="P26" s="556"/>
      <c r="Q26" s="556"/>
    </row>
    <row r="27" spans="3:18" ht="17" thickBot="1">
      <c r="F27" s="547" t="s">
        <v>430</v>
      </c>
      <c r="G27" s="502"/>
      <c r="H27" s="502"/>
      <c r="I27" s="547"/>
      <c r="J27" s="547"/>
      <c r="K27" s="547"/>
      <c r="L27" s="547"/>
      <c r="M27" s="500"/>
      <c r="N27" s="547"/>
      <c r="O27" s="547"/>
      <c r="P27" s="547"/>
      <c r="Q27" s="547"/>
    </row>
    <row r="28" spans="3:18" ht="17" thickBot="1">
      <c r="F28" s="548" t="s">
        <v>480</v>
      </c>
      <c r="G28" s="502"/>
      <c r="H28" s="502"/>
      <c r="I28" s="487"/>
      <c r="J28" s="487"/>
      <c r="K28" s="487"/>
      <c r="L28" s="487"/>
      <c r="N28" s="670"/>
      <c r="O28" s="670"/>
      <c r="P28" s="670"/>
      <c r="Q28" s="670"/>
      <c r="R28" s="620"/>
    </row>
    <row r="29" spans="3:18">
      <c r="F29" s="547"/>
      <c r="G29" s="502"/>
      <c r="H29" s="502"/>
      <c r="N29" s="555"/>
      <c r="O29" s="556"/>
      <c r="P29" s="556"/>
      <c r="Q29" s="556"/>
    </row>
    <row r="30" spans="3:18" ht="17" thickBot="1">
      <c r="F30" s="547" t="s">
        <v>430</v>
      </c>
      <c r="G30" s="502"/>
      <c r="H30" s="502"/>
      <c r="I30" s="547"/>
      <c r="J30" s="547"/>
      <c r="K30" s="547"/>
      <c r="L30" s="547"/>
      <c r="M30" s="500"/>
      <c r="N30" s="547"/>
      <c r="O30" s="547"/>
      <c r="P30" s="547"/>
      <c r="Q30" s="547"/>
    </row>
    <row r="31" spans="3:18" ht="17" thickBot="1">
      <c r="F31" s="548" t="s">
        <v>431</v>
      </c>
      <c r="G31" s="502"/>
      <c r="H31" s="502"/>
      <c r="I31" s="487"/>
      <c r="J31" s="487"/>
      <c r="K31" s="487"/>
      <c r="L31" s="487"/>
      <c r="N31" s="670"/>
      <c r="O31" s="670"/>
      <c r="P31" s="670"/>
      <c r="Q31" s="670"/>
      <c r="R31" s="620"/>
    </row>
    <row r="32" spans="3:18">
      <c r="F32" s="547"/>
      <c r="G32" s="502"/>
      <c r="H32" s="502"/>
      <c r="N32" s="555"/>
      <c r="O32" s="556"/>
      <c r="P32" s="556"/>
      <c r="Q32" s="556"/>
    </row>
    <row r="33" spans="6:18" ht="17" thickBot="1">
      <c r="F33" s="547" t="s">
        <v>430</v>
      </c>
      <c r="G33" s="502"/>
      <c r="H33" s="502"/>
      <c r="I33" s="547"/>
      <c r="J33" s="547"/>
      <c r="K33" s="547"/>
      <c r="L33" s="547"/>
      <c r="N33" s="547"/>
      <c r="O33" s="547"/>
      <c r="P33" s="547"/>
      <c r="Q33" s="547"/>
    </row>
    <row r="34" spans="6:18" ht="17" thickBot="1">
      <c r="F34" s="548" t="s">
        <v>432</v>
      </c>
      <c r="G34" s="502"/>
      <c r="H34" s="502"/>
      <c r="I34" s="487"/>
      <c r="J34" s="487"/>
      <c r="K34" s="487"/>
      <c r="L34" s="487"/>
      <c r="N34" s="670"/>
      <c r="O34" s="670"/>
      <c r="P34" s="670"/>
      <c r="Q34" s="670"/>
      <c r="R34" s="620"/>
    </row>
    <row r="35" spans="6:18">
      <c r="F35" s="547"/>
      <c r="G35" s="502"/>
      <c r="H35" s="502"/>
      <c r="N35" s="555"/>
      <c r="O35" s="556"/>
      <c r="P35" s="556"/>
      <c r="Q35" s="556"/>
    </row>
    <row r="36" spans="6:18" ht="17" thickBot="1">
      <c r="F36" s="547" t="s">
        <v>433</v>
      </c>
      <c r="G36" s="502"/>
      <c r="H36" s="502"/>
      <c r="I36" s="547"/>
      <c r="J36" s="547"/>
      <c r="K36" s="547"/>
      <c r="L36" s="547"/>
      <c r="N36" s="547"/>
      <c r="O36" s="547"/>
      <c r="P36" s="547"/>
      <c r="Q36" s="547"/>
    </row>
    <row r="37" spans="6:18" ht="17" thickBot="1">
      <c r="F37" s="548" t="s">
        <v>434</v>
      </c>
      <c r="G37" s="502"/>
      <c r="H37" s="502"/>
      <c r="I37" s="487"/>
      <c r="J37" s="487"/>
      <c r="K37" s="487"/>
      <c r="L37" s="487"/>
      <c r="N37" s="670"/>
      <c r="O37" s="670"/>
      <c r="P37" s="670"/>
      <c r="Q37" s="670"/>
      <c r="R37" s="620"/>
    </row>
    <row r="38" spans="6:18">
      <c r="F38" s="547"/>
      <c r="G38" s="502"/>
      <c r="H38" s="502"/>
      <c r="N38" s="555"/>
      <c r="O38" s="556"/>
      <c r="P38" s="556"/>
      <c r="Q38" s="556"/>
    </row>
    <row r="39" spans="6:18" ht="17" thickBot="1">
      <c r="F39" s="547" t="s">
        <v>433</v>
      </c>
      <c r="G39" s="502"/>
      <c r="H39" s="502"/>
      <c r="I39" s="547"/>
      <c r="J39" s="547"/>
      <c r="K39" s="547"/>
      <c r="L39" s="547"/>
      <c r="N39" s="547"/>
      <c r="O39" s="547"/>
      <c r="P39" s="547"/>
      <c r="Q39" s="547"/>
    </row>
    <row r="40" spans="6:18" ht="17" thickBot="1">
      <c r="F40" s="548" t="s">
        <v>435</v>
      </c>
      <c r="G40" s="502"/>
      <c r="H40" s="502"/>
      <c r="I40" s="487"/>
      <c r="J40" s="487"/>
      <c r="K40" s="487"/>
      <c r="L40" s="487"/>
      <c r="N40" s="670"/>
      <c r="O40" s="670"/>
      <c r="P40" s="670"/>
      <c r="Q40" s="670"/>
      <c r="R40" s="620"/>
    </row>
    <row r="41" spans="6:18">
      <c r="F41" s="547"/>
      <c r="G41" s="502"/>
      <c r="H41" s="502"/>
      <c r="N41" s="555"/>
      <c r="O41" s="556"/>
      <c r="P41" s="556"/>
      <c r="Q41" s="556"/>
    </row>
    <row r="42" spans="6:18" ht="17" thickBot="1">
      <c r="F42" s="547" t="s">
        <v>436</v>
      </c>
      <c r="G42" s="502"/>
      <c r="H42" s="502"/>
      <c r="I42" s="547"/>
      <c r="J42" s="547"/>
      <c r="K42" s="547"/>
      <c r="L42" s="547"/>
      <c r="N42" s="547"/>
      <c r="O42" s="547"/>
      <c r="P42" s="547"/>
      <c r="Q42" s="547"/>
    </row>
    <row r="43" spans="6:18" ht="17" thickBot="1">
      <c r="F43" s="548" t="s">
        <v>434</v>
      </c>
      <c r="G43" s="502"/>
      <c r="H43" s="502"/>
      <c r="I43" s="487"/>
      <c r="J43" s="487"/>
      <c r="K43" s="487"/>
      <c r="L43" s="487"/>
      <c r="N43" s="670"/>
      <c r="O43" s="670"/>
      <c r="P43" s="670"/>
      <c r="Q43" s="670"/>
      <c r="R43" s="620"/>
    </row>
    <row r="44" spans="6:18">
      <c r="F44" s="547"/>
      <c r="G44" s="502"/>
      <c r="H44" s="502"/>
      <c r="N44" s="555"/>
      <c r="O44" s="556"/>
      <c r="P44" s="556"/>
      <c r="Q44" s="556"/>
    </row>
    <row r="45" spans="6:18">
      <c r="F45" s="547" t="s">
        <v>436</v>
      </c>
      <c r="G45" s="502"/>
      <c r="H45" s="502"/>
      <c r="I45" s="547"/>
      <c r="J45" s="547"/>
      <c r="K45" s="547"/>
      <c r="L45" s="547"/>
      <c r="N45" s="547"/>
      <c r="O45" s="547"/>
      <c r="P45" s="547"/>
      <c r="Q45" s="547"/>
    </row>
    <row r="46" spans="6:18" ht="17" hidden="1" thickBot="1">
      <c r="F46" s="548" t="s">
        <v>435</v>
      </c>
      <c r="G46" s="502"/>
      <c r="H46" s="502"/>
      <c r="I46" s="487"/>
      <c r="J46" s="487"/>
      <c r="K46" s="487"/>
      <c r="L46" s="487"/>
      <c r="N46" s="670"/>
      <c r="O46" s="670"/>
      <c r="P46" s="670"/>
      <c r="Q46" s="670"/>
      <c r="R46" s="620"/>
    </row>
    <row r="47" spans="6:18">
      <c r="F47" s="548"/>
      <c r="G47" s="502"/>
      <c r="H47" s="502"/>
      <c r="I47" s="547"/>
      <c r="J47" s="547"/>
      <c r="K47" s="547"/>
      <c r="L47" s="547"/>
      <c r="N47" s="547"/>
      <c r="O47" s="547"/>
      <c r="P47" s="547"/>
      <c r="Q47" s="547"/>
    </row>
    <row r="48" spans="6:18" ht="17" thickBot="1">
      <c r="F48" s="547" t="s">
        <v>48</v>
      </c>
      <c r="G48" s="502"/>
      <c r="H48" s="502"/>
      <c r="I48" s="547"/>
      <c r="J48" s="547"/>
      <c r="K48" s="547"/>
      <c r="L48" s="547"/>
      <c r="N48" s="547"/>
      <c r="O48" s="547"/>
      <c r="P48" s="547"/>
      <c r="Q48" s="547"/>
    </row>
    <row r="49" spans="6:18" ht="17" thickBot="1">
      <c r="F49" s="548" t="s">
        <v>437</v>
      </c>
      <c r="G49" s="502"/>
      <c r="H49" s="502"/>
      <c r="I49" s="487"/>
      <c r="J49" s="487"/>
      <c r="K49" s="487"/>
      <c r="L49" s="487"/>
      <c r="N49" s="670"/>
      <c r="O49" s="670"/>
      <c r="P49" s="670"/>
      <c r="Q49" s="670"/>
      <c r="R49" s="620"/>
    </row>
    <row r="50" spans="6:18">
      <c r="F50" s="548"/>
      <c r="G50" s="502"/>
      <c r="H50" s="502"/>
      <c r="I50" s="547"/>
      <c r="J50" s="547"/>
      <c r="K50" s="547"/>
      <c r="L50" s="547"/>
      <c r="N50" s="547"/>
      <c r="O50" s="547"/>
      <c r="P50" s="547"/>
      <c r="Q50" s="547"/>
    </row>
    <row r="51" spans="6:18" ht="17" thickBot="1">
      <c r="F51" s="547" t="s">
        <v>48</v>
      </c>
      <c r="G51" s="502"/>
      <c r="H51" s="502"/>
      <c r="I51" s="547"/>
      <c r="J51" s="547"/>
      <c r="K51" s="547"/>
      <c r="L51" s="547"/>
      <c r="N51" s="547"/>
      <c r="O51" s="547"/>
      <c r="P51" s="547"/>
      <c r="Q51" s="547"/>
    </row>
    <row r="52" spans="6:18" ht="17" thickBot="1">
      <c r="F52" s="548" t="s">
        <v>438</v>
      </c>
      <c r="G52" s="502"/>
      <c r="H52" s="502"/>
      <c r="I52" s="487"/>
      <c r="J52" s="487"/>
      <c r="K52" s="487"/>
      <c r="L52" s="487"/>
      <c r="N52" s="670"/>
      <c r="O52" s="670"/>
      <c r="P52" s="670"/>
      <c r="Q52" s="670"/>
      <c r="R52" s="620"/>
    </row>
    <row r="53" spans="6:18">
      <c r="F53" s="548"/>
      <c r="G53" s="502"/>
      <c r="H53" s="502"/>
      <c r="I53" s="547"/>
      <c r="J53" s="547"/>
      <c r="K53" s="547"/>
      <c r="L53" s="547"/>
      <c r="N53" s="547"/>
      <c r="O53" s="547"/>
      <c r="P53" s="547"/>
      <c r="Q53" s="547"/>
    </row>
    <row r="54" spans="6:18" ht="17" thickBot="1">
      <c r="F54" s="547" t="s">
        <v>48</v>
      </c>
      <c r="G54" s="502"/>
      <c r="H54" s="502"/>
      <c r="I54" s="547"/>
      <c r="J54" s="547"/>
      <c r="K54" s="547"/>
      <c r="L54" s="547"/>
      <c r="N54" s="547"/>
      <c r="O54" s="547"/>
      <c r="P54" s="547"/>
      <c r="Q54" s="547"/>
    </row>
    <row r="55" spans="6:18" ht="17" thickBot="1">
      <c r="F55" s="548" t="s">
        <v>439</v>
      </c>
      <c r="G55" s="502"/>
      <c r="H55" s="502"/>
      <c r="I55" s="487"/>
      <c r="J55" s="487"/>
      <c r="K55" s="487"/>
      <c r="L55" s="487"/>
      <c r="N55" s="670"/>
      <c r="O55" s="670"/>
      <c r="P55" s="670"/>
      <c r="Q55" s="670"/>
      <c r="R55" s="620"/>
    </row>
    <row r="56" spans="6:18">
      <c r="F56" s="548"/>
      <c r="G56" s="502"/>
      <c r="H56" s="502"/>
      <c r="I56" s="547"/>
      <c r="J56" s="547"/>
      <c r="K56" s="547"/>
      <c r="L56" s="547"/>
      <c r="N56" s="547"/>
      <c r="O56" s="547"/>
      <c r="P56" s="547"/>
      <c r="Q56" s="547"/>
    </row>
    <row r="57" spans="6:18" ht="17" thickBot="1">
      <c r="F57" s="547" t="s">
        <v>48</v>
      </c>
      <c r="G57" s="502"/>
      <c r="H57" s="502"/>
      <c r="I57" s="547"/>
      <c r="J57" s="547"/>
      <c r="K57" s="547"/>
      <c r="L57" s="547"/>
      <c r="N57" s="547"/>
      <c r="O57" s="547"/>
      <c r="P57" s="547"/>
      <c r="Q57" s="547"/>
    </row>
    <row r="58" spans="6:18" ht="17" thickBot="1">
      <c r="F58" s="548" t="s">
        <v>440</v>
      </c>
      <c r="G58" s="502"/>
      <c r="H58" s="502"/>
      <c r="I58" s="487"/>
      <c r="J58" s="487"/>
      <c r="K58" s="487"/>
      <c r="L58" s="487"/>
      <c r="N58" s="670"/>
      <c r="O58" s="670"/>
      <c r="P58" s="670"/>
      <c r="Q58" s="670"/>
      <c r="R58" s="620"/>
    </row>
    <row r="59" spans="6:18">
      <c r="F59" s="547"/>
      <c r="G59" s="502"/>
      <c r="H59" s="502"/>
    </row>
    <row r="60" spans="6:18">
      <c r="F60" s="501"/>
      <c r="G60" s="500"/>
      <c r="H60" s="500"/>
      <c r="I60" s="547"/>
      <c r="J60" s="547"/>
      <c r="K60" s="547"/>
      <c r="L60" s="547"/>
    </row>
    <row r="61" spans="6:18" s="503" customFormat="1" ht="26" customHeight="1">
      <c r="F61" s="837" t="s">
        <v>241</v>
      </c>
      <c r="G61" s="837"/>
      <c r="H61" s="837"/>
      <c r="I61" s="837"/>
      <c r="J61" s="837"/>
      <c r="K61" s="837"/>
      <c r="L61" s="837"/>
    </row>
    <row r="62" spans="6:18" ht="13" customHeight="1">
      <c r="F62" s="504"/>
      <c r="G62" s="504"/>
      <c r="I62" s="549"/>
      <c r="J62" s="549"/>
      <c r="K62" s="549"/>
      <c r="L62" s="549"/>
    </row>
    <row r="63" spans="6:18">
      <c r="F63" s="490"/>
      <c r="G63" s="490"/>
      <c r="H63" s="490"/>
      <c r="I63" s="549"/>
      <c r="J63" s="549"/>
      <c r="K63" s="549"/>
      <c r="L63" s="549"/>
    </row>
    <row r="64" spans="6:18">
      <c r="F64" s="549"/>
      <c r="G64" s="671"/>
      <c r="H64" s="671"/>
      <c r="I64" s="836" t="s">
        <v>104</v>
      </c>
      <c r="J64" s="836"/>
      <c r="K64" s="836"/>
      <c r="L64" s="836"/>
    </row>
    <row r="65" spans="6:17">
      <c r="F65" s="550" t="s">
        <v>227</v>
      </c>
      <c r="G65" s="550"/>
      <c r="H65" s="550"/>
      <c r="I65" s="584" t="s">
        <v>221</v>
      </c>
      <c r="J65" s="584" t="s">
        <v>222</v>
      </c>
      <c r="K65" s="584" t="s">
        <v>223</v>
      </c>
      <c r="L65" s="584" t="s">
        <v>224</v>
      </c>
    </row>
    <row r="66" spans="6:17" ht="17" thickBot="1">
      <c r="F66" s="549" t="s">
        <v>225</v>
      </c>
      <c r="G66" s="549"/>
      <c r="H66" s="549"/>
      <c r="I66" s="549"/>
      <c r="J66" s="549"/>
      <c r="K66" s="549"/>
      <c r="L66" s="549"/>
    </row>
    <row r="67" spans="6:17" ht="17" thickBot="1">
      <c r="F67" s="552" t="s">
        <v>228</v>
      </c>
      <c r="G67" s="549"/>
      <c r="H67" s="549"/>
      <c r="I67" s="487"/>
      <c r="J67" s="487"/>
      <c r="K67" s="487"/>
      <c r="L67" s="487"/>
      <c r="N67" s="670"/>
      <c r="O67" s="670"/>
      <c r="P67" s="670"/>
      <c r="Q67" s="670"/>
    </row>
    <row r="68" spans="6:17">
      <c r="F68" s="549"/>
      <c r="G68" s="549"/>
      <c r="H68" s="549"/>
      <c r="I68" s="549"/>
      <c r="J68" s="549"/>
      <c r="K68" s="549"/>
      <c r="L68" s="549"/>
      <c r="N68" s="549"/>
      <c r="O68" s="549"/>
      <c r="P68" s="549"/>
      <c r="Q68" s="549"/>
    </row>
    <row r="69" spans="6:17" ht="17" thickBot="1">
      <c r="F69" s="549" t="s">
        <v>226</v>
      </c>
      <c r="G69" s="549"/>
      <c r="H69" s="549"/>
      <c r="I69" s="549"/>
      <c r="J69" s="549"/>
      <c r="K69" s="549"/>
      <c r="L69" s="549"/>
      <c r="N69" s="549"/>
      <c r="O69" s="549"/>
      <c r="P69" s="549"/>
      <c r="Q69" s="549"/>
    </row>
    <row r="70" spans="6:17" ht="17" thickBot="1">
      <c r="F70" s="552" t="s">
        <v>228</v>
      </c>
      <c r="G70" s="549"/>
      <c r="H70" s="549"/>
      <c r="I70" s="487"/>
      <c r="J70" s="487"/>
      <c r="K70" s="487"/>
      <c r="L70" s="487"/>
      <c r="N70" s="670"/>
      <c r="O70" s="670"/>
      <c r="P70" s="670"/>
      <c r="Q70" s="670"/>
    </row>
    <row r="71" spans="6:17">
      <c r="F71" s="549"/>
      <c r="G71" s="549"/>
      <c r="H71" s="549"/>
      <c r="I71" s="549"/>
      <c r="J71" s="549"/>
      <c r="K71" s="549"/>
      <c r="L71" s="549"/>
      <c r="N71" s="549"/>
      <c r="O71" s="549"/>
      <c r="P71" s="549"/>
      <c r="Q71" s="549"/>
    </row>
    <row r="72" spans="6:17">
      <c r="F72" s="549"/>
      <c r="G72" s="549"/>
      <c r="H72" s="549"/>
      <c r="I72" s="549"/>
      <c r="J72" s="549"/>
      <c r="K72" s="549"/>
      <c r="L72" s="549"/>
      <c r="N72" s="549"/>
      <c r="O72" s="549"/>
      <c r="P72" s="549"/>
      <c r="Q72" s="549"/>
    </row>
    <row r="73" spans="6:17">
      <c r="F73" s="549"/>
      <c r="G73" s="549"/>
      <c r="H73" s="549"/>
      <c r="I73" s="549"/>
      <c r="J73" s="549"/>
      <c r="K73" s="549"/>
      <c r="L73" s="549"/>
      <c r="N73" s="549"/>
      <c r="O73" s="549"/>
      <c r="P73" s="549"/>
      <c r="Q73" s="549"/>
    </row>
    <row r="74" spans="6:17">
      <c r="F74" s="549"/>
      <c r="G74" s="549"/>
      <c r="H74" s="549"/>
      <c r="I74" s="836" t="s">
        <v>104</v>
      </c>
      <c r="J74" s="836"/>
      <c r="K74" s="836"/>
      <c r="L74" s="836"/>
      <c r="N74" s="836" t="s">
        <v>104</v>
      </c>
      <c r="O74" s="836"/>
      <c r="P74" s="836"/>
      <c r="Q74" s="836"/>
    </row>
    <row r="75" spans="6:17">
      <c r="F75" s="550" t="s">
        <v>242</v>
      </c>
      <c r="G75" s="547"/>
      <c r="H75" s="547"/>
      <c r="I75" s="584" t="s">
        <v>221</v>
      </c>
      <c r="J75" s="584" t="s">
        <v>222</v>
      </c>
      <c r="K75" s="584" t="s">
        <v>223</v>
      </c>
      <c r="L75" s="584" t="s">
        <v>224</v>
      </c>
      <c r="N75" s="584" t="s">
        <v>221</v>
      </c>
      <c r="O75" s="584" t="s">
        <v>222</v>
      </c>
      <c r="P75" s="584" t="s">
        <v>223</v>
      </c>
      <c r="Q75" s="584" t="s">
        <v>224</v>
      </c>
    </row>
    <row r="76" spans="6:17" ht="17" thickBot="1">
      <c r="F76" s="547" t="s">
        <v>441</v>
      </c>
      <c r="G76" s="549"/>
      <c r="H76" s="547"/>
      <c r="I76" s="549"/>
      <c r="J76" s="549"/>
      <c r="K76" s="549"/>
      <c r="L76" s="549"/>
      <c r="N76" s="549"/>
      <c r="O76" s="549"/>
      <c r="P76" s="549"/>
      <c r="Q76" s="549"/>
    </row>
    <row r="77" spans="6:17" ht="17" thickBot="1">
      <c r="F77" s="548" t="s">
        <v>442</v>
      </c>
      <c r="G77" s="547"/>
      <c r="H77" s="547"/>
      <c r="I77" s="487"/>
      <c r="J77" s="487"/>
      <c r="K77" s="487"/>
      <c r="L77" s="487"/>
      <c r="N77" s="670"/>
      <c r="O77" s="670"/>
      <c r="P77" s="670"/>
      <c r="Q77" s="670"/>
    </row>
    <row r="78" spans="6:17">
      <c r="F78" s="547"/>
      <c r="G78" s="547"/>
      <c r="H78" s="547"/>
      <c r="N78" s="555"/>
      <c r="O78" s="556"/>
      <c r="P78" s="556"/>
      <c r="Q78" s="556"/>
    </row>
    <row r="79" spans="6:17" ht="21" customHeight="1">
      <c r="F79" s="549"/>
      <c r="G79" s="549"/>
      <c r="H79" s="549"/>
      <c r="I79" s="549"/>
      <c r="J79" s="549"/>
      <c r="K79" s="565" t="s">
        <v>443</v>
      </c>
      <c r="L79" s="565" t="s">
        <v>443</v>
      </c>
      <c r="N79" s="549"/>
      <c r="O79" s="549"/>
      <c r="P79" s="565" t="s">
        <v>443</v>
      </c>
      <c r="Q79" s="565" t="s">
        <v>443</v>
      </c>
    </row>
    <row r="80" spans="6:17" ht="21" customHeight="1" thickBot="1">
      <c r="F80" s="551" t="s">
        <v>444</v>
      </c>
      <c r="G80" s="551" t="s">
        <v>240</v>
      </c>
      <c r="H80" s="549"/>
      <c r="I80" s="549"/>
      <c r="J80" s="549"/>
      <c r="K80" s="565" t="s">
        <v>445</v>
      </c>
      <c r="L80" s="565" t="s">
        <v>446</v>
      </c>
      <c r="N80" s="549"/>
      <c r="O80" s="549"/>
      <c r="P80" s="565" t="s">
        <v>445</v>
      </c>
      <c r="Q80" s="565" t="s">
        <v>446</v>
      </c>
    </row>
    <row r="81" spans="6:17" ht="21" customHeight="1" thickBot="1">
      <c r="F81" s="549" t="s">
        <v>447</v>
      </c>
      <c r="G81" s="549" t="s">
        <v>448</v>
      </c>
      <c r="H81" s="549"/>
      <c r="I81" s="549"/>
      <c r="J81" s="549"/>
      <c r="K81" s="487"/>
      <c r="L81" s="549"/>
      <c r="N81" s="549"/>
      <c r="O81" s="549"/>
      <c r="P81" s="670"/>
      <c r="Q81" s="549"/>
    </row>
    <row r="82" spans="6:17" ht="21" customHeight="1" thickBot="1">
      <c r="F82" s="549" t="s">
        <v>449</v>
      </c>
      <c r="G82" s="549" t="s">
        <v>450</v>
      </c>
      <c r="H82" s="549"/>
      <c r="I82" s="549"/>
      <c r="J82" s="549"/>
      <c r="K82" s="487"/>
      <c r="L82" s="549"/>
      <c r="N82" s="549"/>
      <c r="O82" s="549"/>
      <c r="P82" s="670"/>
      <c r="Q82" s="549"/>
    </row>
    <row r="83" spans="6:17" ht="21" customHeight="1" thickBot="1">
      <c r="F83" s="549" t="s">
        <v>451</v>
      </c>
      <c r="G83" s="549" t="s">
        <v>452</v>
      </c>
      <c r="H83" s="549"/>
      <c r="I83" s="549"/>
      <c r="J83" s="549"/>
      <c r="K83" s="549"/>
      <c r="L83" s="487"/>
      <c r="N83" s="549"/>
      <c r="O83" s="549"/>
      <c r="P83" s="549"/>
      <c r="Q83" s="670"/>
    </row>
    <row r="84" spans="6:17" ht="21" customHeight="1" thickBot="1">
      <c r="F84" s="549" t="s">
        <v>453</v>
      </c>
      <c r="G84" s="549" t="s">
        <v>452</v>
      </c>
      <c r="H84" s="549"/>
      <c r="I84" s="549"/>
      <c r="J84" s="549"/>
      <c r="K84" s="549"/>
      <c r="L84" s="487"/>
      <c r="N84" s="549"/>
      <c r="O84" s="549"/>
      <c r="P84" s="549"/>
      <c r="Q84" s="670"/>
    </row>
    <row r="85" spans="6:17" ht="21" customHeight="1">
      <c r="F85" s="549"/>
      <c r="G85" s="549"/>
      <c r="H85" s="549"/>
      <c r="I85" s="549"/>
      <c r="J85" s="549"/>
      <c r="K85" s="549"/>
      <c r="L85" s="549"/>
      <c r="N85" s="549"/>
      <c r="O85" s="549"/>
      <c r="P85" s="549"/>
      <c r="Q85" s="549"/>
    </row>
    <row r="86" spans="6:17">
      <c r="F86" s="549"/>
      <c r="G86" s="549"/>
      <c r="H86" s="549"/>
      <c r="I86" s="836"/>
      <c r="J86" s="836"/>
      <c r="K86" s="836"/>
      <c r="L86" s="836"/>
      <c r="N86" s="836"/>
      <c r="O86" s="836"/>
      <c r="P86" s="836"/>
      <c r="Q86" s="836"/>
    </row>
    <row r="87" spans="6:17">
      <c r="F87" s="550" t="s">
        <v>242</v>
      </c>
      <c r="G87" s="547"/>
      <c r="H87" s="547"/>
      <c r="I87" s="454" t="s">
        <v>356</v>
      </c>
      <c r="J87" s="454" t="s">
        <v>357</v>
      </c>
      <c r="K87" s="454" t="s">
        <v>358</v>
      </c>
      <c r="L87" s="584" t="s">
        <v>224</v>
      </c>
      <c r="N87" s="454" t="s">
        <v>356</v>
      </c>
      <c r="O87" s="454" t="s">
        <v>357</v>
      </c>
      <c r="P87" s="454" t="s">
        <v>358</v>
      </c>
      <c r="Q87" s="584" t="s">
        <v>224</v>
      </c>
    </row>
    <row r="88" spans="6:17">
      <c r="F88" s="547" t="s">
        <v>354</v>
      </c>
      <c r="G88" s="549"/>
      <c r="H88" s="547"/>
      <c r="I88" s="549"/>
      <c r="J88" s="549"/>
      <c r="K88" s="549"/>
      <c r="L88" s="549"/>
      <c r="N88" s="549"/>
      <c r="O88" s="549"/>
      <c r="P88" s="549"/>
      <c r="Q88" s="549"/>
    </row>
    <row r="89" spans="6:17">
      <c r="F89" s="548" t="s">
        <v>355</v>
      </c>
      <c r="G89" s="547"/>
      <c r="H89" s="547"/>
      <c r="I89" s="635">
        <v>400</v>
      </c>
      <c r="J89" s="615">
        <v>1</v>
      </c>
      <c r="K89" s="487"/>
      <c r="L89" s="841">
        <f>K89*J89*I89</f>
        <v>0</v>
      </c>
      <c r="N89" s="635">
        <v>400</v>
      </c>
      <c r="O89" s="615">
        <v>1</v>
      </c>
      <c r="P89" s="487"/>
      <c r="Q89" s="637"/>
    </row>
    <row r="90" spans="6:17">
      <c r="F90" s="547"/>
      <c r="G90" s="547"/>
      <c r="H90" s="547"/>
      <c r="N90" s="555"/>
      <c r="O90" s="556"/>
      <c r="P90" s="556"/>
      <c r="Q90" s="556"/>
    </row>
    <row r="91" spans="6:17">
      <c r="F91" s="547"/>
      <c r="G91" s="547"/>
      <c r="H91" s="547"/>
      <c r="N91" s="555"/>
      <c r="O91" s="556"/>
      <c r="P91" s="556"/>
      <c r="Q91" s="556"/>
    </row>
    <row r="92" spans="6:17" ht="15">
      <c r="F92" s="613" t="s">
        <v>360</v>
      </c>
      <c r="G92" s="613"/>
      <c r="H92" s="613"/>
      <c r="I92" s="454" t="s">
        <v>356</v>
      </c>
      <c r="J92" s="454" t="s">
        <v>357</v>
      </c>
      <c r="K92" s="454" t="s">
        <v>358</v>
      </c>
      <c r="L92" s="454" t="s">
        <v>359</v>
      </c>
      <c r="N92" s="454" t="s">
        <v>356</v>
      </c>
      <c r="O92" s="454" t="s">
        <v>357</v>
      </c>
      <c r="P92" s="454" t="s">
        <v>358</v>
      </c>
      <c r="Q92" s="454" t="s">
        <v>359</v>
      </c>
    </row>
    <row r="93" spans="6:17" ht="64">
      <c r="F93" s="614" t="s">
        <v>361</v>
      </c>
      <c r="G93" s="490"/>
      <c r="H93" s="490"/>
      <c r="I93" s="635">
        <v>4</v>
      </c>
      <c r="J93" s="615">
        <v>4</v>
      </c>
      <c r="K93" s="487"/>
      <c r="L93" s="841">
        <f>K93*J93*I93</f>
        <v>0</v>
      </c>
      <c r="N93" s="635"/>
      <c r="O93" s="615"/>
      <c r="P93" s="487"/>
      <c r="Q93" s="636"/>
    </row>
    <row r="94" spans="6:17" ht="15">
      <c r="F94" s="490"/>
      <c r="G94" s="490"/>
      <c r="H94" s="490"/>
      <c r="I94" s="490"/>
      <c r="J94" s="490"/>
      <c r="K94" s="616"/>
      <c r="L94" s="617"/>
      <c r="P94" s="616"/>
      <c r="Q94" s="617"/>
    </row>
    <row r="95" spans="6:17" ht="15">
      <c r="F95" s="490"/>
      <c r="G95" s="490"/>
      <c r="H95" s="490"/>
      <c r="I95" s="490"/>
      <c r="J95" s="490"/>
      <c r="K95" s="616"/>
      <c r="L95" s="617"/>
      <c r="P95" s="616"/>
      <c r="Q95" s="617"/>
    </row>
    <row r="96" spans="6:17" ht="15">
      <c r="F96" s="490"/>
      <c r="G96" s="490"/>
      <c r="H96" s="490"/>
      <c r="I96" s="490"/>
      <c r="J96" s="490"/>
      <c r="K96" s="616"/>
      <c r="L96" s="617"/>
      <c r="P96" s="616"/>
      <c r="Q96" s="617"/>
    </row>
    <row r="97" spans="6:17" ht="15">
      <c r="F97" s="613" t="s">
        <v>363</v>
      </c>
      <c r="G97" s="490"/>
      <c r="H97" s="490"/>
      <c r="I97" s="454" t="s">
        <v>356</v>
      </c>
      <c r="J97" s="454" t="s">
        <v>357</v>
      </c>
      <c r="K97" s="454" t="s">
        <v>358</v>
      </c>
      <c r="L97" s="454" t="s">
        <v>359</v>
      </c>
      <c r="N97" s="454" t="s">
        <v>356</v>
      </c>
      <c r="O97" s="454" t="s">
        <v>357</v>
      </c>
      <c r="P97" s="454" t="s">
        <v>358</v>
      </c>
      <c r="Q97" s="454" t="s">
        <v>359</v>
      </c>
    </row>
    <row r="98" spans="6:17" ht="15">
      <c r="F98" s="490" t="s">
        <v>364</v>
      </c>
      <c r="G98" s="490"/>
      <c r="H98" s="490"/>
      <c r="I98" s="635">
        <v>1</v>
      </c>
      <c r="J98" s="615">
        <v>12</v>
      </c>
      <c r="K98" s="487"/>
      <c r="L98" s="841">
        <f>K98*J98*I98</f>
        <v>0</v>
      </c>
      <c r="N98" s="635"/>
      <c r="O98" s="615"/>
      <c r="P98" s="487"/>
      <c r="Q98" s="636"/>
    </row>
    <row r="99" spans="6:17" ht="15">
      <c r="F99" s="490"/>
      <c r="G99" s="490"/>
      <c r="H99" s="490"/>
      <c r="I99" s="490"/>
      <c r="J99" s="490"/>
      <c r="K99" s="490"/>
      <c r="L99" s="617"/>
      <c r="Q99" s="617"/>
    </row>
    <row r="100" spans="6:17" ht="15">
      <c r="F100" s="490"/>
      <c r="G100" s="490"/>
      <c r="H100" s="490"/>
      <c r="I100" s="490"/>
      <c r="J100" s="490"/>
      <c r="K100" s="490"/>
      <c r="L100" s="617"/>
      <c r="Q100" s="617"/>
    </row>
    <row r="101" spans="6:17" ht="15">
      <c r="F101" s="490"/>
      <c r="G101" s="490"/>
      <c r="H101" s="490"/>
      <c r="I101" s="490"/>
      <c r="J101" s="490"/>
      <c r="K101" s="490"/>
      <c r="L101" s="617"/>
      <c r="Q101" s="617"/>
    </row>
    <row r="102" spans="6:17" ht="15">
      <c r="F102" s="490"/>
      <c r="G102" s="490"/>
      <c r="H102" s="490"/>
      <c r="I102" s="490"/>
      <c r="J102" s="490"/>
      <c r="K102" s="490"/>
      <c r="L102" s="617"/>
      <c r="Q102" s="617"/>
    </row>
    <row r="103" spans="6:17" ht="15">
      <c r="F103" s="613" t="s">
        <v>365</v>
      </c>
      <c r="G103" s="490"/>
      <c r="H103" s="490"/>
      <c r="I103" s="454" t="s">
        <v>356</v>
      </c>
      <c r="J103" s="454" t="s">
        <v>357</v>
      </c>
      <c r="K103" s="454" t="s">
        <v>358</v>
      </c>
      <c r="L103" s="454" t="s">
        <v>359</v>
      </c>
      <c r="N103" s="454" t="s">
        <v>356</v>
      </c>
      <c r="O103" s="454" t="s">
        <v>357</v>
      </c>
      <c r="P103" s="454" t="s">
        <v>358</v>
      </c>
      <c r="Q103" s="454" t="s">
        <v>359</v>
      </c>
    </row>
    <row r="104" spans="6:17" ht="15">
      <c r="F104" s="490" t="s">
        <v>364</v>
      </c>
      <c r="G104" s="490"/>
      <c r="H104" s="490"/>
      <c r="I104" s="635">
        <v>1</v>
      </c>
      <c r="J104" s="615">
        <v>12</v>
      </c>
      <c r="K104" s="487"/>
      <c r="L104" s="841">
        <f>K104*J104*I104</f>
        <v>0</v>
      </c>
      <c r="N104" s="635"/>
      <c r="O104" s="615"/>
      <c r="P104" s="487"/>
      <c r="Q104" s="636"/>
    </row>
    <row r="105" spans="6:17" ht="15">
      <c r="F105" s="490"/>
      <c r="G105" s="490"/>
      <c r="H105" s="490"/>
      <c r="I105" s="490"/>
      <c r="J105" s="490"/>
      <c r="K105" s="490"/>
      <c r="L105" s="617"/>
      <c r="N105" s="612"/>
      <c r="O105" s="612"/>
      <c r="P105" s="612"/>
      <c r="Q105" s="612"/>
    </row>
    <row r="106" spans="6:17" ht="15">
      <c r="F106" s="490"/>
      <c r="G106" s="490"/>
      <c r="H106" s="490"/>
      <c r="I106" s="490"/>
      <c r="J106" s="490"/>
      <c r="K106" s="490"/>
      <c r="L106" s="617"/>
      <c r="N106" s="612"/>
      <c r="O106" s="612"/>
      <c r="P106" s="612"/>
      <c r="Q106" s="612"/>
    </row>
    <row r="107" spans="6:17" s="503" customFormat="1" ht="26" customHeight="1">
      <c r="F107" s="837" t="s">
        <v>454</v>
      </c>
      <c r="G107" s="837"/>
      <c r="H107" s="837"/>
      <c r="I107" s="837"/>
      <c r="J107" s="837"/>
      <c r="K107" s="837"/>
      <c r="L107" s="837"/>
    </row>
    <row r="108" spans="6:17" ht="13" customHeight="1">
      <c r="F108" s="504"/>
      <c r="G108" s="504"/>
      <c r="I108" s="549"/>
      <c r="J108" s="549"/>
      <c r="K108" s="549"/>
      <c r="L108" s="549"/>
    </row>
    <row r="109" spans="6:17">
      <c r="F109" s="500"/>
      <c r="G109" s="500"/>
      <c r="H109" s="500"/>
      <c r="I109" s="836" t="s">
        <v>80</v>
      </c>
      <c r="J109" s="836"/>
      <c r="K109" s="836"/>
      <c r="L109" s="836"/>
    </row>
    <row r="110" spans="6:17">
      <c r="F110" s="500"/>
      <c r="G110" s="500"/>
      <c r="H110" s="500"/>
      <c r="I110" s="564" t="s">
        <v>217</v>
      </c>
      <c r="J110" s="564" t="s">
        <v>218</v>
      </c>
      <c r="K110" s="565" t="s">
        <v>219</v>
      </c>
      <c r="L110" s="565" t="s">
        <v>220</v>
      </c>
    </row>
    <row r="111" spans="6:17" ht="17" thickBot="1">
      <c r="F111" s="547" t="s">
        <v>455</v>
      </c>
      <c r="G111" s="500"/>
      <c r="H111" s="500"/>
      <c r="I111" s="549"/>
      <c r="J111" s="549"/>
      <c r="K111" s="549"/>
      <c r="L111" s="549"/>
    </row>
    <row r="112" spans="6:17" ht="17" thickBot="1">
      <c r="F112" s="547" t="s">
        <v>456</v>
      </c>
      <c r="G112" s="500"/>
      <c r="H112" s="500"/>
      <c r="I112" s="487"/>
      <c r="J112" s="487"/>
      <c r="K112" s="487"/>
      <c r="L112" s="487"/>
      <c r="N112" s="670"/>
      <c r="O112" s="670"/>
      <c r="P112" s="670"/>
      <c r="Q112" s="670"/>
    </row>
    <row r="113" spans="6:17">
      <c r="F113" s="549"/>
      <c r="G113" s="500"/>
      <c r="H113" s="500"/>
      <c r="N113" s="555"/>
      <c r="O113" s="556"/>
      <c r="P113" s="556"/>
      <c r="Q113" s="556"/>
    </row>
    <row r="114" spans="6:17" ht="17" thickBot="1">
      <c r="F114" s="547" t="s">
        <v>455</v>
      </c>
      <c r="G114" s="500"/>
      <c r="H114" s="500"/>
      <c r="I114" s="549"/>
      <c r="J114" s="549"/>
      <c r="K114" s="549"/>
      <c r="L114" s="549"/>
      <c r="N114" s="549"/>
      <c r="O114" s="549"/>
      <c r="P114" s="549"/>
      <c r="Q114" s="549"/>
    </row>
    <row r="115" spans="6:17" ht="17" thickBot="1">
      <c r="F115" s="547" t="s">
        <v>457</v>
      </c>
      <c r="G115" s="500"/>
      <c r="H115" s="500"/>
      <c r="I115" s="487"/>
      <c r="J115" s="487"/>
      <c r="K115" s="487"/>
      <c r="L115" s="487"/>
      <c r="N115" s="670"/>
      <c r="O115" s="670"/>
      <c r="P115" s="670"/>
      <c r="Q115" s="670"/>
    </row>
    <row r="116" spans="6:17">
      <c r="F116" s="549"/>
      <c r="G116" s="500"/>
      <c r="H116" s="500"/>
      <c r="N116" s="555"/>
      <c r="O116" s="556"/>
      <c r="P116" s="556"/>
      <c r="Q116" s="556"/>
    </row>
    <row r="117" spans="6:17" ht="17" thickBot="1">
      <c r="F117" s="547" t="s">
        <v>455</v>
      </c>
      <c r="G117" s="500"/>
      <c r="H117" s="500"/>
      <c r="I117" s="549"/>
      <c r="J117" s="549"/>
      <c r="K117" s="549"/>
      <c r="L117" s="549"/>
      <c r="N117" s="549"/>
      <c r="O117" s="549"/>
      <c r="P117" s="549"/>
      <c r="Q117" s="549"/>
    </row>
    <row r="118" spans="6:17" ht="17" thickBot="1">
      <c r="F118" s="547" t="s">
        <v>458</v>
      </c>
      <c r="G118" s="500"/>
      <c r="H118" s="500"/>
      <c r="I118" s="487"/>
      <c r="J118" s="487"/>
      <c r="K118" s="487"/>
      <c r="L118" s="487"/>
      <c r="N118" s="670"/>
      <c r="O118" s="670"/>
      <c r="P118" s="670"/>
      <c r="Q118" s="670"/>
    </row>
    <row r="119" spans="6:17">
      <c r="F119" s="549"/>
      <c r="G119" s="500"/>
      <c r="H119" s="500"/>
      <c r="N119" s="555"/>
      <c r="O119" s="556"/>
      <c r="P119" s="556"/>
      <c r="Q119" s="556"/>
    </row>
    <row r="120" spans="6:17" ht="17" thickBot="1">
      <c r="F120" s="547" t="s">
        <v>455</v>
      </c>
      <c r="G120" s="500"/>
      <c r="H120" s="500"/>
      <c r="I120" s="549"/>
      <c r="J120" s="549"/>
      <c r="K120" s="549"/>
      <c r="L120" s="549"/>
      <c r="N120" s="549"/>
      <c r="O120" s="549"/>
      <c r="P120" s="549"/>
      <c r="Q120" s="549"/>
    </row>
    <row r="121" spans="6:17" ht="17" thickBot="1">
      <c r="F121" s="547" t="s">
        <v>459</v>
      </c>
      <c r="G121" s="500"/>
      <c r="H121" s="500"/>
      <c r="I121" s="487"/>
      <c r="J121" s="487"/>
      <c r="K121" s="487"/>
      <c r="L121" s="487"/>
      <c r="N121" s="670"/>
      <c r="O121" s="670"/>
      <c r="P121" s="670"/>
      <c r="Q121" s="670"/>
    </row>
    <row r="122" spans="6:17">
      <c r="F122" s="500"/>
      <c r="G122" s="500"/>
      <c r="H122" s="500"/>
    </row>
    <row r="123" spans="6:17" ht="15">
      <c r="F123" s="490"/>
      <c r="G123" s="490"/>
      <c r="H123" s="490"/>
      <c r="I123" s="490"/>
      <c r="J123" s="490"/>
      <c r="K123" s="490"/>
      <c r="L123" s="617"/>
      <c r="N123" s="612"/>
      <c r="O123" s="612"/>
      <c r="P123" s="612"/>
      <c r="Q123" s="612"/>
    </row>
    <row r="124" spans="6:17" ht="26" customHeight="1">
      <c r="F124" s="839" t="s">
        <v>165</v>
      </c>
      <c r="G124" s="839"/>
      <c r="H124" s="839"/>
      <c r="I124" s="839"/>
      <c r="J124" s="839"/>
      <c r="K124" s="839"/>
      <c r="L124" s="839"/>
    </row>
    <row r="125" spans="6:17" ht="13" customHeight="1">
      <c r="F125" s="504"/>
      <c r="G125" s="504"/>
      <c r="I125" s="549"/>
      <c r="J125" s="549"/>
      <c r="K125" s="549"/>
      <c r="L125" s="549"/>
    </row>
    <row r="126" spans="6:17" ht="13" customHeight="1">
      <c r="F126" s="490"/>
      <c r="G126" s="490"/>
      <c r="H126" s="490"/>
      <c r="I126" s="549"/>
      <c r="J126" s="549"/>
      <c r="K126" s="549"/>
      <c r="L126" s="549"/>
    </row>
    <row r="127" spans="6:17" ht="13" customHeight="1">
      <c r="F127" s="490"/>
      <c r="G127" s="490"/>
      <c r="H127" s="490"/>
      <c r="I127" s="549"/>
      <c r="J127" s="549"/>
      <c r="K127" s="549"/>
      <c r="L127" s="549"/>
    </row>
    <row r="128" spans="6:17" ht="12.75" customHeight="1">
      <c r="F128" s="838" t="s">
        <v>229</v>
      </c>
      <c r="G128" s="838"/>
      <c r="H128" s="838"/>
      <c r="I128" s="838"/>
      <c r="J128" s="838"/>
      <c r="K128" s="838"/>
      <c r="L128" s="838"/>
    </row>
    <row r="129" spans="6:17" ht="15">
      <c r="F129" s="838"/>
      <c r="G129" s="838"/>
      <c r="H129" s="838"/>
      <c r="I129" s="838"/>
      <c r="J129" s="838"/>
      <c r="K129" s="838"/>
      <c r="L129" s="838"/>
    </row>
    <row r="130" spans="6:17" ht="15">
      <c r="F130" s="838"/>
      <c r="G130" s="838"/>
      <c r="H130" s="838"/>
      <c r="I130" s="838"/>
      <c r="J130" s="838"/>
      <c r="K130" s="838"/>
      <c r="L130" s="838"/>
    </row>
    <row r="131" spans="6:17">
      <c r="F131" s="551"/>
      <c r="G131" s="551"/>
      <c r="H131" s="551"/>
      <c r="I131" s="551"/>
      <c r="J131" s="551"/>
      <c r="K131" s="551"/>
      <c r="L131" s="551"/>
    </row>
    <row r="132" spans="6:17">
      <c r="F132" s="551" t="s">
        <v>13</v>
      </c>
      <c r="G132" s="549"/>
      <c r="H132" s="551" t="s">
        <v>37</v>
      </c>
      <c r="I132" s="551"/>
      <c r="J132" s="551"/>
      <c r="K132" s="551"/>
      <c r="L132" s="551"/>
    </row>
    <row r="133" spans="6:17" ht="20" customHeight="1">
      <c r="F133" s="552" t="s">
        <v>117</v>
      </c>
      <c r="G133" s="549"/>
      <c r="H133" s="549" t="s">
        <v>92</v>
      </c>
      <c r="I133" s="549"/>
      <c r="J133" s="553"/>
      <c r="K133" s="553"/>
      <c r="L133" s="487"/>
      <c r="Q133" s="609"/>
    </row>
    <row r="134" spans="6:17" ht="20" customHeight="1">
      <c r="F134" s="549" t="s">
        <v>21</v>
      </c>
      <c r="G134" s="549"/>
      <c r="H134" s="549" t="s">
        <v>95</v>
      </c>
      <c r="I134" s="549"/>
      <c r="J134" s="553"/>
      <c r="K134" s="553"/>
      <c r="L134" s="487"/>
      <c r="Q134" s="487"/>
    </row>
    <row r="135" spans="6:17" ht="20" customHeight="1">
      <c r="F135" s="549" t="s">
        <v>117</v>
      </c>
      <c r="G135" s="549"/>
      <c r="H135" s="549" t="s">
        <v>61</v>
      </c>
      <c r="I135" s="549"/>
      <c r="J135" s="553"/>
      <c r="K135" s="553"/>
      <c r="L135" s="487"/>
      <c r="Q135" s="609"/>
    </row>
    <row r="136" spans="6:17" ht="20" customHeight="1">
      <c r="F136" s="552" t="s">
        <v>21</v>
      </c>
      <c r="G136" s="549"/>
      <c r="H136" s="552" t="s">
        <v>61</v>
      </c>
      <c r="I136" s="549"/>
      <c r="J136" s="583"/>
      <c r="K136" s="553"/>
      <c r="L136" s="487"/>
      <c r="Q136" s="487"/>
    </row>
    <row r="137" spans="6:17" ht="20" customHeight="1">
      <c r="F137" s="549" t="s">
        <v>117</v>
      </c>
      <c r="G137" s="549"/>
      <c r="H137" s="549" t="s">
        <v>40</v>
      </c>
      <c r="I137" s="549"/>
      <c r="J137" s="553"/>
      <c r="K137" s="583"/>
      <c r="L137" s="487"/>
      <c r="Q137" s="609"/>
    </row>
    <row r="138" spans="6:17" ht="20" customHeight="1">
      <c r="F138" s="552" t="s">
        <v>21</v>
      </c>
      <c r="G138" s="549"/>
      <c r="H138" s="552" t="s">
        <v>40</v>
      </c>
      <c r="I138" s="549"/>
      <c r="J138" s="583"/>
      <c r="K138" s="553"/>
      <c r="L138" s="487"/>
      <c r="Q138" s="487"/>
    </row>
    <row r="139" spans="6:17">
      <c r="F139" s="549"/>
      <c r="G139" s="549"/>
      <c r="H139" s="549"/>
      <c r="I139" s="549"/>
      <c r="J139" s="549"/>
      <c r="K139" s="583"/>
      <c r="L139" s="583"/>
    </row>
    <row r="140" spans="6:17" ht="12.75" customHeight="1">
      <c r="F140" s="554" t="s">
        <v>43</v>
      </c>
      <c r="G140" s="547"/>
      <c r="H140" s="547"/>
      <c r="K140" s="549"/>
      <c r="L140" s="549"/>
    </row>
    <row r="141" spans="6:17" ht="12.75" customHeight="1">
      <c r="F141" s="547" t="s">
        <v>230</v>
      </c>
      <c r="G141" s="547"/>
      <c r="H141" s="547"/>
    </row>
    <row r="142" spans="6:17" ht="12.75" customHeight="1">
      <c r="F142" s="547" t="s">
        <v>68</v>
      </c>
      <c r="G142" s="547"/>
      <c r="H142" s="547"/>
    </row>
    <row r="143" spans="6:17"/>
    <row r="144" spans="6:17" ht="17" thickBot="1">
      <c r="F144" s="30"/>
      <c r="G144" s="30"/>
      <c r="H144" s="30"/>
      <c r="I144" s="557"/>
      <c r="J144" s="557"/>
      <c r="K144" s="557"/>
      <c r="L144" s="557"/>
    </row>
    <row r="145" spans="6:12">
      <c r="F145" s="102"/>
      <c r="G145" s="102"/>
      <c r="H145" s="102"/>
      <c r="I145" s="559"/>
      <c r="J145" s="559"/>
      <c r="K145" s="559"/>
      <c r="L145" s="559"/>
    </row>
    <row r="147" spans="6:12"/>
    <row r="148" spans="6:12"/>
    <row r="149" spans="6:12"/>
    <row r="150" spans="6:12"/>
    <row r="151" spans="6:12"/>
    <row r="152" spans="6:12"/>
    <row r="153" spans="6:12"/>
    <row r="154" spans="6:12"/>
    <row r="155" spans="6:12"/>
    <row r="156" spans="6:12"/>
    <row r="157" spans="6:12"/>
    <row r="158" spans="6:12"/>
    <row r="159" spans="6:12"/>
    <row r="160" spans="6:12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1"/>
    <row r="1432"/>
    <row r="1433"/>
    <row r="1434"/>
    <row r="1435"/>
    <row r="1436"/>
    <row r="1437"/>
    <row r="1438"/>
    <row r="1439"/>
    <row r="1440"/>
  </sheetData>
  <mergeCells count="12">
    <mergeCell ref="N74:Q74"/>
    <mergeCell ref="F128:L130"/>
    <mergeCell ref="F124:L124"/>
    <mergeCell ref="I86:L86"/>
    <mergeCell ref="F107:L107"/>
    <mergeCell ref="I109:L109"/>
    <mergeCell ref="N86:Q86"/>
    <mergeCell ref="F16:L16"/>
    <mergeCell ref="I18:L18"/>
    <mergeCell ref="F61:L61"/>
    <mergeCell ref="I64:L64"/>
    <mergeCell ref="I74:L74"/>
  </mergeCells>
  <phoneticPr fontId="13"/>
  <conditionalFormatting sqref="I22:L22">
    <cfRule type="cellIs" dxfId="69" priority="40" operator="greaterThan">
      <formula>0</formula>
    </cfRule>
  </conditionalFormatting>
  <conditionalFormatting sqref="I25:L25">
    <cfRule type="cellIs" dxfId="68" priority="35" operator="greaterThan">
      <formula>0</formula>
    </cfRule>
  </conditionalFormatting>
  <conditionalFormatting sqref="I28:L28">
    <cfRule type="cellIs" dxfId="67" priority="34" operator="greaterThan">
      <formula>0</formula>
    </cfRule>
  </conditionalFormatting>
  <conditionalFormatting sqref="I31:L31">
    <cfRule type="cellIs" dxfId="66" priority="33" operator="greaterThan">
      <formula>0</formula>
    </cfRule>
  </conditionalFormatting>
  <conditionalFormatting sqref="I34:L34">
    <cfRule type="cellIs" dxfId="65" priority="32" operator="greaterThan">
      <formula>0</formula>
    </cfRule>
  </conditionalFormatting>
  <conditionalFormatting sqref="I37:L37">
    <cfRule type="cellIs" dxfId="64" priority="31" operator="greaterThan">
      <formula>0</formula>
    </cfRule>
  </conditionalFormatting>
  <conditionalFormatting sqref="I40:L40">
    <cfRule type="cellIs" dxfId="63" priority="30" operator="greaterThan">
      <formula>0</formula>
    </cfRule>
  </conditionalFormatting>
  <conditionalFormatting sqref="I43:L43">
    <cfRule type="cellIs" dxfId="62" priority="29" operator="greaterThan">
      <formula>0</formula>
    </cfRule>
  </conditionalFormatting>
  <conditionalFormatting sqref="I46:L46">
    <cfRule type="cellIs" dxfId="61" priority="28" operator="greaterThan">
      <formula>0</formula>
    </cfRule>
  </conditionalFormatting>
  <conditionalFormatting sqref="I49:L49">
    <cfRule type="cellIs" dxfId="60" priority="27" operator="greaterThan">
      <formula>0</formula>
    </cfRule>
  </conditionalFormatting>
  <conditionalFormatting sqref="I52:L52">
    <cfRule type="cellIs" dxfId="59" priority="26" operator="greaterThan">
      <formula>0</formula>
    </cfRule>
  </conditionalFormatting>
  <conditionalFormatting sqref="I55:L55">
    <cfRule type="cellIs" dxfId="58" priority="25" operator="greaterThan">
      <formula>0</formula>
    </cfRule>
  </conditionalFormatting>
  <conditionalFormatting sqref="I58:L58">
    <cfRule type="cellIs" dxfId="57" priority="24" operator="greaterThan">
      <formula>0</formula>
    </cfRule>
  </conditionalFormatting>
  <conditionalFormatting sqref="I67:L67">
    <cfRule type="cellIs" dxfId="56" priority="23" operator="greaterThan">
      <formula>0</formula>
    </cfRule>
  </conditionalFormatting>
  <conditionalFormatting sqref="I70:L70">
    <cfRule type="cellIs" dxfId="55" priority="22" operator="greaterThan">
      <formula>0</formula>
    </cfRule>
  </conditionalFormatting>
  <conditionalFormatting sqref="I77:L77">
    <cfRule type="cellIs" dxfId="54" priority="21" operator="greaterThan">
      <formula>0</formula>
    </cfRule>
  </conditionalFormatting>
  <conditionalFormatting sqref="I112:L112">
    <cfRule type="cellIs" dxfId="53" priority="14" operator="greaterThan">
      <formula>0</formula>
    </cfRule>
  </conditionalFormatting>
  <conditionalFormatting sqref="I115:L115">
    <cfRule type="cellIs" dxfId="52" priority="13" operator="greaterThan">
      <formula>0</formula>
    </cfRule>
  </conditionalFormatting>
  <conditionalFormatting sqref="I118:L118">
    <cfRule type="cellIs" dxfId="51" priority="12" operator="greaterThan">
      <formula>0</formula>
    </cfRule>
  </conditionalFormatting>
  <conditionalFormatting sqref="I121:L121">
    <cfRule type="cellIs" dxfId="50" priority="11" operator="greaterThan">
      <formula>0</formula>
    </cfRule>
  </conditionalFormatting>
  <conditionalFormatting sqref="K81:K82">
    <cfRule type="cellIs" dxfId="49" priority="20" operator="greaterThan">
      <formula>0</formula>
    </cfRule>
  </conditionalFormatting>
  <conditionalFormatting sqref="K89">
    <cfRule type="cellIs" dxfId="48" priority="18" operator="greaterThan">
      <formula>0</formula>
    </cfRule>
  </conditionalFormatting>
  <conditionalFormatting sqref="K93">
    <cfRule type="cellIs" dxfId="47" priority="17" operator="greaterThan">
      <formula>0</formula>
    </cfRule>
  </conditionalFormatting>
  <conditionalFormatting sqref="K98">
    <cfRule type="cellIs" dxfId="46" priority="16" operator="greaterThan">
      <formula>0</formula>
    </cfRule>
  </conditionalFormatting>
  <conditionalFormatting sqref="K104">
    <cfRule type="cellIs" dxfId="45" priority="15" operator="greaterThan">
      <formula>0</formula>
    </cfRule>
  </conditionalFormatting>
  <conditionalFormatting sqref="L83:L84">
    <cfRule type="cellIs" dxfId="44" priority="19" operator="greaterThan">
      <formula>0</formula>
    </cfRule>
  </conditionalFormatting>
  <conditionalFormatting sqref="L133:L138">
    <cfRule type="cellIs" dxfId="43" priority="8" operator="greaterThan">
      <formula>0</formula>
    </cfRule>
  </conditionalFormatting>
  <conditionalFormatting sqref="N22:Q22">
    <cfRule type="cellIs" dxfId="42" priority="73" operator="greaterThan">
      <formula>0</formula>
    </cfRule>
  </conditionalFormatting>
  <conditionalFormatting sqref="N25:Q25">
    <cfRule type="cellIs" dxfId="41" priority="72" operator="greaterThan">
      <formula>0</formula>
    </cfRule>
  </conditionalFormatting>
  <conditionalFormatting sqref="N28:Q28">
    <cfRule type="cellIs" dxfId="40" priority="64" operator="greaterThan">
      <formula>0</formula>
    </cfRule>
  </conditionalFormatting>
  <conditionalFormatting sqref="N31:Q31">
    <cfRule type="cellIs" dxfId="39" priority="71" operator="greaterThan">
      <formula>0</formula>
    </cfRule>
  </conditionalFormatting>
  <conditionalFormatting sqref="N34:Q34">
    <cfRule type="cellIs" dxfId="38" priority="70" operator="greaterThan">
      <formula>0</formula>
    </cfRule>
  </conditionalFormatting>
  <conditionalFormatting sqref="N37:Q37">
    <cfRule type="cellIs" dxfId="37" priority="69" operator="greaterThan">
      <formula>0</formula>
    </cfRule>
  </conditionalFormatting>
  <conditionalFormatting sqref="N40:Q40">
    <cfRule type="cellIs" dxfId="36" priority="68" operator="greaterThan">
      <formula>0</formula>
    </cfRule>
  </conditionalFormatting>
  <conditionalFormatting sqref="N43:Q43">
    <cfRule type="cellIs" dxfId="35" priority="63" operator="greaterThan">
      <formula>0</formula>
    </cfRule>
  </conditionalFormatting>
  <conditionalFormatting sqref="N46:Q46">
    <cfRule type="cellIs" dxfId="34" priority="62" operator="greaterThan">
      <formula>0</formula>
    </cfRule>
  </conditionalFormatting>
  <conditionalFormatting sqref="N49:Q49">
    <cfRule type="cellIs" dxfId="33" priority="67" operator="greaterThan">
      <formula>0</formula>
    </cfRule>
  </conditionalFormatting>
  <conditionalFormatting sqref="N52:Q52">
    <cfRule type="cellIs" dxfId="32" priority="66" operator="greaterThan">
      <formula>0</formula>
    </cfRule>
  </conditionalFormatting>
  <conditionalFormatting sqref="N55:Q55">
    <cfRule type="cellIs" dxfId="31" priority="65" operator="greaterThan">
      <formula>0</formula>
    </cfRule>
  </conditionalFormatting>
  <conditionalFormatting sqref="N58:Q58">
    <cfRule type="cellIs" dxfId="30" priority="61" operator="greaterThan">
      <formula>0</formula>
    </cfRule>
  </conditionalFormatting>
  <conditionalFormatting sqref="N67:Q67">
    <cfRule type="cellIs" dxfId="29" priority="60" operator="greaterThan">
      <formula>0</formula>
    </cfRule>
  </conditionalFormatting>
  <conditionalFormatting sqref="N70:Q70">
    <cfRule type="cellIs" dxfId="28" priority="59" operator="greaterThan">
      <formula>0</formula>
    </cfRule>
  </conditionalFormatting>
  <conditionalFormatting sqref="N77:Q77">
    <cfRule type="cellIs" dxfId="27" priority="54" operator="greaterThan">
      <formula>0</formula>
    </cfRule>
  </conditionalFormatting>
  <conditionalFormatting sqref="N112:Q112">
    <cfRule type="cellIs" dxfId="26" priority="51" operator="greaterThan">
      <formula>0</formula>
    </cfRule>
  </conditionalFormatting>
  <conditionalFormatting sqref="N115:Q115">
    <cfRule type="cellIs" dxfId="25" priority="50" operator="greaterThan">
      <formula>0</formula>
    </cfRule>
  </conditionalFormatting>
  <conditionalFormatting sqref="N118:Q118">
    <cfRule type="cellIs" dxfId="24" priority="49" operator="greaterThan">
      <formula>0</formula>
    </cfRule>
  </conditionalFormatting>
  <conditionalFormatting sqref="N121:Q121">
    <cfRule type="cellIs" dxfId="23" priority="48" operator="greaterThan">
      <formula>0</formula>
    </cfRule>
  </conditionalFormatting>
  <conditionalFormatting sqref="P81:P82">
    <cfRule type="cellIs" dxfId="22" priority="53" operator="greaterThan">
      <formula>0</formula>
    </cfRule>
  </conditionalFormatting>
  <conditionalFormatting sqref="P89:Q89">
    <cfRule type="cellIs" dxfId="21" priority="58" operator="greaterThan">
      <formula>0</formula>
    </cfRule>
  </conditionalFormatting>
  <conditionalFormatting sqref="P93:Q93">
    <cfRule type="cellIs" dxfId="20" priority="57" operator="greaterThan">
      <formula>0</formula>
    </cfRule>
  </conditionalFormatting>
  <conditionalFormatting sqref="P98:Q98">
    <cfRule type="cellIs" dxfId="19" priority="56" operator="greaterThan">
      <formula>0</formula>
    </cfRule>
  </conditionalFormatting>
  <conditionalFormatting sqref="P104:Q104">
    <cfRule type="cellIs" dxfId="18" priority="55" operator="greaterThan">
      <formula>0</formula>
    </cfRule>
  </conditionalFormatting>
  <conditionalFormatting sqref="Q83:Q84">
    <cfRule type="cellIs" dxfId="17" priority="52" operator="greaterThan">
      <formula>0</formula>
    </cfRule>
  </conditionalFormatting>
  <conditionalFormatting sqref="Q133:Q138">
    <cfRule type="cellIs" dxfId="16" priority="45" operator="greaterThan">
      <formula>0</formula>
    </cfRule>
  </conditionalFormatting>
  <conditionalFormatting sqref="L89">
    <cfRule type="cellIs" dxfId="3" priority="4" operator="greaterThan">
      <formula>0</formula>
    </cfRule>
  </conditionalFormatting>
  <conditionalFormatting sqref="L93">
    <cfRule type="cellIs" dxfId="2" priority="3" operator="greaterThan">
      <formula>0</formula>
    </cfRule>
  </conditionalFormatting>
  <conditionalFormatting sqref="L98">
    <cfRule type="cellIs" dxfId="1" priority="2" operator="greaterThan">
      <formula>0</formula>
    </cfRule>
  </conditionalFormatting>
  <conditionalFormatting sqref="L104">
    <cfRule type="cellIs" dxfId="0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4" xr:uid="{00000000-0002-0000-0B00-000000000000}"/>
  </dataValidations>
  <printOptions horizontalCentered="1"/>
  <pageMargins left="0.28999999999999998" right="0.09" top="1.38" bottom="0.79" header="0.39" footer="0.2"/>
  <pageSetup paperSize="9" scale="55" orientation="portrait" copies="3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2D43-D673-9640-895D-A3FA8E69FA4D}">
  <sheetPr>
    <pageSetUpPr fitToPage="1"/>
  </sheetPr>
  <dimension ref="B1:AP62"/>
  <sheetViews>
    <sheetView showGridLines="0" showRowColHeaders="0" topLeftCell="A15" zoomScale="101" zoomScaleNormal="100" workbookViewId="0">
      <selection activeCell="C20" sqref="C20:C41"/>
    </sheetView>
  </sheetViews>
  <sheetFormatPr baseColWidth="10" defaultColWidth="11" defaultRowHeight="15"/>
  <cols>
    <col min="1" max="1" width="8.796875" style="306" customWidth="1"/>
    <col min="2" max="2" width="13.59765625" style="306" customWidth="1"/>
    <col min="3" max="3" width="33" style="306" bestFit="1" customWidth="1"/>
    <col min="4" max="4" width="37" style="306" customWidth="1"/>
    <col min="5" max="5" width="21.59765625" style="306" customWidth="1"/>
    <col min="6" max="6" width="14.59765625" style="306" customWidth="1"/>
    <col min="7" max="7" width="15.59765625" style="306" customWidth="1"/>
    <col min="8" max="8" width="17.19921875" style="511" bestFit="1" customWidth="1"/>
    <col min="9" max="9" width="8.59765625" style="306" bestFit="1" customWidth="1"/>
    <col min="10" max="10" width="9.19921875" style="306" bestFit="1" customWidth="1"/>
    <col min="11" max="11" width="8.59765625" style="511" bestFit="1" customWidth="1"/>
    <col min="12" max="12" width="10.59765625" style="511" customWidth="1"/>
    <col min="13" max="13" width="5.19921875" style="511" customWidth="1"/>
    <col min="14" max="15" width="11.19921875" style="306" customWidth="1"/>
    <col min="16" max="16" width="11.19921875" style="511" customWidth="1"/>
    <col min="17" max="17" width="3.19921875" style="306" customWidth="1"/>
    <col min="18" max="18" width="17.19921875" style="306" customWidth="1"/>
    <col min="19" max="19" width="16.59765625" style="306" customWidth="1"/>
    <col min="20" max="20" width="19.19921875" style="306" customWidth="1"/>
    <col min="21" max="21" width="15.59765625" style="306" customWidth="1"/>
    <col min="22" max="22" width="17.59765625" style="306" customWidth="1"/>
    <col min="23" max="42" width="15.796875" style="306" hidden="1" customWidth="1"/>
    <col min="43" max="45" width="15.796875" style="306" customWidth="1"/>
    <col min="46" max="54" width="11" style="306" customWidth="1"/>
    <col min="55" max="16384" width="11" style="306"/>
  </cols>
  <sheetData>
    <row r="1" spans="2:33" ht="9" customHeight="1" thickBot="1"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99"/>
      <c r="S1" s="99"/>
      <c r="T1" s="99"/>
      <c r="U1" s="99"/>
    </row>
    <row r="2" spans="2:33" ht="9" customHeight="1"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99"/>
      <c r="S2" s="99"/>
      <c r="T2" s="99"/>
      <c r="U2" s="99"/>
    </row>
    <row r="3" spans="2:33" ht="9" customHeight="1"/>
    <row r="5" spans="2:33" ht="17">
      <c r="D5" s="338" t="s">
        <v>27</v>
      </c>
      <c r="E5" s="36" t="s">
        <v>41</v>
      </c>
      <c r="F5" s="491"/>
    </row>
    <row r="6" spans="2:33" ht="17">
      <c r="D6" s="338" t="s">
        <v>85</v>
      </c>
      <c r="E6" s="38" t="str">
        <f>Voorblad!$E$16</f>
        <v>Stichting Opspoor</v>
      </c>
      <c r="F6" s="494"/>
      <c r="I6" s="540"/>
    </row>
    <row r="7" spans="2:33" ht="17">
      <c r="D7" s="338" t="s">
        <v>33</v>
      </c>
      <c r="E7" s="38" t="str">
        <f>'1.0-Contractblad'!$E$7</f>
        <v>Purmerend e.o.</v>
      </c>
      <c r="F7" s="495"/>
      <c r="I7" s="540"/>
    </row>
    <row r="8" spans="2:33" ht="17">
      <c r="D8" s="338" t="s">
        <v>114</v>
      </c>
      <c r="E8" s="496" t="str">
        <f>Voorblad!$E$24</f>
        <v>1501-102-2026</v>
      </c>
      <c r="F8" s="497"/>
    </row>
    <row r="9" spans="2:33" ht="17">
      <c r="D9" s="338" t="s">
        <v>145</v>
      </c>
      <c r="E9" s="41" t="str">
        <f ca="1">Voorblad!$E$26</f>
        <v>Calculatiemodule Opspoor Perceel 2 V1.1 | 01-jan-27 Wijziging bijgehouden</v>
      </c>
      <c r="F9" s="495"/>
    </row>
    <row r="10" spans="2:33" ht="17">
      <c r="B10" s="570" t="s">
        <v>161</v>
      </c>
      <c r="C10" s="492"/>
      <c r="D10" s="338" t="s">
        <v>83</v>
      </c>
      <c r="E10" s="567" t="str">
        <f>Voorblad!$E$19</f>
        <v>Naam organisatie</v>
      </c>
      <c r="F10" s="495"/>
      <c r="O10" s="490"/>
    </row>
    <row r="11" spans="2:33" ht="18" thickBot="1">
      <c r="B11" s="524"/>
      <c r="C11" s="506" t="s">
        <v>153</v>
      </c>
      <c r="D11" s="338" t="s">
        <v>6</v>
      </c>
      <c r="E11" s="45">
        <f>Voorblad!$E$22</f>
        <v>46388</v>
      </c>
      <c r="F11" s="495"/>
      <c r="O11" s="490"/>
    </row>
    <row r="12" spans="2:33" ht="18" thickBot="1">
      <c r="B12" s="632"/>
      <c r="C12" s="506" t="s">
        <v>384</v>
      </c>
      <c r="D12" s="36" t="s">
        <v>15</v>
      </c>
      <c r="E12" s="792" t="s">
        <v>1081</v>
      </c>
      <c r="F12" s="495"/>
      <c r="AC12" s="512"/>
      <c r="AD12" s="512"/>
      <c r="AE12" s="512"/>
      <c r="AF12" s="512"/>
    </row>
    <row r="13" spans="2:33" ht="16" thickBot="1">
      <c r="B13" s="534"/>
      <c r="C13" s="506" t="s">
        <v>272</v>
      </c>
      <c r="AC13" s="512"/>
      <c r="AD13" s="512"/>
      <c r="AE13" s="512"/>
      <c r="AF13" s="512"/>
    </row>
    <row r="14" spans="2:33">
      <c r="B14" s="690"/>
      <c r="C14" s="506" t="s">
        <v>479</v>
      </c>
      <c r="H14" s="306"/>
      <c r="I14" s="511"/>
      <c r="J14" s="511"/>
      <c r="L14" s="306"/>
      <c r="M14" s="306"/>
      <c r="P14" s="306"/>
      <c r="AC14" s="512"/>
      <c r="AD14" s="512"/>
      <c r="AE14" s="512"/>
      <c r="AF14" s="512"/>
    </row>
    <row r="15" spans="2:33">
      <c r="H15" s="306"/>
      <c r="I15" s="511"/>
      <c r="J15" s="511"/>
      <c r="L15" s="306"/>
      <c r="M15" s="306"/>
      <c r="P15" s="306"/>
      <c r="AC15" s="512"/>
      <c r="AD15" s="512"/>
      <c r="AE15" s="512"/>
      <c r="AF15" s="512"/>
    </row>
    <row r="16" spans="2:33">
      <c r="H16" s="306"/>
      <c r="J16" s="511"/>
      <c r="M16" s="306"/>
      <c r="P16" s="306"/>
      <c r="AD16" s="512"/>
      <c r="AE16" s="512"/>
      <c r="AF16" s="512"/>
      <c r="AG16" s="512"/>
    </row>
    <row r="17" spans="2:40">
      <c r="H17" s="306"/>
      <c r="J17" s="511"/>
      <c r="M17" s="306"/>
      <c r="P17" s="306"/>
      <c r="AD17" s="512"/>
      <c r="AE17" s="512"/>
      <c r="AF17" s="512"/>
      <c r="AG17" s="512"/>
    </row>
    <row r="18" spans="2:40" ht="64">
      <c r="D18" s="568" t="s">
        <v>270</v>
      </c>
      <c r="E18" s="569" t="s">
        <v>51</v>
      </c>
      <c r="F18" s="569" t="s">
        <v>281</v>
      </c>
      <c r="G18" s="569" t="s">
        <v>280</v>
      </c>
      <c r="H18" s="569" t="s">
        <v>343</v>
      </c>
      <c r="I18" s="569"/>
      <c r="J18" s="569" t="s">
        <v>282</v>
      </c>
      <c r="K18" s="569" t="s">
        <v>284</v>
      </c>
      <c r="L18" s="569" t="s">
        <v>283</v>
      </c>
      <c r="M18" s="569"/>
      <c r="N18" s="569" t="s">
        <v>286</v>
      </c>
      <c r="O18" s="569" t="s">
        <v>287</v>
      </c>
      <c r="P18" s="569" t="s">
        <v>288</v>
      </c>
      <c r="Q18" s="569"/>
      <c r="R18" s="569" t="s">
        <v>285</v>
      </c>
      <c r="S18" s="569" t="s">
        <v>289</v>
      </c>
      <c r="T18" s="569" t="s">
        <v>308</v>
      </c>
      <c r="U18" s="569" t="s">
        <v>344</v>
      </c>
      <c r="V18" s="569"/>
      <c r="Y18" s="696"/>
      <c r="AD18" s="512"/>
      <c r="AE18" s="512"/>
      <c r="AF18" s="512"/>
      <c r="AG18" s="512"/>
    </row>
    <row r="19" spans="2:40">
      <c r="D19" s="513"/>
      <c r="E19" s="513"/>
      <c r="F19" s="514"/>
      <c r="H19" s="306"/>
      <c r="J19" s="511"/>
      <c r="M19" s="306"/>
      <c r="P19" s="306"/>
      <c r="Y19" s="306" t="s">
        <v>427</v>
      </c>
      <c r="Z19" s="306" t="s">
        <v>426</v>
      </c>
      <c r="AA19" s="306" t="s">
        <v>425</v>
      </c>
      <c r="AD19" s="512"/>
      <c r="AE19" s="512"/>
      <c r="AF19" s="512"/>
      <c r="AG19" s="512"/>
    </row>
    <row r="20" spans="2:40" s="43" customFormat="1" ht="22" customHeight="1">
      <c r="B20" s="306"/>
      <c r="C20" s="793"/>
      <c r="D20" s="124" t="str">
        <f>'1.1a-Jaarprijzen'!B13</f>
        <v>OBS Willem Eggert</v>
      </c>
      <c r="E20" s="124"/>
      <c r="F20" s="695">
        <v>610.4</v>
      </c>
      <c r="G20" s="695">
        <v>610.4</v>
      </c>
      <c r="H20" s="695">
        <v>142.44999999999999</v>
      </c>
      <c r="I20" s="515">
        <f t="shared" ref="I20:I36" si="0">F20+G20+H20</f>
        <v>1363.25</v>
      </c>
      <c r="J20" s="516">
        <v>1</v>
      </c>
      <c r="K20" s="516">
        <v>2</v>
      </c>
      <c r="L20" s="516">
        <v>1</v>
      </c>
      <c r="N20" s="634"/>
      <c r="O20" s="634"/>
      <c r="P20" s="634"/>
      <c r="R20" s="644">
        <f t="shared" ref="R20:R36" si="1">(F20*J20*N20)+(H20*L20*P20)+(G20*K20*O20)</f>
        <v>0</v>
      </c>
      <c r="S20" s="638"/>
      <c r="T20" s="639"/>
      <c r="U20" s="795"/>
      <c r="V20" s="796"/>
      <c r="W20" s="143">
        <f t="shared" ref="W20:W31" si="2">IF(R20="NVT",0,R20+T20*S20)</f>
        <v>0</v>
      </c>
      <c r="X20" s="143">
        <f t="shared" ref="X20:X31" si="3">S20*K20</f>
        <v>0</v>
      </c>
      <c r="Y20" s="143">
        <f t="shared" ref="Y20:Y31" si="4">F20*J20*N20</f>
        <v>0</v>
      </c>
      <c r="Z20" s="143">
        <f>G20*K20*O20</f>
        <v>0</v>
      </c>
      <c r="AA20" s="143">
        <f t="shared" ref="AA20:AA31" si="5">H20*L20*P20</f>
        <v>0</v>
      </c>
      <c r="AC20" s="131"/>
      <c r="AD20" s="572">
        <f t="shared" ref="AD20:AD21" si="6">AC20-W20</f>
        <v>0</v>
      </c>
      <c r="AE20" s="512"/>
      <c r="AF20" s="512"/>
      <c r="AG20" s="512"/>
      <c r="AH20" s="571"/>
      <c r="AI20" s="571"/>
      <c r="AJ20" s="571"/>
      <c r="AK20" s="306"/>
      <c r="AL20" s="306"/>
      <c r="AN20" s="131">
        <f>SUMIF('1.8-Glasbewassing'!AF:AF,'1.1a-Jaarprijzen'!#REF!,'1.8-Glasbewassing'!AY:AY)</f>
        <v>0</v>
      </c>
    </row>
    <row r="21" spans="2:40" s="43" customFormat="1" ht="22" customHeight="1">
      <c r="C21" s="793"/>
      <c r="D21" s="124" t="str">
        <f>'1.1a-Jaarprijzen'!B14</f>
        <v>SBO Het Tangram</v>
      </c>
      <c r="E21" s="124"/>
      <c r="F21" s="695">
        <v>476.79999999999995</v>
      </c>
      <c r="G21" s="695">
        <v>476.79999999999995</v>
      </c>
      <c r="H21" s="695">
        <v>215.57999999999998</v>
      </c>
      <c r="I21" s="515">
        <f t="shared" si="0"/>
        <v>1169.1799999999998</v>
      </c>
      <c r="J21" s="516">
        <v>1</v>
      </c>
      <c r="K21" s="516">
        <v>2</v>
      </c>
      <c r="L21" s="516">
        <v>1</v>
      </c>
      <c r="N21" s="634"/>
      <c r="O21" s="634"/>
      <c r="P21" s="634"/>
      <c r="R21" s="644">
        <f t="shared" si="1"/>
        <v>0</v>
      </c>
      <c r="S21" s="638"/>
      <c r="T21" s="639"/>
      <c r="U21" s="795"/>
      <c r="V21" s="796"/>
      <c r="W21" s="143">
        <f t="shared" si="2"/>
        <v>0</v>
      </c>
      <c r="X21" s="143">
        <f t="shared" si="3"/>
        <v>0</v>
      </c>
      <c r="Y21" s="143">
        <f t="shared" si="4"/>
        <v>0</v>
      </c>
      <c r="Z21" s="143">
        <f t="shared" ref="Z21:Z31" si="7">G21*K21*O21</f>
        <v>0</v>
      </c>
      <c r="AA21" s="143">
        <f t="shared" si="5"/>
        <v>0</v>
      </c>
      <c r="AD21" s="572">
        <f t="shared" si="6"/>
        <v>0</v>
      </c>
      <c r="AE21" s="512"/>
      <c r="AF21" s="512"/>
      <c r="AG21" s="512"/>
      <c r="AH21" s="571"/>
      <c r="AI21" s="571"/>
      <c r="AJ21" s="571"/>
      <c r="AK21" s="306"/>
      <c r="AL21" s="306"/>
      <c r="AN21" s="131">
        <f>SUMIF('1.8-Glasbewassing'!AF:AF,'1.1a-Jaarprijzen'!#REF!,'1.8-Glasbewassing'!AY:AY)</f>
        <v>0</v>
      </c>
    </row>
    <row r="22" spans="2:40" s="43" customFormat="1" ht="22" customHeight="1">
      <c r="B22" s="306"/>
      <c r="C22" s="793"/>
      <c r="D22" s="124" t="str">
        <f>'1.1a-Jaarprijzen'!B15</f>
        <v>OBS De Fuut</v>
      </c>
      <c r="E22" s="124"/>
      <c r="F22" s="695">
        <v>316</v>
      </c>
      <c r="G22" s="695">
        <v>316</v>
      </c>
      <c r="H22" s="695">
        <v>89</v>
      </c>
      <c r="I22" s="515">
        <f t="shared" si="0"/>
        <v>721</v>
      </c>
      <c r="J22" s="516">
        <v>1</v>
      </c>
      <c r="K22" s="516">
        <v>2</v>
      </c>
      <c r="L22" s="516">
        <v>1</v>
      </c>
      <c r="N22" s="634"/>
      <c r="O22" s="634"/>
      <c r="P22" s="634"/>
      <c r="R22" s="644">
        <f t="shared" si="1"/>
        <v>0</v>
      </c>
      <c r="S22" s="638"/>
      <c r="T22" s="639"/>
      <c r="U22" s="795"/>
      <c r="V22" s="796"/>
      <c r="W22" s="143">
        <f t="shared" si="2"/>
        <v>0</v>
      </c>
      <c r="X22" s="143">
        <f t="shared" si="3"/>
        <v>0</v>
      </c>
      <c r="Y22" s="143">
        <f t="shared" si="4"/>
        <v>0</v>
      </c>
      <c r="Z22" s="143">
        <f t="shared" si="7"/>
        <v>0</v>
      </c>
      <c r="AA22" s="143">
        <f t="shared" si="5"/>
        <v>0</v>
      </c>
      <c r="AC22" s="131"/>
      <c r="AD22" s="572">
        <f>AC22-W22</f>
        <v>0</v>
      </c>
      <c r="AE22" s="512"/>
      <c r="AF22" s="512"/>
      <c r="AG22" s="512"/>
      <c r="AH22" s="571"/>
      <c r="AI22" s="571"/>
      <c r="AJ22" s="571"/>
      <c r="AK22" s="306"/>
      <c r="AL22" s="306"/>
      <c r="AN22" s="131">
        <f>SUMIF('1.8-Glasbewassing'!AF:AF,'1.1a-Jaarprijzen'!#REF!,'1.8-Glasbewassing'!AY:AY)</f>
        <v>0</v>
      </c>
    </row>
    <row r="23" spans="2:40" s="43" customFormat="1" ht="22" customHeight="1">
      <c r="B23" s="306"/>
      <c r="C23" s="793"/>
      <c r="D23" s="124" t="str">
        <f>'1.1a-Jaarprijzen'!B17</f>
        <v>OBS De Havenrakkers</v>
      </c>
      <c r="E23" s="124"/>
      <c r="F23" s="695">
        <v>380</v>
      </c>
      <c r="G23" s="695">
        <v>400</v>
      </c>
      <c r="H23" s="695">
        <v>398</v>
      </c>
      <c r="I23" s="515">
        <f t="shared" si="0"/>
        <v>1178</v>
      </c>
      <c r="J23" s="516">
        <v>1</v>
      </c>
      <c r="K23" s="516">
        <v>2</v>
      </c>
      <c r="L23" s="516">
        <v>1</v>
      </c>
      <c r="N23" s="634"/>
      <c r="O23" s="634"/>
      <c r="P23" s="634"/>
      <c r="R23" s="644">
        <f t="shared" si="1"/>
        <v>0</v>
      </c>
      <c r="S23" s="638"/>
      <c r="T23" s="639"/>
      <c r="U23" s="795"/>
      <c r="V23" s="796"/>
      <c r="W23" s="143">
        <f t="shared" si="2"/>
        <v>0</v>
      </c>
      <c r="X23" s="143">
        <f t="shared" si="3"/>
        <v>0</v>
      </c>
      <c r="Y23" s="143">
        <f t="shared" si="4"/>
        <v>0</v>
      </c>
      <c r="Z23" s="143">
        <f t="shared" si="7"/>
        <v>0</v>
      </c>
      <c r="AA23" s="143">
        <f t="shared" si="5"/>
        <v>0</v>
      </c>
      <c r="AC23" s="131"/>
      <c r="AD23" s="572">
        <f t="shared" ref="AD23:AD24" si="8">AC23-W23</f>
        <v>0</v>
      </c>
      <c r="AE23" s="512"/>
      <c r="AF23" s="512"/>
      <c r="AG23" s="512"/>
      <c r="AH23" s="571"/>
      <c r="AI23" s="571"/>
      <c r="AJ23" s="571"/>
      <c r="AK23" s="306"/>
      <c r="AL23" s="306"/>
      <c r="AN23" s="131">
        <f>SUMIF('1.8-Glasbewassing'!AF:AF,'1.1a-Jaarprijzen'!#REF!,'1.8-Glasbewassing'!AY:AY)</f>
        <v>0</v>
      </c>
    </row>
    <row r="24" spans="2:40" s="43" customFormat="1" ht="22" customHeight="1">
      <c r="C24" s="793"/>
      <c r="D24" s="124" t="str">
        <f>'1.1a-Jaarprijzen'!B18</f>
        <v>OBS De Overhaal</v>
      </c>
      <c r="E24" s="124"/>
      <c r="F24" s="695">
        <v>115</v>
      </c>
      <c r="G24" s="695">
        <v>115</v>
      </c>
      <c r="H24" s="695">
        <v>28</v>
      </c>
      <c r="I24" s="515">
        <f t="shared" si="0"/>
        <v>258</v>
      </c>
      <c r="J24" s="516">
        <v>1</v>
      </c>
      <c r="K24" s="516">
        <v>2</v>
      </c>
      <c r="L24" s="516">
        <v>1</v>
      </c>
      <c r="N24" s="634"/>
      <c r="O24" s="634"/>
      <c r="P24" s="634"/>
      <c r="R24" s="644">
        <f t="shared" si="1"/>
        <v>0</v>
      </c>
      <c r="S24" s="638"/>
      <c r="T24" s="639"/>
      <c r="U24" s="795"/>
      <c r="V24" s="796"/>
      <c r="W24" s="143">
        <f t="shared" si="2"/>
        <v>0</v>
      </c>
      <c r="X24" s="143">
        <f t="shared" si="3"/>
        <v>0</v>
      </c>
      <c r="Y24" s="143">
        <f t="shared" si="4"/>
        <v>0</v>
      </c>
      <c r="Z24" s="143">
        <f t="shared" si="7"/>
        <v>0</v>
      </c>
      <c r="AA24" s="143">
        <f t="shared" si="5"/>
        <v>0</v>
      </c>
      <c r="AD24" s="572">
        <f t="shared" si="8"/>
        <v>0</v>
      </c>
      <c r="AE24" s="512"/>
      <c r="AF24" s="512"/>
      <c r="AG24" s="512"/>
      <c r="AH24" s="571"/>
      <c r="AI24" s="571"/>
      <c r="AJ24" s="571"/>
      <c r="AK24" s="306"/>
      <c r="AL24" s="306"/>
      <c r="AN24" s="131">
        <f>SUMIF('1.8-Glasbewassing'!AF:AF,'1.1a-Jaarprijzen'!#REF!,'1.8-Glasbewassing'!AY:AY)</f>
        <v>0</v>
      </c>
    </row>
    <row r="25" spans="2:40" s="43" customFormat="1" ht="22" customHeight="1">
      <c r="B25" s="306"/>
      <c r="C25" s="793"/>
      <c r="D25" s="124" t="str">
        <f>'1.1a-Jaarprijzen'!B19</f>
        <v>OBS De Gouwzee</v>
      </c>
      <c r="E25" s="124"/>
      <c r="F25" s="695">
        <v>267</v>
      </c>
      <c r="G25" s="695">
        <v>267</v>
      </c>
      <c r="H25" s="695">
        <v>140</v>
      </c>
      <c r="I25" s="515">
        <f t="shared" si="0"/>
        <v>674</v>
      </c>
      <c r="J25" s="516">
        <v>1</v>
      </c>
      <c r="K25" s="516">
        <v>2</v>
      </c>
      <c r="L25" s="516">
        <v>1</v>
      </c>
      <c r="N25" s="634"/>
      <c r="O25" s="634"/>
      <c r="P25" s="634"/>
      <c r="R25" s="644">
        <f t="shared" si="1"/>
        <v>0</v>
      </c>
      <c r="S25" s="638"/>
      <c r="T25" s="639"/>
      <c r="U25" s="795"/>
      <c r="V25" s="796"/>
      <c r="W25" s="143">
        <f t="shared" si="2"/>
        <v>0</v>
      </c>
      <c r="X25" s="143">
        <f t="shared" si="3"/>
        <v>0</v>
      </c>
      <c r="Y25" s="143">
        <f t="shared" si="4"/>
        <v>0</v>
      </c>
      <c r="Z25" s="143">
        <f t="shared" si="7"/>
        <v>0</v>
      </c>
      <c r="AA25" s="143">
        <f t="shared" si="5"/>
        <v>0</v>
      </c>
      <c r="AC25" s="131"/>
      <c r="AD25" s="572">
        <f>AC25-W25</f>
        <v>0</v>
      </c>
      <c r="AE25" s="512"/>
      <c r="AF25" s="512"/>
      <c r="AG25" s="512"/>
      <c r="AH25" s="571"/>
      <c r="AI25" s="571"/>
      <c r="AJ25" s="571"/>
      <c r="AK25" s="306"/>
      <c r="AL25" s="306"/>
      <c r="AN25" s="131">
        <f>SUMIF('1.8-Glasbewassing'!AF:AF,'1.1a-Jaarprijzen'!#REF!,'1.8-Glasbewassing'!AY:AY)</f>
        <v>0</v>
      </c>
    </row>
    <row r="26" spans="2:40" s="43" customFormat="1" ht="22" customHeight="1">
      <c r="B26" s="306"/>
      <c r="C26" s="793"/>
      <c r="D26" s="124" t="str">
        <f>'1.1a-Jaarprijzen'!B20</f>
        <v>OBS Het Parelhof</v>
      </c>
      <c r="E26" s="124"/>
      <c r="F26" s="695">
        <v>389.8</v>
      </c>
      <c r="G26" s="695">
        <v>389.8</v>
      </c>
      <c r="H26" s="695">
        <v>359.2</v>
      </c>
      <c r="I26" s="515">
        <f t="shared" si="0"/>
        <v>1138.8</v>
      </c>
      <c r="J26" s="516">
        <v>1</v>
      </c>
      <c r="K26" s="516">
        <v>2</v>
      </c>
      <c r="L26" s="516">
        <v>1</v>
      </c>
      <c r="N26" s="634"/>
      <c r="O26" s="634"/>
      <c r="P26" s="634"/>
      <c r="R26" s="644">
        <f t="shared" si="1"/>
        <v>0</v>
      </c>
      <c r="S26" s="638"/>
      <c r="T26" s="639"/>
      <c r="U26" s="795"/>
      <c r="V26" s="796"/>
      <c r="W26" s="143">
        <f t="shared" si="2"/>
        <v>0</v>
      </c>
      <c r="X26" s="143">
        <f t="shared" si="3"/>
        <v>0</v>
      </c>
      <c r="Y26" s="143">
        <f t="shared" si="4"/>
        <v>0</v>
      </c>
      <c r="Z26" s="143">
        <f t="shared" si="7"/>
        <v>0</v>
      </c>
      <c r="AA26" s="143">
        <f t="shared" si="5"/>
        <v>0</v>
      </c>
      <c r="AC26" s="131"/>
      <c r="AD26" s="572">
        <f t="shared" ref="AD26:AD27" si="9">AC26-W26</f>
        <v>0</v>
      </c>
      <c r="AE26" s="512"/>
      <c r="AF26" s="512"/>
      <c r="AG26" s="512"/>
      <c r="AH26" s="571"/>
      <c r="AI26" s="571"/>
      <c r="AJ26" s="571"/>
      <c r="AK26" s="306"/>
      <c r="AL26" s="306"/>
    </row>
    <row r="27" spans="2:40" s="43" customFormat="1" ht="22" customHeight="1">
      <c r="C27" s="793"/>
      <c r="D27" s="124" t="str">
        <f>'1.1a-Jaarprijzen'!B21</f>
        <v>OBS Delta Beethoven</v>
      </c>
      <c r="E27" s="124"/>
      <c r="F27" s="695">
        <v>259.60000000000002</v>
      </c>
      <c r="G27" s="695">
        <v>259.60000000000002</v>
      </c>
      <c r="H27" s="695">
        <v>99.5</v>
      </c>
      <c r="I27" s="515">
        <f t="shared" si="0"/>
        <v>618.70000000000005</v>
      </c>
      <c r="J27" s="516">
        <v>1</v>
      </c>
      <c r="K27" s="516">
        <v>2</v>
      </c>
      <c r="L27" s="516">
        <v>1</v>
      </c>
      <c r="N27" s="634"/>
      <c r="O27" s="634"/>
      <c r="P27" s="634"/>
      <c r="R27" s="644">
        <f t="shared" si="1"/>
        <v>0</v>
      </c>
      <c r="S27" s="638"/>
      <c r="T27" s="639"/>
      <c r="U27" s="795"/>
      <c r="V27" s="796"/>
      <c r="W27" s="143">
        <f t="shared" si="2"/>
        <v>0</v>
      </c>
      <c r="X27" s="143">
        <f t="shared" si="3"/>
        <v>0</v>
      </c>
      <c r="Y27" s="143">
        <f t="shared" si="4"/>
        <v>0</v>
      </c>
      <c r="Z27" s="143">
        <f t="shared" si="7"/>
        <v>0</v>
      </c>
      <c r="AA27" s="143">
        <f t="shared" si="5"/>
        <v>0</v>
      </c>
      <c r="AD27" s="572">
        <f t="shared" si="9"/>
        <v>0</v>
      </c>
      <c r="AE27" s="512"/>
      <c r="AF27" s="512"/>
      <c r="AG27" s="512"/>
      <c r="AH27" s="571"/>
      <c r="AI27" s="571"/>
      <c r="AJ27" s="571"/>
      <c r="AK27" s="306"/>
      <c r="AL27" s="306"/>
    </row>
    <row r="28" spans="2:40" s="43" customFormat="1" ht="22" customHeight="1">
      <c r="B28" s="306"/>
      <c r="C28" s="793"/>
      <c r="D28" s="124" t="str">
        <f>'1.1a-Jaarprijzen'!B22</f>
        <v>OBS Noorderlicht</v>
      </c>
      <c r="E28" s="124"/>
      <c r="F28" s="695">
        <v>221.5</v>
      </c>
      <c r="G28" s="695">
        <v>221.5</v>
      </c>
      <c r="H28" s="695">
        <v>110.3</v>
      </c>
      <c r="I28" s="515">
        <f t="shared" si="0"/>
        <v>553.29999999999995</v>
      </c>
      <c r="J28" s="516">
        <v>1</v>
      </c>
      <c r="K28" s="516">
        <v>2</v>
      </c>
      <c r="L28" s="516">
        <v>1</v>
      </c>
      <c r="N28" s="634"/>
      <c r="O28" s="634"/>
      <c r="P28" s="634"/>
      <c r="R28" s="644">
        <f t="shared" si="1"/>
        <v>0</v>
      </c>
      <c r="S28" s="638"/>
      <c r="T28" s="639"/>
      <c r="U28" s="795"/>
      <c r="V28" s="796"/>
      <c r="W28" s="143">
        <f t="shared" si="2"/>
        <v>0</v>
      </c>
      <c r="X28" s="143">
        <f t="shared" si="3"/>
        <v>0</v>
      </c>
      <c r="Y28" s="143">
        <f t="shared" si="4"/>
        <v>0</v>
      </c>
      <c r="Z28" s="143">
        <f t="shared" si="7"/>
        <v>0</v>
      </c>
      <c r="AA28" s="143">
        <f t="shared" si="5"/>
        <v>0</v>
      </c>
      <c r="AC28" s="131"/>
      <c r="AD28" s="572">
        <f>AC28-W28</f>
        <v>0</v>
      </c>
      <c r="AE28" s="512"/>
      <c r="AF28" s="512"/>
      <c r="AG28" s="512"/>
      <c r="AH28" s="571"/>
      <c r="AI28" s="571"/>
      <c r="AJ28" s="571"/>
      <c r="AK28" s="306"/>
      <c r="AL28" s="306"/>
    </row>
    <row r="29" spans="2:40" s="43" customFormat="1" ht="22" customHeight="1">
      <c r="B29" s="306"/>
      <c r="C29" s="793"/>
      <c r="D29" s="124" t="str">
        <f>'1.1a-Jaarprijzen'!B23</f>
        <v>OBS De Delta</v>
      </c>
      <c r="E29" s="124"/>
      <c r="F29" s="695">
        <v>187.3</v>
      </c>
      <c r="G29" s="695">
        <v>187.3</v>
      </c>
      <c r="H29" s="695">
        <v>65.900000000000006</v>
      </c>
      <c r="I29" s="515">
        <f t="shared" si="0"/>
        <v>440.5</v>
      </c>
      <c r="J29" s="516">
        <v>1</v>
      </c>
      <c r="K29" s="516">
        <v>2</v>
      </c>
      <c r="L29" s="516">
        <v>1</v>
      </c>
      <c r="N29" s="634"/>
      <c r="O29" s="634"/>
      <c r="P29" s="634"/>
      <c r="R29" s="644">
        <f t="shared" si="1"/>
        <v>0</v>
      </c>
      <c r="S29" s="638"/>
      <c r="T29" s="639"/>
      <c r="U29" s="795"/>
      <c r="V29" s="796"/>
      <c r="W29" s="143">
        <f t="shared" si="2"/>
        <v>0</v>
      </c>
      <c r="X29" s="143">
        <f t="shared" si="3"/>
        <v>0</v>
      </c>
      <c r="Y29" s="143">
        <f t="shared" si="4"/>
        <v>0</v>
      </c>
      <c r="Z29" s="143">
        <f t="shared" si="7"/>
        <v>0</v>
      </c>
      <c r="AA29" s="143">
        <f t="shared" si="5"/>
        <v>0</v>
      </c>
      <c r="AC29" s="131"/>
      <c r="AD29" s="572">
        <f t="shared" ref="AD29:AD30" si="10">AC29-W29</f>
        <v>0</v>
      </c>
      <c r="AE29" s="512"/>
      <c r="AF29" s="512"/>
      <c r="AG29" s="512"/>
      <c r="AH29" s="571"/>
      <c r="AI29" s="571"/>
      <c r="AJ29" s="571"/>
      <c r="AK29" s="306"/>
      <c r="AL29" s="306"/>
    </row>
    <row r="30" spans="2:40" s="43" customFormat="1" ht="22" customHeight="1">
      <c r="C30" s="793"/>
      <c r="D30" s="124" t="str">
        <f>'1.1a-Jaarprijzen'!B24</f>
        <v>Kindcentrum Wheermolen</v>
      </c>
      <c r="E30" s="124"/>
      <c r="F30" s="695">
        <v>399.6</v>
      </c>
      <c r="G30" s="695">
        <v>400.4</v>
      </c>
      <c r="H30" s="695">
        <v>199.1</v>
      </c>
      <c r="I30" s="515">
        <f t="shared" si="0"/>
        <v>999.1</v>
      </c>
      <c r="J30" s="516">
        <v>1</v>
      </c>
      <c r="K30" s="516">
        <v>2</v>
      </c>
      <c r="L30" s="516">
        <v>1</v>
      </c>
      <c r="N30" s="634"/>
      <c r="O30" s="634"/>
      <c r="P30" s="634"/>
      <c r="R30" s="644">
        <f t="shared" si="1"/>
        <v>0</v>
      </c>
      <c r="S30" s="638"/>
      <c r="T30" s="639"/>
      <c r="U30" s="795"/>
      <c r="V30" s="796"/>
      <c r="W30" s="143">
        <f t="shared" si="2"/>
        <v>0</v>
      </c>
      <c r="X30" s="143">
        <f t="shared" si="3"/>
        <v>0</v>
      </c>
      <c r="Y30" s="143">
        <f t="shared" si="4"/>
        <v>0</v>
      </c>
      <c r="Z30" s="143">
        <f t="shared" si="7"/>
        <v>0</v>
      </c>
      <c r="AA30" s="143">
        <f t="shared" si="5"/>
        <v>0</v>
      </c>
      <c r="AD30" s="572">
        <f t="shared" si="10"/>
        <v>0</v>
      </c>
      <c r="AE30" s="512"/>
      <c r="AF30" s="512"/>
      <c r="AG30" s="512"/>
      <c r="AH30" s="571"/>
      <c r="AI30" s="571"/>
      <c r="AJ30" s="571"/>
      <c r="AK30" s="306"/>
      <c r="AL30" s="306"/>
    </row>
    <row r="31" spans="2:40" s="43" customFormat="1" ht="22" customHeight="1">
      <c r="B31" s="306"/>
      <c r="C31" s="793"/>
      <c r="D31" s="124" t="str">
        <f>'1.1a-Jaarprijzen'!B25</f>
        <v>OBS Wheermolen KO</v>
      </c>
      <c r="E31" s="124"/>
      <c r="F31" s="695">
        <v>152.19999999999999</v>
      </c>
      <c r="G31" s="695">
        <v>152.9</v>
      </c>
      <c r="H31" s="695">
        <v>76.2</v>
      </c>
      <c r="I31" s="515">
        <f t="shared" si="0"/>
        <v>381.3</v>
      </c>
      <c r="J31" s="516">
        <v>1</v>
      </c>
      <c r="K31" s="516">
        <v>2</v>
      </c>
      <c r="L31" s="516">
        <v>1</v>
      </c>
      <c r="N31" s="634"/>
      <c r="O31" s="634"/>
      <c r="P31" s="634"/>
      <c r="R31" s="644">
        <f t="shared" si="1"/>
        <v>0</v>
      </c>
      <c r="S31" s="638"/>
      <c r="T31" s="639"/>
      <c r="U31" s="795"/>
      <c r="V31" s="796"/>
      <c r="W31" s="143">
        <f t="shared" si="2"/>
        <v>0</v>
      </c>
      <c r="X31" s="143">
        <f t="shared" si="3"/>
        <v>0</v>
      </c>
      <c r="Y31" s="143">
        <f t="shared" si="4"/>
        <v>0</v>
      </c>
      <c r="Z31" s="143">
        <f t="shared" si="7"/>
        <v>0</v>
      </c>
      <c r="AA31" s="143">
        <f t="shared" si="5"/>
        <v>0</v>
      </c>
      <c r="AC31" s="131"/>
      <c r="AD31" s="572">
        <f>AC31-W31</f>
        <v>0</v>
      </c>
      <c r="AE31" s="512"/>
      <c r="AF31" s="512"/>
      <c r="AG31" s="512"/>
      <c r="AH31" s="571"/>
      <c r="AI31" s="571"/>
      <c r="AJ31" s="571"/>
      <c r="AK31" s="306"/>
      <c r="AL31" s="306"/>
    </row>
    <row r="32" spans="2:40" s="43" customFormat="1" ht="22" customHeight="1">
      <c r="B32" s="306"/>
      <c r="C32" s="793"/>
      <c r="D32" s="124" t="str">
        <f>'1.1a-Jaarprijzen'!B26</f>
        <v>OCBS Kawama</v>
      </c>
      <c r="E32" s="124"/>
      <c r="F32" s="695">
        <v>215.7</v>
      </c>
      <c r="G32" s="695">
        <v>215.7</v>
      </c>
      <c r="H32" s="695">
        <v>134</v>
      </c>
      <c r="I32" s="515">
        <f t="shared" si="0"/>
        <v>565.4</v>
      </c>
      <c r="J32" s="516">
        <v>1</v>
      </c>
      <c r="K32" s="516">
        <v>2</v>
      </c>
      <c r="L32" s="516">
        <v>1</v>
      </c>
      <c r="N32" s="634"/>
      <c r="O32" s="634"/>
      <c r="P32" s="634"/>
      <c r="R32" s="644">
        <f t="shared" si="1"/>
        <v>0</v>
      </c>
      <c r="S32" s="638"/>
      <c r="T32" s="639"/>
      <c r="U32" s="795"/>
      <c r="V32" s="796"/>
      <c r="W32" s="143">
        <f t="shared" ref="W32:W36" si="11">IF(R32="NVT",0,R32+T32*S32)</f>
        <v>0</v>
      </c>
      <c r="X32" s="143">
        <f t="shared" ref="X32:X36" si="12">S32*K32</f>
        <v>0</v>
      </c>
      <c r="Y32" s="143">
        <f t="shared" ref="Y32:Y36" si="13">F32*J32*N32</f>
        <v>0</v>
      </c>
      <c r="Z32" s="143">
        <f t="shared" ref="Z32:Z36" si="14">G32*K32*O32</f>
        <v>0</v>
      </c>
      <c r="AA32" s="143">
        <f t="shared" ref="AA32:AA36" si="15">H32*L32*P32</f>
        <v>0</v>
      </c>
      <c r="AC32" s="131"/>
      <c r="AD32" s="572">
        <f t="shared" ref="AD32:AD36" si="16">AC32-W32</f>
        <v>0</v>
      </c>
      <c r="AE32" s="512"/>
      <c r="AF32" s="512"/>
      <c r="AG32" s="512"/>
      <c r="AH32" s="571"/>
      <c r="AI32" s="571"/>
      <c r="AJ32" s="571"/>
      <c r="AK32" s="306"/>
      <c r="AL32" s="306"/>
    </row>
    <row r="33" spans="2:40" s="43" customFormat="1" ht="22" customHeight="1">
      <c r="C33" s="793"/>
      <c r="D33" s="124" t="str">
        <f>'1.1a-Jaarprijzen'!B27</f>
        <v>OBS Oeboentoe</v>
      </c>
      <c r="E33" s="124"/>
      <c r="F33" s="695">
        <v>114.4</v>
      </c>
      <c r="G33" s="695">
        <v>114.4</v>
      </c>
      <c r="H33" s="695">
        <v>91.8</v>
      </c>
      <c r="I33" s="515">
        <f t="shared" si="0"/>
        <v>320.60000000000002</v>
      </c>
      <c r="J33" s="516">
        <v>1</v>
      </c>
      <c r="K33" s="516">
        <v>2</v>
      </c>
      <c r="L33" s="516">
        <v>1</v>
      </c>
      <c r="N33" s="634"/>
      <c r="O33" s="634"/>
      <c r="P33" s="634"/>
      <c r="R33" s="644">
        <f t="shared" si="1"/>
        <v>0</v>
      </c>
      <c r="S33" s="638"/>
      <c r="T33" s="639"/>
      <c r="U33" s="795"/>
      <c r="V33" s="796"/>
      <c r="W33" s="143">
        <f t="shared" si="11"/>
        <v>0</v>
      </c>
      <c r="X33" s="143">
        <f t="shared" si="12"/>
        <v>0</v>
      </c>
      <c r="Y33" s="143">
        <f t="shared" si="13"/>
        <v>0</v>
      </c>
      <c r="Z33" s="143">
        <f t="shared" si="14"/>
        <v>0</v>
      </c>
      <c r="AA33" s="143">
        <f t="shared" si="15"/>
        <v>0</v>
      </c>
      <c r="AC33" s="131"/>
      <c r="AD33" s="572">
        <f t="shared" si="16"/>
        <v>0</v>
      </c>
      <c r="AE33" s="512"/>
      <c r="AF33" s="512"/>
      <c r="AG33" s="512"/>
      <c r="AH33" s="571"/>
      <c r="AI33" s="571"/>
      <c r="AJ33" s="571"/>
      <c r="AK33" s="306"/>
      <c r="AL33" s="306"/>
    </row>
    <row r="34" spans="2:40" s="43" customFormat="1" ht="22" customHeight="1">
      <c r="C34" s="793"/>
      <c r="D34" s="124" t="str">
        <f>'1.1a-Jaarprijzen'!B28</f>
        <v>Kawama-Oeboentoe</v>
      </c>
      <c r="E34" s="124"/>
      <c r="F34" s="695">
        <v>103.2</v>
      </c>
      <c r="G34" s="695">
        <v>103.2</v>
      </c>
      <c r="H34" s="695">
        <v>119.4</v>
      </c>
      <c r="I34" s="515">
        <f t="shared" si="0"/>
        <v>325.8</v>
      </c>
      <c r="J34" s="516">
        <v>1</v>
      </c>
      <c r="K34" s="516">
        <v>2</v>
      </c>
      <c r="L34" s="516">
        <v>1</v>
      </c>
      <c r="N34" s="634"/>
      <c r="O34" s="634"/>
      <c r="P34" s="634"/>
      <c r="R34" s="644">
        <f t="shared" si="1"/>
        <v>0</v>
      </c>
      <c r="S34" s="638"/>
      <c r="T34" s="639"/>
      <c r="U34" s="795"/>
      <c r="V34" s="796"/>
      <c r="W34" s="143">
        <f t="shared" si="11"/>
        <v>0</v>
      </c>
      <c r="X34" s="143">
        <f t="shared" si="12"/>
        <v>0</v>
      </c>
      <c r="Y34" s="143">
        <f t="shared" si="13"/>
        <v>0</v>
      </c>
      <c r="Z34" s="143">
        <f t="shared" si="14"/>
        <v>0</v>
      </c>
      <c r="AA34" s="143">
        <f t="shared" si="15"/>
        <v>0</v>
      </c>
      <c r="AC34" s="131"/>
      <c r="AD34" s="572">
        <f t="shared" si="16"/>
        <v>0</v>
      </c>
      <c r="AE34" s="512"/>
      <c r="AF34" s="512"/>
      <c r="AG34" s="512"/>
      <c r="AH34" s="571"/>
      <c r="AI34" s="571"/>
      <c r="AJ34" s="571"/>
      <c r="AK34" s="306"/>
      <c r="AL34" s="306"/>
    </row>
    <row r="35" spans="2:40" s="43" customFormat="1" ht="22" customHeight="1">
      <c r="B35" s="306"/>
      <c r="C35" s="793"/>
      <c r="D35" s="124" t="str">
        <f>'1.1a-Jaarprijzen'!B29</f>
        <v>Gezamenlijk</v>
      </c>
      <c r="E35" s="124"/>
      <c r="F35" s="786">
        <v>0</v>
      </c>
      <c r="G35" s="786">
        <v>0</v>
      </c>
      <c r="H35" s="786">
        <v>0</v>
      </c>
      <c r="I35" s="515">
        <f t="shared" ref="I35" si="17">F35+G35+H35</f>
        <v>0</v>
      </c>
      <c r="J35" s="516">
        <v>1</v>
      </c>
      <c r="K35" s="516">
        <v>2</v>
      </c>
      <c r="L35" s="516">
        <v>1</v>
      </c>
      <c r="N35" s="634"/>
      <c r="O35" s="634"/>
      <c r="P35" s="634"/>
      <c r="R35" s="644">
        <f t="shared" si="1"/>
        <v>0</v>
      </c>
      <c r="S35" s="638"/>
      <c r="T35" s="639"/>
      <c r="U35" s="795"/>
      <c r="V35" s="796"/>
      <c r="W35" s="143">
        <f t="shared" si="11"/>
        <v>0</v>
      </c>
      <c r="X35" s="143">
        <f t="shared" si="12"/>
        <v>0</v>
      </c>
      <c r="Y35" s="143">
        <f t="shared" si="13"/>
        <v>0</v>
      </c>
      <c r="Z35" s="143">
        <f t="shared" si="14"/>
        <v>0</v>
      </c>
      <c r="AA35" s="143">
        <f t="shared" si="15"/>
        <v>0</v>
      </c>
      <c r="AC35" s="131"/>
      <c r="AD35" s="572">
        <f t="shared" si="16"/>
        <v>0</v>
      </c>
      <c r="AE35" s="512"/>
      <c r="AF35" s="512"/>
      <c r="AG35" s="512"/>
      <c r="AH35" s="571"/>
      <c r="AI35" s="571"/>
      <c r="AJ35" s="571"/>
      <c r="AK35" s="306"/>
      <c r="AL35" s="306"/>
      <c r="AN35" s="131">
        <f>SUMIF('1.8-Glasbewassing'!AF:AF,'1.1a-Jaarprijzen'!#REF!,'1.8-Glasbewassing'!AY:AY)</f>
        <v>0</v>
      </c>
    </row>
    <row r="36" spans="2:40" s="43" customFormat="1" ht="22" customHeight="1">
      <c r="C36" s="794"/>
      <c r="D36" s="124" t="str">
        <f>'1.1a-Jaarprijzen'!B30</f>
        <v>Kinderdagverblijf Anansi</v>
      </c>
      <c r="E36" s="124"/>
      <c r="F36" s="695">
        <v>79.900000000000006</v>
      </c>
      <c r="G36" s="695">
        <v>79.900000000000006</v>
      </c>
      <c r="H36" s="695">
        <v>46.9</v>
      </c>
      <c r="I36" s="515">
        <f t="shared" si="0"/>
        <v>206.70000000000002</v>
      </c>
      <c r="J36" s="516">
        <v>1</v>
      </c>
      <c r="K36" s="516">
        <v>2</v>
      </c>
      <c r="L36" s="516">
        <v>1</v>
      </c>
      <c r="N36" s="634"/>
      <c r="O36" s="634"/>
      <c r="P36" s="634"/>
      <c r="R36" s="644">
        <f t="shared" si="1"/>
        <v>0</v>
      </c>
      <c r="S36" s="638"/>
      <c r="T36" s="639"/>
      <c r="U36" s="795"/>
      <c r="V36" s="796"/>
      <c r="W36" s="143">
        <f t="shared" si="11"/>
        <v>0</v>
      </c>
      <c r="X36" s="143">
        <f t="shared" si="12"/>
        <v>0</v>
      </c>
      <c r="Y36" s="143">
        <f t="shared" si="13"/>
        <v>0</v>
      </c>
      <c r="Z36" s="143">
        <f t="shared" si="14"/>
        <v>0</v>
      </c>
      <c r="AA36" s="143">
        <f t="shared" si="15"/>
        <v>0</v>
      </c>
      <c r="AC36" s="131"/>
      <c r="AD36" s="572">
        <f t="shared" si="16"/>
        <v>0</v>
      </c>
      <c r="AE36" s="512"/>
      <c r="AF36" s="512"/>
      <c r="AG36" s="512"/>
      <c r="AH36" s="571"/>
      <c r="AI36" s="571"/>
      <c r="AJ36" s="571"/>
      <c r="AK36" s="306"/>
      <c r="AL36" s="306"/>
      <c r="AN36" s="131">
        <f>SUMIF('1.8-Glasbewassing'!AF:AF,'1.1a-Jaarprijzen'!#REF!,'1.8-Glasbewassing'!AY:AY)</f>
        <v>0</v>
      </c>
    </row>
    <row r="37" spans="2:40" s="43" customFormat="1" ht="22" hidden="1" customHeight="1">
      <c r="B37" s="306"/>
      <c r="C37" s="794"/>
      <c r="D37" s="124"/>
      <c r="E37" s="124"/>
      <c r="F37" s="695"/>
      <c r="G37" s="695"/>
      <c r="H37" s="695"/>
      <c r="I37" s="515"/>
      <c r="J37" s="516"/>
      <c r="K37" s="516"/>
      <c r="L37" s="516"/>
      <c r="N37" s="634"/>
      <c r="O37" s="634"/>
      <c r="P37" s="634"/>
      <c r="R37" s="644"/>
      <c r="S37" s="638"/>
      <c r="T37" s="639"/>
      <c r="U37" s="795"/>
      <c r="V37" s="796"/>
      <c r="W37" s="143"/>
      <c r="X37" s="143"/>
      <c r="Y37" s="143"/>
      <c r="Z37" s="143"/>
      <c r="AA37" s="143"/>
      <c r="AC37" s="131"/>
      <c r="AD37" s="572"/>
      <c r="AE37" s="512"/>
      <c r="AF37" s="512"/>
      <c r="AG37" s="512"/>
      <c r="AH37" s="571"/>
      <c r="AI37" s="571"/>
      <c r="AJ37" s="571"/>
      <c r="AK37" s="306"/>
      <c r="AL37" s="306"/>
    </row>
    <row r="38" spans="2:40" s="43" customFormat="1" ht="22" hidden="1" customHeight="1">
      <c r="B38" s="306"/>
      <c r="C38" s="306"/>
      <c r="D38" s="124"/>
      <c r="E38" s="124"/>
      <c r="F38" s="695"/>
      <c r="G38" s="695"/>
      <c r="H38" s="695"/>
      <c r="I38" s="515"/>
      <c r="J38" s="516"/>
      <c r="K38" s="516"/>
      <c r="L38" s="516"/>
      <c r="N38" s="634"/>
      <c r="O38" s="634"/>
      <c r="P38" s="634"/>
      <c r="R38" s="644"/>
      <c r="S38" s="638"/>
      <c r="T38" s="639"/>
      <c r="U38" s="795"/>
      <c r="V38" s="796"/>
      <c r="W38" s="143"/>
      <c r="X38" s="143"/>
      <c r="Y38" s="143"/>
      <c r="Z38" s="143"/>
      <c r="AA38" s="143"/>
      <c r="AC38" s="131"/>
      <c r="AD38" s="572"/>
      <c r="AE38" s="512"/>
      <c r="AF38" s="512"/>
      <c r="AG38" s="512"/>
      <c r="AH38" s="571"/>
      <c r="AI38" s="571"/>
      <c r="AJ38" s="571"/>
      <c r="AK38" s="306"/>
      <c r="AL38" s="306"/>
    </row>
    <row r="39" spans="2:40" s="43" customFormat="1" ht="22" hidden="1" customHeight="1">
      <c r="B39" s="306"/>
      <c r="C39" s="306"/>
      <c r="D39" s="124"/>
      <c r="E39" s="124"/>
      <c r="F39" s="695"/>
      <c r="G39" s="695"/>
      <c r="H39" s="695"/>
      <c r="I39" s="515"/>
      <c r="J39" s="516"/>
      <c r="K39" s="516"/>
      <c r="L39" s="516"/>
      <c r="N39" s="634"/>
      <c r="O39" s="634"/>
      <c r="P39" s="634"/>
      <c r="R39" s="644"/>
      <c r="S39" s="638"/>
      <c r="T39" s="639"/>
      <c r="U39" s="795"/>
      <c r="V39" s="796"/>
      <c r="W39" s="143"/>
      <c r="X39" s="143"/>
      <c r="Y39" s="143"/>
      <c r="Z39" s="143"/>
      <c r="AA39" s="143"/>
      <c r="AC39" s="131"/>
      <c r="AD39" s="572"/>
      <c r="AE39" s="512"/>
      <c r="AF39" s="512"/>
      <c r="AG39" s="512"/>
      <c r="AH39" s="571"/>
      <c r="AI39" s="571"/>
      <c r="AJ39" s="571"/>
      <c r="AK39" s="306"/>
      <c r="AL39" s="306"/>
    </row>
    <row r="40" spans="2:40" s="43" customFormat="1" ht="22" hidden="1" customHeight="1">
      <c r="B40" s="306"/>
      <c r="C40" s="306"/>
      <c r="D40" s="124"/>
      <c r="E40" s="124"/>
      <c r="F40" s="695"/>
      <c r="G40" s="695"/>
      <c r="H40" s="695"/>
      <c r="I40" s="515"/>
      <c r="J40" s="516"/>
      <c r="K40" s="516"/>
      <c r="L40" s="516"/>
      <c r="N40" s="775"/>
      <c r="O40" s="775"/>
      <c r="P40" s="775"/>
      <c r="R40" s="776"/>
      <c r="S40" s="777"/>
      <c r="T40" s="778"/>
      <c r="U40" s="779"/>
      <c r="V40" s="779"/>
      <c r="W40" s="143"/>
      <c r="X40" s="143"/>
      <c r="Y40" s="143"/>
      <c r="Z40" s="143"/>
      <c r="AA40" s="143"/>
      <c r="AC40" s="131"/>
      <c r="AD40" s="572"/>
      <c r="AE40" s="512"/>
      <c r="AF40" s="512"/>
      <c r="AG40" s="512"/>
      <c r="AH40" s="779"/>
      <c r="AI40" s="779"/>
      <c r="AJ40" s="779"/>
      <c r="AK40" s="306"/>
      <c r="AL40" s="306"/>
    </row>
    <row r="41" spans="2:40" s="43" customFormat="1" ht="22" customHeight="1">
      <c r="D41" s="124"/>
      <c r="E41" s="124"/>
      <c r="F41" s="514"/>
      <c r="G41" s="514"/>
      <c r="H41" s="514"/>
      <c r="I41" s="515"/>
      <c r="J41" s="516"/>
      <c r="K41" s="516"/>
      <c r="L41" s="516"/>
    </row>
    <row r="42" spans="2:40">
      <c r="H42" s="306"/>
      <c r="J42" s="511"/>
      <c r="M42" s="306"/>
      <c r="N42" s="517"/>
      <c r="O42" s="517"/>
      <c r="P42" s="517"/>
      <c r="AD42" s="512"/>
      <c r="AE42" s="512"/>
      <c r="AF42" s="512"/>
      <c r="AG42" s="512"/>
    </row>
    <row r="43" spans="2:40">
      <c r="D43" s="306" t="s">
        <v>345</v>
      </c>
      <c r="H43" s="306"/>
      <c r="J43" s="511"/>
      <c r="M43" s="306"/>
      <c r="N43" s="517"/>
      <c r="O43" s="517"/>
      <c r="R43" s="617" t="s">
        <v>362</v>
      </c>
      <c r="AD43" s="512"/>
      <c r="AE43" s="512"/>
      <c r="AF43" s="512"/>
      <c r="AG43" s="512"/>
    </row>
    <row r="44" spans="2:40"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AD44" s="512"/>
      <c r="AE44" s="512"/>
      <c r="AF44" s="512"/>
      <c r="AG44" s="512"/>
    </row>
    <row r="45" spans="2:40"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</row>
    <row r="46" spans="2:40">
      <c r="H46" s="306"/>
      <c r="J46" s="511"/>
      <c r="M46" s="306"/>
      <c r="N46" s="517"/>
      <c r="O46" s="517"/>
      <c r="P46" s="517"/>
    </row>
    <row r="47" spans="2:40">
      <c r="H47" s="306"/>
      <c r="J47" s="511"/>
      <c r="M47" s="306"/>
      <c r="N47" s="517"/>
      <c r="O47" s="517"/>
      <c r="P47" s="517"/>
    </row>
    <row r="48" spans="2:40">
      <c r="D48" s="621" t="s">
        <v>43</v>
      </c>
      <c r="H48" s="306"/>
      <c r="I48" s="511"/>
      <c r="J48" s="511"/>
      <c r="L48" s="306"/>
      <c r="M48" s="306"/>
      <c r="P48" s="306"/>
    </row>
    <row r="49" spans="4:16">
      <c r="D49" s="306" t="s">
        <v>366</v>
      </c>
      <c r="H49" s="306"/>
      <c r="I49" s="511"/>
      <c r="J49" s="511"/>
      <c r="L49" s="306"/>
      <c r="M49" s="306"/>
      <c r="P49" s="306"/>
    </row>
    <row r="50" spans="4:16">
      <c r="D50" s="306" t="s">
        <v>68</v>
      </c>
      <c r="H50" s="306"/>
      <c r="I50" s="511"/>
      <c r="J50" s="511"/>
      <c r="L50" s="306"/>
      <c r="M50" s="306"/>
      <c r="P50" s="306"/>
    </row>
    <row r="51" spans="4:16">
      <c r="H51" s="306"/>
      <c r="I51" s="511"/>
      <c r="J51" s="511"/>
      <c r="L51" s="306"/>
      <c r="M51" s="306"/>
      <c r="P51" s="306"/>
    </row>
    <row r="52" spans="4:16">
      <c r="H52" s="306"/>
      <c r="I52" s="511"/>
      <c r="J52" s="511"/>
      <c r="L52" s="306"/>
      <c r="M52" s="306"/>
      <c r="P52" s="306"/>
    </row>
    <row r="53" spans="4:16">
      <c r="D53" s="621" t="s">
        <v>367</v>
      </c>
      <c r="H53" s="306"/>
      <c r="I53" s="511"/>
      <c r="J53" s="511"/>
      <c r="L53" s="306"/>
      <c r="M53" s="306"/>
      <c r="P53" s="306"/>
    </row>
    <row r="54" spans="4:16">
      <c r="H54" s="306"/>
      <c r="I54" s="511"/>
      <c r="J54" s="511"/>
      <c r="L54" s="306"/>
      <c r="M54" s="306"/>
      <c r="P54" s="306"/>
    </row>
    <row r="55" spans="4:16">
      <c r="D55" s="621" t="s">
        <v>15</v>
      </c>
      <c r="H55" s="306"/>
      <c r="I55" s="511"/>
      <c r="J55" s="511"/>
      <c r="L55" s="306"/>
      <c r="M55" s="306"/>
      <c r="P55" s="306"/>
    </row>
    <row r="56" spans="4:16">
      <c r="D56" s="621" t="s">
        <v>368</v>
      </c>
      <c r="E56" s="306" t="s">
        <v>369</v>
      </c>
      <c r="H56" s="306"/>
      <c r="I56" s="511"/>
      <c r="J56" s="511"/>
      <c r="L56" s="306"/>
      <c r="M56" s="306"/>
      <c r="P56" s="306"/>
    </row>
    <row r="57" spans="4:16">
      <c r="D57" s="621"/>
      <c r="H57" s="306"/>
      <c r="I57" s="511"/>
      <c r="J57" s="511"/>
      <c r="L57" s="306"/>
      <c r="M57" s="306"/>
      <c r="P57" s="306"/>
    </row>
    <row r="58" spans="4:16">
      <c r="D58" s="621"/>
      <c r="E58" s="306" t="s">
        <v>370</v>
      </c>
      <c r="H58" s="306"/>
      <c r="I58" s="511"/>
      <c r="J58" s="511"/>
      <c r="L58" s="306"/>
      <c r="M58" s="306"/>
      <c r="P58" s="306"/>
    </row>
    <row r="59" spans="4:16">
      <c r="D59" s="621"/>
      <c r="H59" s="306"/>
      <c r="I59" s="511"/>
      <c r="J59" s="511"/>
      <c r="L59" s="306"/>
      <c r="M59" s="306"/>
      <c r="P59" s="306"/>
    </row>
    <row r="60" spans="4:16">
      <c r="D60" s="621" t="s">
        <v>371</v>
      </c>
      <c r="E60" s="306" t="s">
        <v>372</v>
      </c>
    </row>
    <row r="61" spans="4:16">
      <c r="D61" s="621"/>
      <c r="E61" s="306" t="s">
        <v>373</v>
      </c>
    </row>
    <row r="62" spans="4:16">
      <c r="E62" s="306" t="s">
        <v>374</v>
      </c>
    </row>
  </sheetData>
  <mergeCells count="20">
    <mergeCell ref="U20:V20"/>
    <mergeCell ref="U21:V21"/>
    <mergeCell ref="U22:V22"/>
    <mergeCell ref="U23:V23"/>
    <mergeCell ref="U24:V24"/>
    <mergeCell ref="U25:V25"/>
    <mergeCell ref="U26:V26"/>
    <mergeCell ref="U27:V27"/>
    <mergeCell ref="U28:V28"/>
    <mergeCell ref="U29:V29"/>
    <mergeCell ref="U37:V37"/>
    <mergeCell ref="U38:V38"/>
    <mergeCell ref="U39:V39"/>
    <mergeCell ref="U30:V30"/>
    <mergeCell ref="U31:V31"/>
    <mergeCell ref="U34:V34"/>
    <mergeCell ref="U32:V32"/>
    <mergeCell ref="U35:V35"/>
    <mergeCell ref="U36:V36"/>
    <mergeCell ref="U33:V33"/>
  </mergeCells>
  <conditionalFormatting sqref="N20:P40">
    <cfRule type="cellIs" dxfId="15" priority="29" operator="greaterThan">
      <formula>0</formula>
    </cfRule>
  </conditionalFormatting>
  <conditionalFormatting sqref="R20:R40">
    <cfRule type="cellIs" dxfId="14" priority="37" operator="greaterThan">
      <formula>0.01</formula>
    </cfRule>
  </conditionalFormatting>
  <conditionalFormatting sqref="S20:S40 AH20:AJ40">
    <cfRule type="cellIs" dxfId="13" priority="22" operator="greaterThan">
      <formula>0.01</formula>
    </cfRule>
  </conditionalFormatting>
  <conditionalFormatting sqref="AC20 AC31:AC40">
    <cfRule type="cellIs" dxfId="12" priority="35" operator="greaterThan">
      <formula>0</formula>
    </cfRule>
  </conditionalFormatting>
  <conditionalFormatting sqref="AC22:AC23">
    <cfRule type="cellIs" dxfId="11" priority="9" operator="greaterThan">
      <formula>0</formula>
    </cfRule>
  </conditionalFormatting>
  <conditionalFormatting sqref="AC25:AC26">
    <cfRule type="cellIs" dxfId="10" priority="10" operator="greaterThan">
      <formula>0</formula>
    </cfRule>
  </conditionalFormatting>
  <conditionalFormatting sqref="AC28:AC29">
    <cfRule type="cellIs" dxfId="9" priority="11" operator="greaterThan">
      <formula>0</formula>
    </cfRule>
  </conditionalFormatting>
  <conditionalFormatting sqref="AN20:AN25 AN35:AN36">
    <cfRule type="cellIs" dxfId="8" priority="18" operator="greaterThan">
      <formula>0</formula>
    </cfRule>
  </conditionalFormatting>
  <dataValidations disablePrompts="1" count="1">
    <dataValidation allowBlank="1" showInputMessage="1" showErrorMessage="1" promptTitle="Toelichting" prompt="Vul in deze gekleurde cellen de gevraagde informatie in._x000d_" sqref="B10" xr:uid="{3E66330E-FE8E-D442-93CC-453129DFEF8C}"/>
  </dataValidations>
  <pageMargins left="0.7" right="0.7" top="0.75" bottom="0.75" header="0.3" footer="0.3"/>
  <pageSetup paperSize="9" scale="54" orientation="landscape" horizontalDpi="0" verticalDpi="0"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F3747756217A4590CCCF7C7994B207" ma:contentTypeVersion="19" ma:contentTypeDescription="Een nieuw document maken." ma:contentTypeScope="" ma:versionID="5942428e7f4355efb922f985d1d6de33">
  <xsd:schema xmlns:xsd="http://www.w3.org/2001/XMLSchema" xmlns:xs="http://www.w3.org/2001/XMLSchema" xmlns:p="http://schemas.microsoft.com/office/2006/metadata/properties" xmlns:ns2="72b48375-7ee8-444e-84c0-4e65aeda0613" xmlns:ns3="a1344442-3a37-42dd-afd3-17e599cea5cd" targetNamespace="http://schemas.microsoft.com/office/2006/metadata/properties" ma:root="true" ma:fieldsID="e46727be359f8942ba002a3f358cbd9b" ns2:_="" ns3:_="">
    <xsd:import namespace="72b48375-7ee8-444e-84c0-4e65aeda0613"/>
    <xsd:import namespace="a1344442-3a37-42dd-afd3-17e599cea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Link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48375-7ee8-444e-84c0-4e65aeda0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d8b07bb-9a1c-481d-9490-58824569d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44442-3a37-42dd-afd3-17e599cea5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5f145-db48-431b-9bc9-31ca6ccad8df}" ma:internalName="TaxCatchAll" ma:showField="CatchAllData" ma:web="a1344442-3a37-42dd-afd3-17e599cea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E7FDAF-6648-4BF1-9E33-71A4CE485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18424D-293B-4E9F-B2BA-F2E0684FD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48375-7ee8-444e-84c0-4e65aeda0613"/>
    <ds:schemaRef ds:uri="a1344442-3a37-42dd-afd3-17e599cea5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52</vt:i4>
      </vt:variant>
    </vt:vector>
  </HeadingPairs>
  <TitlesOfParts>
    <vt:vector size="64" baseType="lpstr">
      <vt:lpstr>Toelichting Calculatiemodel</vt:lpstr>
      <vt:lpstr>Voorblad</vt:lpstr>
      <vt:lpstr>1.0-Contractblad</vt:lpstr>
      <vt:lpstr>1.1a-Jaarprijzen</vt:lpstr>
      <vt:lpstr>1.2-Kengetal</vt:lpstr>
      <vt:lpstr>1.3-Basis ruimtestaat</vt:lpstr>
      <vt:lpstr>1.3b Verrekening mutaties</vt:lpstr>
      <vt:lpstr>1. 3A-Mutaties</vt:lpstr>
      <vt:lpstr>1.4-Opbouw uurtarieven</vt:lpstr>
      <vt:lpstr>1.6-Machine-investeringskosten</vt:lpstr>
      <vt:lpstr>1.7-Afroepprijs</vt:lpstr>
      <vt:lpstr>1.8-Glasbewassing</vt:lpstr>
      <vt:lpstr>'1.0-Contractblad'!Afdrukbereik</vt:lpstr>
      <vt:lpstr>'1.1a-Jaarprijzen'!Afdrukbereik</vt:lpstr>
      <vt:lpstr>'1.2-Kengetal'!Afdrukbereik</vt:lpstr>
      <vt:lpstr>'1.4-Opbouw uurtarieven'!Afdrukbereik</vt:lpstr>
      <vt:lpstr>'1.6-Machine-investeringskosten'!Afdrukbereik</vt:lpstr>
      <vt:lpstr>'1.7-Afroepprijs'!Afdrukbereik</vt:lpstr>
      <vt:lpstr>'1.8-Glasbewassing'!Afdrukbereik</vt:lpstr>
      <vt:lpstr>'Toelichting Calculatiemodel'!Afdrukbereik</vt:lpstr>
      <vt:lpstr>Voorblad!Afdrukbereik</vt:lpstr>
      <vt:lpstr>'1. 3A-Mutaties'!Afdruktitels</vt:lpstr>
      <vt:lpstr>'1.0-Contractblad'!Afdruktitels</vt:lpstr>
      <vt:lpstr>'1.2-Kengetal'!Afdruktitels</vt:lpstr>
      <vt:lpstr>'1.3-Basis ruimtestaat'!Afdruktitels</vt:lpstr>
      <vt:lpstr>'1.6-Machine-investeringskosten'!Afdruktitels</vt:lpstr>
      <vt:lpstr>'1.7-Afroepprijs'!Afdruktitels</vt:lpstr>
      <vt:lpstr>'1. 3A-Mutaties'!Allelocaties</vt:lpstr>
      <vt:lpstr>Allelocaties</vt:lpstr>
      <vt:lpstr>'1.4-Opbouw uurtarieven'!BasisTarief</vt:lpstr>
      <vt:lpstr>basistarieftoez</vt:lpstr>
      <vt:lpstr>basistariefuit</vt:lpstr>
      <vt:lpstr>'1.4-Opbouw uurtarieven'!CatMedewschoonmaak</vt:lpstr>
      <vt:lpstr>'1. 3A-Mutaties'!Dataase3</vt:lpstr>
      <vt:lpstr>Dataase3</vt:lpstr>
      <vt:lpstr>'1. 3A-Mutaties'!Database</vt:lpstr>
      <vt:lpstr>Database</vt:lpstr>
      <vt:lpstr>'1. 3A-Mutaties'!database2</vt:lpstr>
      <vt:lpstr>database2</vt:lpstr>
      <vt:lpstr>Kengetal</vt:lpstr>
      <vt:lpstr>'1. 3A-Mutaties'!LOCATIE</vt:lpstr>
      <vt:lpstr>LOCATIE</vt:lpstr>
      <vt:lpstr>'1.4-Opbouw uurtarieven'!Loongroepen</vt:lpstr>
      <vt:lpstr>'1. 3A-Mutaties'!Meters</vt:lpstr>
      <vt:lpstr>Meters</vt:lpstr>
      <vt:lpstr>'1. 3A-Mutaties'!Perceel</vt:lpstr>
      <vt:lpstr>Perceel</vt:lpstr>
      <vt:lpstr>'1. 3A-Mutaties'!PERCEEL2</vt:lpstr>
      <vt:lpstr>PERCEEL2</vt:lpstr>
      <vt:lpstr>'1.4-Opbouw uurtarieven'!Tabel</vt:lpstr>
      <vt:lpstr>TariefGLAS</vt:lpstr>
      <vt:lpstr>'1.4-Opbouw uurtarieven'!tariefschoonmaak</vt:lpstr>
      <vt:lpstr>tariefSMO</vt:lpstr>
      <vt:lpstr>tariefTZ</vt:lpstr>
      <vt:lpstr>tarievenglas</vt:lpstr>
      <vt:lpstr>'1. 3A-Mutaties'!Totaal</vt:lpstr>
      <vt:lpstr>Totaal</vt:lpstr>
      <vt:lpstr>'1. 3A-Mutaties'!Totaal2</vt:lpstr>
      <vt:lpstr>Totaal2</vt:lpstr>
      <vt:lpstr>'1. 3A-Mutaties'!UREMAVR</vt:lpstr>
      <vt:lpstr>UREMAVR</vt:lpstr>
      <vt:lpstr>'1. 3A-Mutaties'!URENEWEEKEND</vt:lpstr>
      <vt:lpstr>'1. 3A-Mutaties'!URENNALOOP</vt:lpstr>
      <vt:lpstr>URENNALOOP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van leijen</dc:creator>
  <cp:lastModifiedBy>ICCA</cp:lastModifiedBy>
  <cp:lastPrinted>2026-08-31T06:48:58Z</cp:lastPrinted>
  <dcterms:created xsi:type="dcterms:W3CDTF">1999-10-05T12:28:40Z</dcterms:created>
  <dcterms:modified xsi:type="dcterms:W3CDTF">2026-10-08T11:49:18Z</dcterms:modified>
</cp:coreProperties>
</file>