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tkadaster-my.sharepoint.com/personal/jeroen_vandereijk_kadaster_nl/Documents/Bureaublad/Kostenallocatie/Marktconsultatie/"/>
    </mc:Choice>
  </mc:AlternateContent>
  <xr:revisionPtr revIDLastSave="0" documentId="8_{77E96343-EDF5-49E9-8721-089FF21E08D6}" xr6:coauthVersionLast="47" xr6:coauthVersionMax="47" xr10:uidLastSave="{00000000-0000-0000-0000-000000000000}"/>
  <bookViews>
    <workbookView xWindow="-120" yWindow="-120" windowWidth="29040" windowHeight="17520" firstSheet="3" activeTab="3" xr2:uid="{109BB499-AD45-492B-8C07-2F4B7C0C725D}"/>
  </bookViews>
  <sheets>
    <sheet name="Voorbewerking" sheetId="1" r:id="rId1"/>
    <sheet name="Verdeelsleutels" sheetId="4" r:id="rId2"/>
    <sheet name="Omzet" sheetId="2" r:id="rId3"/>
    <sheet name="Kostenallocatie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Y9" i="3" l="1"/>
  <c r="BY7" i="3"/>
  <c r="BY5" i="3"/>
  <c r="BY6" i="3"/>
  <c r="BY3" i="3"/>
  <c r="BW5" i="3"/>
  <c r="BW7" i="3" s="1"/>
  <c r="BW9" i="3" s="1"/>
  <c r="BX5" i="3"/>
  <c r="BX7" i="3" s="1"/>
  <c r="BX9" i="3" s="1"/>
  <c r="BW6" i="3"/>
  <c r="BX6" i="3"/>
  <c r="BV9" i="3"/>
  <c r="BV7" i="3"/>
  <c r="BV6" i="3"/>
  <c r="BV5" i="3"/>
  <c r="BW3" i="3"/>
  <c r="BX3" i="3"/>
  <c r="BV3" i="3"/>
  <c r="BQ40" i="3"/>
  <c r="BP40" i="3"/>
  <c r="BO40" i="3"/>
  <c r="D40" i="4"/>
  <c r="C40" i="4"/>
  <c r="D39" i="4"/>
  <c r="E39" i="4"/>
  <c r="C39" i="4"/>
  <c r="BE29" i="3"/>
  <c r="BE30" i="3"/>
  <c r="BE33" i="3"/>
  <c r="BE34" i="3"/>
  <c r="BE31" i="3"/>
  <c r="BE28" i="3"/>
  <c r="BE4" i="3"/>
  <c r="BE5" i="3"/>
  <c r="BE6" i="3"/>
  <c r="BE7" i="3"/>
  <c r="BE8" i="3"/>
  <c r="BE9" i="3"/>
  <c r="BE10" i="3"/>
  <c r="BE11" i="3"/>
  <c r="BE12" i="3"/>
  <c r="BE13" i="3"/>
  <c r="BE14" i="3"/>
  <c r="BE15" i="3"/>
  <c r="BE16" i="3"/>
  <c r="BE17" i="3"/>
  <c r="BE18" i="3"/>
  <c r="BE19" i="3"/>
  <c r="BE3" i="3"/>
  <c r="E33" i="1"/>
  <c r="H24" i="3" s="1"/>
  <c r="Y8" i="3" s="1"/>
  <c r="D15" i="4"/>
  <c r="AX6" i="3" s="1"/>
  <c r="D11" i="4"/>
  <c r="AX4" i="3" s="1"/>
  <c r="D12" i="4"/>
  <c r="AX5" i="3" s="1"/>
  <c r="D13" i="4"/>
  <c r="AX12" i="3" s="1"/>
  <c r="D14" i="4"/>
  <c r="AX13" i="3" s="1"/>
  <c r="D10" i="4"/>
  <c r="AX3" i="3" s="1"/>
  <c r="C15" i="4"/>
  <c r="AP6" i="3" s="1"/>
  <c r="C11" i="4"/>
  <c r="AP4" i="3" s="1"/>
  <c r="C12" i="4"/>
  <c r="AP5" i="3" s="1"/>
  <c r="C13" i="4"/>
  <c r="AP12" i="3" s="1"/>
  <c r="C14" i="4"/>
  <c r="AP13" i="3" s="1"/>
  <c r="C10" i="4"/>
  <c r="AP3" i="3" s="1"/>
  <c r="Z22" i="3"/>
  <c r="Z23" i="3"/>
  <c r="Z24" i="3"/>
  <c r="Z21" i="3"/>
  <c r="J41" i="1"/>
  <c r="J42" i="1"/>
  <c r="J43" i="1"/>
  <c r="J44" i="1"/>
  <c r="J45" i="1"/>
  <c r="J46" i="1"/>
  <c r="J47" i="1"/>
  <c r="J48" i="1"/>
  <c r="J40" i="1"/>
  <c r="B27" i="4"/>
  <c r="T18" i="3"/>
  <c r="T17" i="3"/>
  <c r="T16" i="3"/>
  <c r="T9" i="3"/>
  <c r="T8" i="3"/>
  <c r="T7" i="3"/>
  <c r="E7" i="4"/>
  <c r="F7" i="4"/>
  <c r="S13" i="3"/>
  <c r="S14" i="3" s="1"/>
  <c r="S4" i="3"/>
  <c r="S5" i="3" s="1"/>
  <c r="N12" i="3"/>
  <c r="N11" i="3"/>
  <c r="N10" i="3"/>
  <c r="C3" i="4"/>
  <c r="N23" i="3" s="1"/>
  <c r="C4" i="4"/>
  <c r="C5" i="4"/>
  <c r="C6" i="4"/>
  <c r="N24" i="3" s="1"/>
  <c r="C2" i="4"/>
  <c r="N22" i="3" s="1"/>
  <c r="B2" i="4"/>
  <c r="D7" i="4"/>
  <c r="B3" i="4"/>
  <c r="B4" i="4"/>
  <c r="B5" i="4"/>
  <c r="B6" i="4"/>
  <c r="H27" i="3"/>
  <c r="AI23" i="3" s="1"/>
  <c r="AO31" i="3" s="1"/>
  <c r="H26" i="3"/>
  <c r="AI9" i="3" s="1"/>
  <c r="AO24" i="3" s="1"/>
  <c r="H23" i="3"/>
  <c r="Y7" i="3" s="1"/>
  <c r="H22" i="3"/>
  <c r="M7" i="3" s="1"/>
  <c r="H21" i="3"/>
  <c r="M19" i="3" s="1"/>
  <c r="H18" i="3"/>
  <c r="AI6" i="3" s="1"/>
  <c r="AO22" i="3" s="1"/>
  <c r="H3" i="3"/>
  <c r="AI3" i="3" s="1"/>
  <c r="AO20" i="3" s="1"/>
  <c r="H4" i="3"/>
  <c r="AI20" i="3" s="1"/>
  <c r="AO29" i="3" s="1"/>
  <c r="H5" i="3"/>
  <c r="M4" i="3" s="1"/>
  <c r="H6" i="3"/>
  <c r="M16" i="3" s="1"/>
  <c r="H7" i="3"/>
  <c r="Y4" i="3" s="1"/>
  <c r="C7" i="1"/>
  <c r="D20" i="2"/>
  <c r="E20" i="2" s="1"/>
  <c r="F20" i="2" s="1"/>
  <c r="D17" i="2"/>
  <c r="E17" i="2" s="1"/>
  <c r="F17" i="2" s="1"/>
  <c r="D18" i="2"/>
  <c r="E18" i="2" s="1"/>
  <c r="F18" i="2" s="1"/>
  <c r="D16" i="2"/>
  <c r="E16" i="2" s="1"/>
  <c r="F16" i="2" s="1"/>
  <c r="D13" i="2"/>
  <c r="E13" i="2" s="1"/>
  <c r="F13" i="2" s="1"/>
  <c r="D14" i="2"/>
  <c r="E14" i="2" s="1"/>
  <c r="F14" i="2" s="1"/>
  <c r="D12" i="2"/>
  <c r="E12" i="2" s="1"/>
  <c r="F12" i="2" s="1"/>
  <c r="E3" i="2"/>
  <c r="F3" i="2"/>
  <c r="E4" i="2"/>
  <c r="F4" i="2"/>
  <c r="F2" i="2"/>
  <c r="E2" i="2"/>
  <c r="E34" i="1" l="1"/>
  <c r="C12" i="3"/>
  <c r="AP15" i="3"/>
  <c r="AQ13" i="3" s="1"/>
  <c r="AX7" i="3"/>
  <c r="AX14" i="3"/>
  <c r="AQ12" i="3"/>
  <c r="AP16" i="3"/>
  <c r="AR13" i="3" s="1"/>
  <c r="C16" i="4"/>
  <c r="D16" i="4"/>
  <c r="AP9" i="3"/>
  <c r="AR3" i="3" s="1"/>
  <c r="AP8" i="3"/>
  <c r="AQ3" i="3" s="1"/>
  <c r="Z25" i="3"/>
  <c r="T10" i="3"/>
  <c r="S8" i="3" s="1"/>
  <c r="AI29" i="3" s="1"/>
  <c r="N13" i="3"/>
  <c r="T19" i="3"/>
  <c r="S17" i="3" s="1"/>
  <c r="AI30" i="3" s="1"/>
  <c r="C7" i="4"/>
  <c r="B7" i="4"/>
  <c r="N25" i="3"/>
  <c r="F5" i="2"/>
  <c r="D3" i="1" s="1"/>
  <c r="E5" i="2"/>
  <c r="C3" i="1" s="1"/>
  <c r="F21" i="2"/>
  <c r="E21" i="2"/>
  <c r="D6" i="1"/>
  <c r="C6" i="3" s="1"/>
  <c r="D7" i="1"/>
  <c r="C9" i="3" s="1"/>
  <c r="C10" i="3"/>
  <c r="C11" i="3"/>
  <c r="D10" i="1"/>
  <c r="C14" i="3" s="1"/>
  <c r="C3" i="3"/>
  <c r="C5" i="1"/>
  <c r="C8" i="1"/>
  <c r="C9" i="1"/>
  <c r="C10" i="1"/>
  <c r="F49" i="1"/>
  <c r="E49" i="1"/>
  <c r="H48" i="1"/>
  <c r="I35" i="1"/>
  <c r="G35" i="1"/>
  <c r="G41" i="1"/>
  <c r="H41" i="1" s="1"/>
  <c r="G42" i="1"/>
  <c r="H42" i="1" s="1"/>
  <c r="G43" i="1"/>
  <c r="H43" i="1" s="1"/>
  <c r="G44" i="1"/>
  <c r="H44" i="1" s="1"/>
  <c r="G45" i="1"/>
  <c r="H45" i="1" s="1"/>
  <c r="F83" i="1" s="1"/>
  <c r="G83" i="1" s="1"/>
  <c r="K45" i="1" s="1"/>
  <c r="H10" i="3" s="1"/>
  <c r="M5" i="3" s="1"/>
  <c r="G46" i="1"/>
  <c r="H46" i="1" s="1"/>
  <c r="F85" i="1" s="1"/>
  <c r="G85" i="1" s="1"/>
  <c r="K46" i="1" s="1"/>
  <c r="H11" i="3" s="1"/>
  <c r="M17" i="3" s="1"/>
  <c r="G47" i="1"/>
  <c r="H47" i="1" s="1"/>
  <c r="F87" i="1" s="1"/>
  <c r="G87" i="1" s="1"/>
  <c r="K47" i="1" s="1"/>
  <c r="H12" i="3" s="1"/>
  <c r="H17" i="3" s="1"/>
  <c r="Y6" i="3" s="1"/>
  <c r="G40" i="1"/>
  <c r="H40" i="1" s="1"/>
  <c r="F35" i="1"/>
  <c r="E35" i="1"/>
  <c r="D35" i="1"/>
  <c r="H28" i="1"/>
  <c r="H25" i="1"/>
  <c r="H31" i="1"/>
  <c r="H19" i="1"/>
  <c r="H22" i="1"/>
  <c r="H18" i="1"/>
  <c r="AV13" i="3" l="1"/>
  <c r="AU13" i="3"/>
  <c r="AU12" i="3"/>
  <c r="AU14" i="3" s="1"/>
  <c r="AR12" i="3"/>
  <c r="AV12" i="3"/>
  <c r="H25" i="3"/>
  <c r="C13" i="3"/>
  <c r="H15" i="3"/>
  <c r="M6" i="3" s="1"/>
  <c r="M8" i="3" s="1"/>
  <c r="M11" i="3" s="1"/>
  <c r="AI27" i="3" s="1"/>
  <c r="AS13" i="3" s="1"/>
  <c r="AQ6" i="3"/>
  <c r="H16" i="3"/>
  <c r="M18" i="3" s="1"/>
  <c r="M20" i="3" s="1"/>
  <c r="M24" i="3" s="1"/>
  <c r="F62" i="1"/>
  <c r="G62" i="1" s="1"/>
  <c r="F59" i="1"/>
  <c r="G59" i="1" s="1"/>
  <c r="F61" i="1"/>
  <c r="G61" i="1" s="1"/>
  <c r="F60" i="1"/>
  <c r="G60" i="1" s="1"/>
  <c r="F57" i="1"/>
  <c r="G57" i="1" s="1"/>
  <c r="F54" i="1"/>
  <c r="G54" i="1" s="1"/>
  <c r="F55" i="1"/>
  <c r="G55" i="1" s="1"/>
  <c r="F56" i="1"/>
  <c r="G56" i="1" s="1"/>
  <c r="AR5" i="3"/>
  <c r="F64" i="1"/>
  <c r="G64" i="1" s="1"/>
  <c r="K42" i="1" s="1"/>
  <c r="AO5" i="3" s="1"/>
  <c r="F65" i="1"/>
  <c r="G65" i="1" s="1"/>
  <c r="F67" i="1"/>
  <c r="G67" i="1" s="1"/>
  <c r="F66" i="1"/>
  <c r="G66" i="1" s="1"/>
  <c r="AQ5" i="3"/>
  <c r="F75" i="1"/>
  <c r="G75" i="1" s="1"/>
  <c r="F76" i="1"/>
  <c r="G76" i="1" s="1"/>
  <c r="F73" i="1"/>
  <c r="G73" i="1" s="1"/>
  <c r="K44" i="1" s="1"/>
  <c r="AO13" i="3" s="1"/>
  <c r="F74" i="1"/>
  <c r="G74" i="1" s="1"/>
  <c r="AQ4" i="3"/>
  <c r="Y5" i="3"/>
  <c r="Y9" i="3" s="1"/>
  <c r="F81" i="1"/>
  <c r="G81" i="1" s="1"/>
  <c r="F78" i="1"/>
  <c r="G78" i="1" s="1"/>
  <c r="K48" i="1" s="1"/>
  <c r="F79" i="1"/>
  <c r="G79" i="1" s="1"/>
  <c r="F80" i="1"/>
  <c r="G80" i="1" s="1"/>
  <c r="F70" i="1"/>
  <c r="G70" i="1" s="1"/>
  <c r="F71" i="1"/>
  <c r="G71" i="1" s="1"/>
  <c r="F69" i="1"/>
  <c r="G69" i="1" s="1"/>
  <c r="AR4" i="3"/>
  <c r="S9" i="3"/>
  <c r="Y14" i="3" s="1"/>
  <c r="S18" i="3"/>
  <c r="Y15" i="3" s="1"/>
  <c r="S16" i="3"/>
  <c r="S7" i="3"/>
  <c r="C11" i="1"/>
  <c r="D11" i="1"/>
  <c r="D13" i="1" s="1"/>
  <c r="G49" i="1"/>
  <c r="H35" i="1"/>
  <c r="AV14" i="3" l="1"/>
  <c r="M23" i="3"/>
  <c r="AI28" i="3" s="1"/>
  <c r="M22" i="3"/>
  <c r="AI14" i="3" s="1"/>
  <c r="AT4" i="3" s="1"/>
  <c r="K41" i="1"/>
  <c r="AO4" i="3" s="1"/>
  <c r="K43" i="1"/>
  <c r="H9" i="3" s="1"/>
  <c r="H19" i="3"/>
  <c r="AO6" i="3"/>
  <c r="C7" i="3"/>
  <c r="C8" i="3" s="1"/>
  <c r="AS12" i="3"/>
  <c r="AS14" i="3" s="1"/>
  <c r="K40" i="1"/>
  <c r="S10" i="3"/>
  <c r="AI15" i="3"/>
  <c r="AU4" i="3" s="1"/>
  <c r="S19" i="3"/>
  <c r="AI16" i="3"/>
  <c r="AV5" i="3" s="1"/>
  <c r="M12" i="3"/>
  <c r="Y12" i="3" s="1"/>
  <c r="Y13" i="3"/>
  <c r="M10" i="3"/>
  <c r="AI13" i="3" s="1"/>
  <c r="AS5" i="3" s="1"/>
  <c r="C13" i="1"/>
  <c r="AV3" i="3" l="1"/>
  <c r="AV6" i="3"/>
  <c r="AV4" i="3"/>
  <c r="AU3" i="3"/>
  <c r="AU6" i="3"/>
  <c r="AU5" i="3"/>
  <c r="AT5" i="3"/>
  <c r="AW5" i="3" s="1"/>
  <c r="AY5" i="3" s="1"/>
  <c r="Y16" i="3"/>
  <c r="Y17" i="3" s="1"/>
  <c r="Y22" i="3" s="1"/>
  <c r="AD4" i="3" s="1"/>
  <c r="AO37" i="3" s="1"/>
  <c r="BG21" i="3" s="1"/>
  <c r="AO12" i="3"/>
  <c r="AO14" i="3" s="1"/>
  <c r="AO3" i="3"/>
  <c r="H8" i="3"/>
  <c r="C4" i="3"/>
  <c r="H14" i="3"/>
  <c r="AI22" i="3" s="1"/>
  <c r="AI21" i="3"/>
  <c r="AI31" i="3"/>
  <c r="AT12" i="3"/>
  <c r="AT13" i="3"/>
  <c r="AW13" i="3" s="1"/>
  <c r="AY13" i="3" s="1"/>
  <c r="AT6" i="3"/>
  <c r="AT3" i="3"/>
  <c r="AS3" i="3"/>
  <c r="AS6" i="3"/>
  <c r="H20" i="3"/>
  <c r="AI8" i="3" s="1"/>
  <c r="AI7" i="3"/>
  <c r="AO23" i="3" s="1"/>
  <c r="AS4" i="3"/>
  <c r="AW4" i="3" s="1"/>
  <c r="AY4" i="3" s="1"/>
  <c r="M13" i="3"/>
  <c r="AI17" i="3"/>
  <c r="M25" i="3"/>
  <c r="BO21" i="3" l="1"/>
  <c r="BQ21" i="3"/>
  <c r="BP21" i="3"/>
  <c r="AV7" i="3"/>
  <c r="BF30" i="3"/>
  <c r="BG30" i="3" s="1"/>
  <c r="BF12" i="3"/>
  <c r="BG12" i="3" s="1"/>
  <c r="BF13" i="3"/>
  <c r="BG13" i="3" s="1"/>
  <c r="BF14" i="3"/>
  <c r="BG14" i="3" s="1"/>
  <c r="AU7" i="3"/>
  <c r="BF34" i="3"/>
  <c r="BG34" i="3" s="1"/>
  <c r="BF18" i="3"/>
  <c r="BG18" i="3" s="1"/>
  <c r="BF19" i="3"/>
  <c r="BG19" i="3" s="1"/>
  <c r="BF17" i="3"/>
  <c r="BG17" i="3" s="1"/>
  <c r="BF29" i="3"/>
  <c r="BG29" i="3" s="1"/>
  <c r="BF8" i="3"/>
  <c r="BG8" i="3" s="1"/>
  <c r="BF6" i="3"/>
  <c r="BG6" i="3" s="1"/>
  <c r="BF7" i="3"/>
  <c r="BG7" i="3" s="1"/>
  <c r="Y24" i="3"/>
  <c r="AD6" i="3" s="1"/>
  <c r="AO39" i="3" s="1"/>
  <c r="BG23" i="3" s="1"/>
  <c r="Y21" i="3"/>
  <c r="AD3" i="3" s="1"/>
  <c r="AT7" i="3"/>
  <c r="Y23" i="3"/>
  <c r="AD5" i="3" s="1"/>
  <c r="AO38" i="3" s="1"/>
  <c r="BG22" i="3" s="1"/>
  <c r="AW6" i="3"/>
  <c r="AY6" i="3" s="1"/>
  <c r="AS7" i="3"/>
  <c r="AO30" i="3"/>
  <c r="AO32" i="3" s="1"/>
  <c r="BG35" i="3" s="1"/>
  <c r="AI24" i="3"/>
  <c r="AI32" i="3" s="1"/>
  <c r="C5" i="3"/>
  <c r="C15" i="3" s="1"/>
  <c r="AI4" i="3"/>
  <c r="H13" i="3"/>
  <c r="AI5" i="3" s="1"/>
  <c r="AT14" i="3"/>
  <c r="AW12" i="3"/>
  <c r="AO7" i="3"/>
  <c r="AW3" i="3"/>
  <c r="BP6" i="3" l="1"/>
  <c r="BQ6" i="3"/>
  <c r="BO6" i="3"/>
  <c r="BR6" i="3" s="1"/>
  <c r="BP8" i="3"/>
  <c r="BO8" i="3"/>
  <c r="BQ8" i="3"/>
  <c r="BP22" i="3"/>
  <c r="BQ22" i="3"/>
  <c r="BO22" i="3"/>
  <c r="BQ19" i="3"/>
  <c r="BO19" i="3"/>
  <c r="BP19" i="3"/>
  <c r="BQ23" i="3"/>
  <c r="BO23" i="3"/>
  <c r="BP23" i="3"/>
  <c r="BP14" i="3"/>
  <c r="BQ14" i="3"/>
  <c r="BO14" i="3"/>
  <c r="BO13" i="3"/>
  <c r="BP13" i="3"/>
  <c r="BQ13" i="3"/>
  <c r="BO12" i="3"/>
  <c r="BP12" i="3"/>
  <c r="BQ12" i="3"/>
  <c r="BO17" i="3"/>
  <c r="BP17" i="3"/>
  <c r="BQ17" i="3"/>
  <c r="BP18" i="3"/>
  <c r="BQ18" i="3"/>
  <c r="BO18" i="3"/>
  <c r="BR18" i="3" s="1"/>
  <c r="BP7" i="3"/>
  <c r="BQ7" i="3"/>
  <c r="BO7" i="3"/>
  <c r="BR21" i="3"/>
  <c r="BF10" i="3"/>
  <c r="BG10" i="3" s="1"/>
  <c r="BF31" i="3"/>
  <c r="BG31" i="3" s="1"/>
  <c r="BF11" i="3"/>
  <c r="BG11" i="3" s="1"/>
  <c r="BF9" i="3"/>
  <c r="BG9" i="3" s="1"/>
  <c r="Y25" i="3"/>
  <c r="H28" i="3"/>
  <c r="AO21" i="3"/>
  <c r="AI10" i="3"/>
  <c r="AI18" i="3" s="1"/>
  <c r="AW7" i="3"/>
  <c r="AY3" i="3"/>
  <c r="AW14" i="3"/>
  <c r="AY12" i="3"/>
  <c r="AD7" i="3"/>
  <c r="AO36" i="3"/>
  <c r="BR12" i="3" l="1"/>
  <c r="BQ11" i="3"/>
  <c r="BO11" i="3"/>
  <c r="BP11" i="3"/>
  <c r="BR19" i="3"/>
  <c r="BO9" i="3"/>
  <c r="BP9" i="3"/>
  <c r="BQ9" i="3"/>
  <c r="BR23" i="3"/>
  <c r="BR8" i="3"/>
  <c r="BP10" i="3"/>
  <c r="BQ10" i="3"/>
  <c r="BO10" i="3"/>
  <c r="BR13" i="3"/>
  <c r="BR14" i="3"/>
  <c r="BR7" i="3"/>
  <c r="BR17" i="3"/>
  <c r="BR22" i="3"/>
  <c r="AO40" i="3"/>
  <c r="BG20" i="3"/>
  <c r="BF16" i="3"/>
  <c r="BG16" i="3" s="1"/>
  <c r="BF33" i="3"/>
  <c r="BG33" i="3" s="1"/>
  <c r="BF15" i="3"/>
  <c r="BG15" i="3" s="1"/>
  <c r="BF28" i="3"/>
  <c r="BG28" i="3" s="1"/>
  <c r="BF4" i="3"/>
  <c r="BG4" i="3" s="1"/>
  <c r="BF5" i="3"/>
  <c r="BG5" i="3" s="1"/>
  <c r="BF3" i="3"/>
  <c r="BG3" i="3" s="1"/>
  <c r="AO25" i="3"/>
  <c r="BR10" i="3" l="1"/>
  <c r="BP15" i="3"/>
  <c r="BQ15" i="3"/>
  <c r="BO15" i="3"/>
  <c r="BR15" i="3" s="1"/>
  <c r="BR9" i="3"/>
  <c r="BO16" i="3"/>
  <c r="BP16" i="3"/>
  <c r="BQ16" i="3"/>
  <c r="BO20" i="3"/>
  <c r="BQ20" i="3"/>
  <c r="BP20" i="3"/>
  <c r="BP3" i="3"/>
  <c r="BQ3" i="3"/>
  <c r="BO3" i="3"/>
  <c r="BR11" i="3"/>
  <c r="BO5" i="3"/>
  <c r="BP5" i="3"/>
  <c r="BQ5" i="3"/>
  <c r="BO4" i="3"/>
  <c r="BP4" i="3"/>
  <c r="BQ4" i="3"/>
  <c r="AO43" i="3"/>
  <c r="BG32" i="3"/>
  <c r="BG36" i="3" s="1"/>
  <c r="BG24" i="3"/>
  <c r="BR20" i="3" l="1"/>
  <c r="BR5" i="3"/>
  <c r="BO24" i="3"/>
  <c r="BR3" i="3"/>
  <c r="BP24" i="3"/>
  <c r="BR16" i="3"/>
  <c r="BQ24" i="3"/>
  <c r="BR4" i="3"/>
  <c r="BK31" i="3" l="1"/>
  <c r="BK34" i="3"/>
  <c r="BK35" i="3"/>
  <c r="BK30" i="3"/>
  <c r="BK33" i="3"/>
  <c r="BK29" i="3"/>
  <c r="BK32" i="3"/>
  <c r="BK28" i="3"/>
  <c r="BJ34" i="3"/>
  <c r="BJ29" i="3"/>
  <c r="BJ35" i="3"/>
  <c r="BJ30" i="3"/>
  <c r="BJ33" i="3"/>
  <c r="BJ28" i="3"/>
  <c r="BJ32" i="3"/>
  <c r="BJ31" i="3"/>
  <c r="BR24" i="3"/>
  <c r="BI29" i="3"/>
  <c r="BI28" i="3"/>
  <c r="BI32" i="3"/>
  <c r="BI33" i="3"/>
  <c r="BI34" i="3"/>
  <c r="BI35" i="3"/>
  <c r="BI30" i="3"/>
  <c r="BI31" i="3"/>
  <c r="BL34" i="3" l="1"/>
  <c r="BO34" i="3" s="1"/>
  <c r="BL33" i="3"/>
  <c r="BP33" i="3" s="1"/>
  <c r="BO33" i="3"/>
  <c r="BL32" i="3"/>
  <c r="BP32" i="3" s="1"/>
  <c r="BO32" i="3"/>
  <c r="BQ33" i="3"/>
  <c r="BL29" i="3"/>
  <c r="BO29" i="3" s="1"/>
  <c r="BL30" i="3"/>
  <c r="BP30" i="3" s="1"/>
  <c r="BL35" i="3"/>
  <c r="BP35" i="3" s="1"/>
  <c r="BL28" i="3"/>
  <c r="BQ28" i="3" s="1"/>
  <c r="BL31" i="3"/>
  <c r="BP31" i="3" s="1"/>
  <c r="BO31" i="3"/>
  <c r="BP34" i="3" l="1"/>
  <c r="BQ30" i="3"/>
  <c r="BO30" i="3"/>
  <c r="BP28" i="3"/>
  <c r="BQ31" i="3"/>
  <c r="BR32" i="3"/>
  <c r="BR31" i="3"/>
  <c r="BO35" i="3"/>
  <c r="BR33" i="3"/>
  <c r="BQ29" i="3"/>
  <c r="BQ32" i="3"/>
  <c r="BO28" i="3"/>
  <c r="BQ34" i="3"/>
  <c r="BP29" i="3"/>
  <c r="BQ35" i="3"/>
  <c r="BR30" i="3" l="1"/>
  <c r="BQ36" i="3"/>
  <c r="BR34" i="3"/>
  <c r="BR29" i="3"/>
  <c r="BP36" i="3"/>
  <c r="BR35" i="3"/>
  <c r="BR28" i="3"/>
  <c r="BO36" i="3"/>
  <c r="BR3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Steenbergen, Daan van</author>
  </authors>
  <commentList>
    <comment ref="A16" authorId="0" shapeId="0" xr:uid="{FF44A8F3-87E3-4B24-8B9F-DBB5565550A6}">
      <text>
        <r>
          <rPr>
            <b/>
            <sz val="9"/>
            <color indexed="81"/>
            <rFont val="Tahoma"/>
            <family val="2"/>
          </rPr>
          <t>Opmerkingen:</t>
        </r>
        <r>
          <rPr>
            <sz val="9"/>
            <color indexed="81"/>
            <rFont val="Tahoma"/>
            <family val="2"/>
          </rPr>
          <t xml:space="preserve">
* fte en headcount zijn qua planning en realisatie aan elkaar gelijk
per fte is in planning wel rekening gehouden met 1.000 uur/fte maar in de realisatie kan dit verschillen zonder dat hier extra kosten tegenover staan, bijvoorbeeld meer of minder verlof opnemen
* headcount is aantal medewerkers</t>
        </r>
      </text>
    </comment>
    <comment ref="A38" authorId="0" shapeId="0" xr:uid="{DDE6EEF9-572E-460A-A479-78E9617F5FBE}">
      <text>
        <r>
          <rPr>
            <b/>
            <sz val="9"/>
            <color indexed="81"/>
            <rFont val="Tahoma"/>
            <family val="2"/>
          </rPr>
          <t>Opmerkingen:</t>
        </r>
        <r>
          <rPr>
            <sz val="9"/>
            <color indexed="81"/>
            <rFont val="Tahoma"/>
            <family val="2"/>
          </rPr>
          <t xml:space="preserve">
* het uurtarief wordt berekend op basis van de planning -&gt; budget voorcalc / uren voorcalc
* de gerealiseerde uurkosten worden berekend op basis van de verantwoorde uren tegen voorcalc uurtarief</t>
        </r>
      </text>
    </comment>
    <comment ref="A52" authorId="0" shapeId="0" xr:uid="{28AE38BF-A288-4609-995E-5E87F6B2DD67}">
      <text>
        <r>
          <rPr>
            <b/>
            <sz val="9"/>
            <color indexed="81"/>
            <rFont val="Tahoma"/>
            <family val="2"/>
          </rPr>
          <t>Opmerkingen:</t>
        </r>
        <r>
          <rPr>
            <sz val="9"/>
            <color indexed="81"/>
            <rFont val="Tahoma"/>
            <family val="2"/>
          </rPr>
          <t xml:space="preserve">
* uurkosten zijn de uurkosten zoals deze in de bron (administratie) zijn opgenomen op basis van verantwoorde uren tegen voorcalculatorisch uurtarief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Steenbergen, Daan van</author>
  </authors>
  <commentList>
    <comment ref="A19" authorId="0" shapeId="0" xr:uid="{39A5B286-3ED4-42ED-8261-7517DB92BA4E}">
      <text>
        <r>
          <rPr>
            <b/>
            <sz val="9"/>
            <color indexed="81"/>
            <rFont val="Tahoma"/>
            <family val="2"/>
          </rPr>
          <t>Opmerkingen:</t>
        </r>
        <r>
          <rPr>
            <sz val="9"/>
            <color indexed="81"/>
            <rFont val="Tahoma"/>
            <family val="2"/>
          </rPr>
          <t xml:space="preserve">
* De kosten per IT-dienst worden één op één overgenomen uit het model KAM dat IT hanteert.
* In het model KAM worden alle kosten van IT aan de IT-diensten gealloceerd.
* De IT-diensten IT-werkplekken en mobile devices worden toegerekend aan alle kostenplaatsen behalve facilitair en P&amp;O.</t>
        </r>
      </text>
    </comment>
  </commentList>
</comments>
</file>

<file path=xl/sharedStrings.xml><?xml version="1.0" encoding="utf-8"?>
<sst xmlns="http://schemas.openxmlformats.org/spreadsheetml/2006/main" count="682" uniqueCount="153">
  <si>
    <t>W&amp;V</t>
  </si>
  <si>
    <t>Grootboekrekening</t>
  </si>
  <si>
    <t>Planning €</t>
  </si>
  <si>
    <t>Realisatie €</t>
  </si>
  <si>
    <t xml:space="preserve">   Omzet totaal</t>
  </si>
  <si>
    <t>Loonkosten</t>
  </si>
  <si>
    <t>Inhuurkosten</t>
  </si>
  <si>
    <t>Uitbestedingskosten</t>
  </si>
  <si>
    <t>Facilitaire kosten</t>
  </si>
  <si>
    <t>Automatiseringskosten</t>
  </si>
  <si>
    <t>Overige bedrijfskosten</t>
  </si>
  <si>
    <t xml:space="preserve">   Kosten totaal</t>
  </si>
  <si>
    <t xml:space="preserve">   Resultaat</t>
  </si>
  <si>
    <t>W&amp;V naar kostenplaats en verdeelsleutels</t>
  </si>
  <si>
    <t>Kostensoort</t>
  </si>
  <si>
    <t>Kostenplaats</t>
  </si>
  <si>
    <t>fte</t>
  </si>
  <si>
    <t>headcount</t>
  </si>
  <si>
    <t>uren voorcalc</t>
  </si>
  <si>
    <t>uren verantwoord</t>
  </si>
  <si>
    <t>X</t>
  </si>
  <si>
    <t>Y</t>
  </si>
  <si>
    <t>F</t>
  </si>
  <si>
    <t>P</t>
  </si>
  <si>
    <t>I</t>
  </si>
  <si>
    <t>Automatiseringskosten correctie</t>
  </si>
  <si>
    <t>Automatiseringskosten specifiek</t>
  </si>
  <si>
    <t>Functies per kostenplaats en uurtarief</t>
  </si>
  <si>
    <t>Functie</t>
  </si>
  <si>
    <t>budget voorcalc</t>
  </si>
  <si>
    <t>fte voorcalc</t>
  </si>
  <si>
    <t>uurtarief voorcalc</t>
  </si>
  <si>
    <t>controle</t>
  </si>
  <si>
    <t>uurkosten verantwoord</t>
  </si>
  <si>
    <t>functie 01_I</t>
  </si>
  <si>
    <t>functie 02_I</t>
  </si>
  <si>
    <t>functie 03_I</t>
  </si>
  <si>
    <t>functie 04_I</t>
  </si>
  <si>
    <t>functie 05_I</t>
  </si>
  <si>
    <t>functie 06_I</t>
  </si>
  <si>
    <t>functie 03_E</t>
  </si>
  <si>
    <t>Activiteitsuren per functie</t>
  </si>
  <si>
    <t>kostenplaats</t>
  </si>
  <si>
    <t>Activiteit</t>
  </si>
  <si>
    <t>uurtarief</t>
  </si>
  <si>
    <t>uurkosten</t>
  </si>
  <si>
    <t>Activiteit I_02</t>
  </si>
  <si>
    <t>Activiteit II_02</t>
  </si>
  <si>
    <t>Activiteit II_03</t>
  </si>
  <si>
    <t>Activiteiten indirect</t>
  </si>
  <si>
    <t>Activiteit III_01</t>
  </si>
  <si>
    <t>Activiteit I_01</t>
  </si>
  <si>
    <t>Activiteit II_01</t>
  </si>
  <si>
    <t>Activiteit I_03</t>
  </si>
  <si>
    <t>Activiteit Facilitair</t>
  </si>
  <si>
    <t>Activiteit P&amp;O</t>
  </si>
  <si>
    <t>Activiteit IT</t>
  </si>
  <si>
    <t>werkplekken</t>
  </si>
  <si>
    <t>IT-werkplekken</t>
  </si>
  <si>
    <t>mob devices</t>
  </si>
  <si>
    <t>Kosten per IT-dienst - resultaat KAM</t>
  </si>
  <si>
    <t>IT-dienst</t>
  </si>
  <si>
    <t>kosten</t>
  </si>
  <si>
    <t>product I</t>
  </si>
  <si>
    <t>product II</t>
  </si>
  <si>
    <t>product III</t>
  </si>
  <si>
    <t>dienst_01</t>
  </si>
  <si>
    <t>dienst_02</t>
  </si>
  <si>
    <t>dienst_03</t>
  </si>
  <si>
    <t>dienst_04</t>
  </si>
  <si>
    <t>dienst_werkplek</t>
  </si>
  <si>
    <t>dienst_mob devices</t>
  </si>
  <si>
    <t>Totaal kosten KAM</t>
  </si>
  <si>
    <t>Aantal plan</t>
  </si>
  <si>
    <t>Aantal realisatie</t>
  </si>
  <si>
    <t>Tarief €/stuk</t>
  </si>
  <si>
    <t>Omzet plan</t>
  </si>
  <si>
    <t>Omzet realisatie</t>
  </si>
  <si>
    <t>Omzet prod I</t>
  </si>
  <si>
    <t>Omzet prod II</t>
  </si>
  <si>
    <t>Omzet prod III</t>
  </si>
  <si>
    <t>Product</t>
  </si>
  <si>
    <t>Norm uur/stuk</t>
  </si>
  <si>
    <t>Uren verantwoord</t>
  </si>
  <si>
    <t>Controle</t>
  </si>
  <si>
    <t>II</t>
  </si>
  <si>
    <t>III</t>
  </si>
  <si>
    <t>Directe kosten</t>
  </si>
  <si>
    <t>L01</t>
  </si>
  <si>
    <t>Kosten</t>
  </si>
  <si>
    <t>L02</t>
  </si>
  <si>
    <t>L03</t>
  </si>
  <si>
    <t>Verdeelsleutel</t>
  </si>
  <si>
    <t>L04</t>
  </si>
  <si>
    <t>L05</t>
  </si>
  <si>
    <t>L06C</t>
  </si>
  <si>
    <t>L07</t>
  </si>
  <si>
    <t>L08C</t>
  </si>
  <si>
    <t>Uurkosten</t>
  </si>
  <si>
    <t>factor 1</t>
  </si>
  <si>
    <t>factor 2</t>
  </si>
  <si>
    <t>Facilitaire Services</t>
  </si>
  <si>
    <t>P&amp;O</t>
  </si>
  <si>
    <t>IT-KAM IT-werkplekken</t>
  </si>
  <si>
    <t>IT-KAM IT-mob devices</t>
  </si>
  <si>
    <t>Kosten totaal</t>
  </si>
  <si>
    <t>Bruto uurtarief</t>
  </si>
  <si>
    <t>L09</t>
  </si>
  <si>
    <t>Activiteitskosten</t>
  </si>
  <si>
    <t>L11</t>
  </si>
  <si>
    <t>Product I</t>
  </si>
  <si>
    <t>Product II</t>
  </si>
  <si>
    <t>Product III</t>
  </si>
  <si>
    <t>L12</t>
  </si>
  <si>
    <t>Kadaster</t>
  </si>
  <si>
    <t>IT-KAR IT-werkplekken</t>
  </si>
  <si>
    <t>IT</t>
  </si>
  <si>
    <t>Omzet</t>
  </si>
  <si>
    <t>Loonkosten correctie</t>
  </si>
  <si>
    <t>Uren verantwoord op loonkosten</t>
  </si>
  <si>
    <t>Indirecte kosten</t>
  </si>
  <si>
    <t>Inhuurkosten correctie</t>
  </si>
  <si>
    <t>Verdeling kosten o.b.v. IT-werkplekken</t>
  </si>
  <si>
    <t>Totaal</t>
  </si>
  <si>
    <t>Totale kosten</t>
  </si>
  <si>
    <t>Uren verantwoord op inhuurkosten</t>
  </si>
  <si>
    <t>Werkplekken</t>
  </si>
  <si>
    <t>aantal fte</t>
  </si>
  <si>
    <t>Kosten subtotaal</t>
  </si>
  <si>
    <t>aantal fte excl inhuur</t>
  </si>
  <si>
    <t>Resultaat</t>
  </si>
  <si>
    <t>Verdeling kosten o.b.v. werkplekken</t>
  </si>
  <si>
    <t>Toegerekende kosten</t>
  </si>
  <si>
    <t>IT-KAR mob devices</t>
  </si>
  <si>
    <t>fte (inhuur niet)</t>
  </si>
  <si>
    <t>Verdeling kosten o.b.v. mob devices</t>
  </si>
  <si>
    <t>IT-KAR IT-mob devices</t>
  </si>
  <si>
    <t>Kosten totaal IT</t>
  </si>
  <si>
    <t>KAM IT-diensten</t>
  </si>
  <si>
    <t>Kosten totaal X</t>
  </si>
  <si>
    <t>L08A</t>
  </si>
  <si>
    <t>Headcount</t>
  </si>
  <si>
    <t>Verdeling IT-kosten o.b.v. KAR</t>
  </si>
  <si>
    <t>Verdeling kosten o.b.v. headcount</t>
  </si>
  <si>
    <t>Totaal kosten</t>
  </si>
  <si>
    <t>Totaal overige kosten</t>
  </si>
  <si>
    <t>L10</t>
  </si>
  <si>
    <t>Aandeel I</t>
  </si>
  <si>
    <t>Aandeel II</t>
  </si>
  <si>
    <t>Aandeel III</t>
  </si>
  <si>
    <t>L08E</t>
  </si>
  <si>
    <t>Totaal IT-diensten</t>
  </si>
  <si>
    <t>L08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</si>
</sst>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43" fontId="0" fillId="0" borderId="0" xfId="1" applyFont="1"/>
    <xf numFmtId="164" fontId="0" fillId="0" borderId="0" xfId="1" applyNumberFormat="1" applyFont="1"/>
    <xf numFmtId="43" fontId="0" fillId="0" borderId="0" xfId="0" applyNumberFormat="1"/>
    <xf numFmtId="164" fontId="0" fillId="0" borderId="0" xfId="0" applyNumberFormat="1"/>
    <xf numFmtId="164" fontId="0" fillId="0" borderId="0" xfId="1" quotePrefix="1" applyNumberFormat="1" applyFont="1"/>
    <xf numFmtId="0" fontId="0" fillId="0" borderId="0" xfId="0" quotePrefix="1"/>
    <xf numFmtId="0" fontId="0" fillId="2" borderId="0" xfId="0" quotePrefix="1" applyFill="1"/>
    <xf numFmtId="164" fontId="0" fillId="2" borderId="0" xfId="1" applyNumberFormat="1" applyFont="1" applyFill="1"/>
    <xf numFmtId="164" fontId="0" fillId="2" borderId="0" xfId="0" applyNumberFormat="1" applyFill="1"/>
    <xf numFmtId="164" fontId="0" fillId="0" borderId="0" xfId="1" applyNumberFormat="1" applyFont="1" applyFill="1"/>
    <xf numFmtId="164" fontId="5" fillId="0" borderId="0" xfId="1" applyNumberFormat="1" applyFont="1" applyFill="1"/>
    <xf numFmtId="0" fontId="0" fillId="2" borderId="0" xfId="0" applyFill="1"/>
    <xf numFmtId="0" fontId="6" fillId="0" borderId="0" xfId="0" applyFont="1"/>
    <xf numFmtId="0" fontId="3" fillId="0" borderId="0" xfId="0" applyFont="1"/>
    <xf numFmtId="164" fontId="0" fillId="0" borderId="0" xfId="0" quotePrefix="1" applyNumberFormat="1"/>
    <xf numFmtId="0" fontId="3" fillId="2" borderId="0" xfId="0" applyFont="1" applyFill="1"/>
    <xf numFmtId="164" fontId="3" fillId="2" borderId="0" xfId="1" applyNumberFormat="1" applyFont="1" applyFill="1"/>
    <xf numFmtId="164" fontId="3" fillId="2" borderId="0" xfId="0" applyNumberFormat="1" applyFont="1" applyFill="1"/>
    <xf numFmtId="43" fontId="0" fillId="0" borderId="0" xfId="1" quotePrefix="1" applyFont="1"/>
    <xf numFmtId="0" fontId="9" fillId="0" borderId="0" xfId="0" applyFont="1"/>
    <xf numFmtId="43" fontId="2" fillId="0" borderId="0" xfId="1" applyFont="1"/>
    <xf numFmtId="164" fontId="2" fillId="0" borderId="0" xfId="1" applyNumberFormat="1" applyFont="1"/>
    <xf numFmtId="164" fontId="2" fillId="0" borderId="0" xfId="1" quotePrefix="1" applyNumberFormat="1" applyFont="1"/>
    <xf numFmtId="43" fontId="3" fillId="2" borderId="0" xfId="1" applyFont="1" applyFill="1"/>
    <xf numFmtId="43" fontId="3" fillId="2" borderId="0" xfId="0" applyNumberFormat="1" applyFont="1" applyFill="1"/>
    <xf numFmtId="0" fontId="10" fillId="0" borderId="0" xfId="0" applyFont="1"/>
    <xf numFmtId="164" fontId="3" fillId="3" borderId="0" xfId="0" applyNumberFormat="1" applyFont="1" applyFill="1"/>
    <xf numFmtId="9" fontId="0" fillId="2" borderId="0" xfId="2" applyFont="1" applyFill="1"/>
    <xf numFmtId="164" fontId="3" fillId="0" borderId="0" xfId="1" applyNumberFormat="1" applyFont="1" applyBorder="1"/>
    <xf numFmtId="164" fontId="0" fillId="0" borderId="0" xfId="1" applyNumberFormat="1" applyFont="1" applyBorder="1"/>
    <xf numFmtId="164" fontId="3" fillId="0" borderId="1" xfId="1" applyNumberFormat="1" applyFont="1" applyBorder="1"/>
    <xf numFmtId="164" fontId="3" fillId="0" borderId="2" xfId="0" applyNumberFormat="1" applyFont="1" applyBorder="1"/>
    <xf numFmtId="164" fontId="0" fillId="0" borderId="2" xfId="0" applyNumberFormat="1" applyBorder="1"/>
    <xf numFmtId="164" fontId="3" fillId="0" borderId="2" xfId="1" applyNumberFormat="1" applyFont="1" applyBorder="1"/>
    <xf numFmtId="0" fontId="0" fillId="0" borderId="2" xfId="0" applyBorder="1"/>
    <xf numFmtId="164" fontId="3" fillId="0" borderId="3" xfId="1" applyNumberFormat="1" applyFont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3" fillId="2" borderId="7" xfId="0" applyFont="1" applyFill="1" applyBorder="1"/>
    <xf numFmtId="0" fontId="0" fillId="2" borderId="7" xfId="0" applyFill="1" applyBorder="1"/>
    <xf numFmtId="0" fontId="3" fillId="2" borderId="8" xfId="0" applyFont="1" applyFill="1" applyBorder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5727-1D15-47C1-86B9-980D4B3DC5A7}">
  <dimension ref="A1:K87"/>
  <sheetViews>
    <sheetView topLeftCell="A67" workbookViewId="0">
      <selection activeCell="D55" sqref="D55"/>
    </sheetView>
  </sheetViews>
  <sheetFormatPr defaultRowHeight="15" x14ac:dyDescent="0.25"/>
  <cols>
    <col min="1" max="1" width="5.28515625" bestFit="1" customWidth="1"/>
    <col min="2" max="2" width="30.28515625" customWidth="1"/>
    <col min="3" max="3" width="19.5703125" bestFit="1" customWidth="1"/>
    <col min="4" max="4" width="18" bestFit="1" customWidth="1"/>
    <col min="5" max="5" width="17.5703125" style="2" bestFit="1" customWidth="1"/>
    <col min="6" max="6" width="12" bestFit="1" customWidth="1"/>
    <col min="7" max="7" width="15.5703125" bestFit="1" customWidth="1"/>
    <col min="8" max="8" width="16.7109375" bestFit="1" customWidth="1"/>
    <col min="9" max="9" width="16.5703125" bestFit="1" customWidth="1"/>
    <col min="10" max="10" width="15.140625" bestFit="1" customWidth="1"/>
    <col min="11" max="11" width="15.140625" customWidth="1"/>
    <col min="14" max="14" width="10" bestFit="1" customWidth="1"/>
  </cols>
  <sheetData>
    <row r="1" spans="1:7" x14ac:dyDescent="0.25">
      <c r="A1" s="13" t="s">
        <v>0</v>
      </c>
    </row>
    <row r="2" spans="1:7" x14ac:dyDescent="0.25">
      <c r="B2" t="s">
        <v>1</v>
      </c>
      <c r="C2" t="s">
        <v>2</v>
      </c>
      <c r="D2" s="2" t="s">
        <v>3</v>
      </c>
    </row>
    <row r="3" spans="1:7" x14ac:dyDescent="0.25">
      <c r="B3" s="7" t="s">
        <v>4</v>
      </c>
      <c r="C3" s="8">
        <f>+Omzet!E5</f>
        <v>11000000</v>
      </c>
      <c r="D3" s="8">
        <f>+Omzet!F5</f>
        <v>11000000</v>
      </c>
      <c r="G3" s="1"/>
    </row>
    <row r="4" spans="1:7" x14ac:dyDescent="0.25">
      <c r="B4" s="6"/>
      <c r="C4" s="2"/>
      <c r="D4" s="2"/>
    </row>
    <row r="5" spans="1:7" x14ac:dyDescent="0.25">
      <c r="B5" t="s">
        <v>5</v>
      </c>
      <c r="C5" s="5">
        <f>SUMIF(B$17:B$34,B5,D$17:D$34)</f>
        <v>4300000</v>
      </c>
      <c r="D5" s="5">
        <v>4200000</v>
      </c>
    </row>
    <row r="6" spans="1:7" x14ac:dyDescent="0.25">
      <c r="B6" t="s">
        <v>6</v>
      </c>
      <c r="C6" s="2">
        <v>700000</v>
      </c>
      <c r="D6" s="5">
        <f>SUMIF(B$17:B$34,B6,E$17:E$34)</f>
        <v>700000</v>
      </c>
    </row>
    <row r="7" spans="1:7" x14ac:dyDescent="0.25">
      <c r="B7" t="s">
        <v>7</v>
      </c>
      <c r="C7" s="2">
        <f>SUMIF(B$17:B$34,B7,D$17:D$34)</f>
        <v>400000</v>
      </c>
      <c r="D7" s="5">
        <f>SUMIF(B$17:B$34,B7,E$17:E$34)</f>
        <v>400000</v>
      </c>
    </row>
    <row r="8" spans="1:7" x14ac:dyDescent="0.25">
      <c r="B8" t="s">
        <v>8</v>
      </c>
      <c r="C8" s="2">
        <f>SUMIF(B$17:B$34,B8,D$17:D$34)</f>
        <v>2000000</v>
      </c>
      <c r="D8" s="5">
        <v>1900000</v>
      </c>
    </row>
    <row r="9" spans="1:7" x14ac:dyDescent="0.25">
      <c r="B9" t="s">
        <v>9</v>
      </c>
      <c r="C9" s="2">
        <f>SUMIF(B$17:B$34,B9,D$17:D$34)</f>
        <v>2000000</v>
      </c>
      <c r="D9" s="5">
        <v>2200000</v>
      </c>
    </row>
    <row r="10" spans="1:7" x14ac:dyDescent="0.25">
      <c r="B10" t="s">
        <v>10</v>
      </c>
      <c r="C10" s="2">
        <f>SUMIF(B$17:B$34,B10,D$17:D$34)</f>
        <v>400000</v>
      </c>
      <c r="D10" s="5">
        <f>SUMIF(B$17:B$34,B10,E$17:E$34)</f>
        <v>400000</v>
      </c>
    </row>
    <row r="11" spans="1:7" x14ac:dyDescent="0.25">
      <c r="B11" s="7" t="s">
        <v>11</v>
      </c>
      <c r="C11" s="9">
        <f>SUM(C5:C10)</f>
        <v>9800000</v>
      </c>
      <c r="D11" s="9">
        <f>SUM(D5:D10)</f>
        <v>9800000</v>
      </c>
    </row>
    <row r="12" spans="1:7" x14ac:dyDescent="0.25">
      <c r="B12" s="6"/>
      <c r="C12" s="4"/>
      <c r="D12" s="4"/>
    </row>
    <row r="13" spans="1:7" x14ac:dyDescent="0.25">
      <c r="B13" s="7" t="s">
        <v>12</v>
      </c>
      <c r="C13" s="9">
        <f>+C3-C11</f>
        <v>1200000</v>
      </c>
      <c r="D13" s="9">
        <f>+D3-D11</f>
        <v>1200000</v>
      </c>
    </row>
    <row r="16" spans="1:7" x14ac:dyDescent="0.25">
      <c r="A16" s="13" t="s">
        <v>13</v>
      </c>
    </row>
    <row r="17" spans="2:9" x14ac:dyDescent="0.25">
      <c r="B17" t="s">
        <v>14</v>
      </c>
      <c r="C17" t="s">
        <v>15</v>
      </c>
      <c r="D17" t="s">
        <v>2</v>
      </c>
      <c r="E17" s="2" t="s">
        <v>3</v>
      </c>
      <c r="F17" t="s">
        <v>16</v>
      </c>
      <c r="G17" t="s">
        <v>17</v>
      </c>
      <c r="H17" t="s">
        <v>18</v>
      </c>
      <c r="I17" t="s">
        <v>19</v>
      </c>
    </row>
    <row r="18" spans="2:9" x14ac:dyDescent="0.25">
      <c r="B18" t="s">
        <v>5</v>
      </c>
      <c r="C18" t="s">
        <v>20</v>
      </c>
      <c r="D18" s="2">
        <v>1200000</v>
      </c>
      <c r="E18" s="2">
        <v>1150000</v>
      </c>
      <c r="F18" s="1">
        <v>16</v>
      </c>
      <c r="G18" s="1">
        <v>20</v>
      </c>
      <c r="H18" s="2">
        <f>+F18*1000</f>
        <v>16000</v>
      </c>
      <c r="I18" s="2">
        <v>15500</v>
      </c>
    </row>
    <row r="19" spans="2:9" x14ac:dyDescent="0.25">
      <c r="B19" t="s">
        <v>6</v>
      </c>
      <c r="C19" t="s">
        <v>20</v>
      </c>
      <c r="D19" s="2">
        <v>700000</v>
      </c>
      <c r="E19" s="2">
        <v>700000</v>
      </c>
      <c r="F19" s="1">
        <v>7</v>
      </c>
      <c r="G19" s="1">
        <v>7</v>
      </c>
      <c r="H19" s="2">
        <f>+F19*1200</f>
        <v>8400</v>
      </c>
      <c r="I19" s="2">
        <v>8400</v>
      </c>
    </row>
    <row r="20" spans="2:9" x14ac:dyDescent="0.25">
      <c r="B20" t="s">
        <v>10</v>
      </c>
      <c r="C20" t="s">
        <v>20</v>
      </c>
      <c r="D20" s="2">
        <v>300000</v>
      </c>
      <c r="E20" s="2">
        <v>300000</v>
      </c>
      <c r="F20" s="1"/>
      <c r="G20" s="1"/>
      <c r="H20" s="2"/>
      <c r="I20" s="2"/>
    </row>
    <row r="21" spans="2:9" x14ac:dyDescent="0.25">
      <c r="D21" s="2"/>
      <c r="F21" s="1"/>
      <c r="G21" s="1"/>
      <c r="H21" s="2"/>
      <c r="I21" s="2"/>
    </row>
    <row r="22" spans="2:9" x14ac:dyDescent="0.25">
      <c r="B22" t="s">
        <v>5</v>
      </c>
      <c r="C22" t="s">
        <v>21</v>
      </c>
      <c r="D22" s="2">
        <v>700000</v>
      </c>
      <c r="E22" s="2">
        <v>700000</v>
      </c>
      <c r="F22" s="1">
        <v>6</v>
      </c>
      <c r="G22" s="1">
        <v>8</v>
      </c>
      <c r="H22" s="2">
        <f t="shared" ref="H22:H25" si="0">+F22*1000</f>
        <v>6000</v>
      </c>
      <c r="I22" s="2">
        <v>6300</v>
      </c>
    </row>
    <row r="23" spans="2:9" x14ac:dyDescent="0.25">
      <c r="B23" t="s">
        <v>10</v>
      </c>
      <c r="C23" t="s">
        <v>21</v>
      </c>
      <c r="D23" s="2">
        <v>100000</v>
      </c>
      <c r="E23" s="2">
        <v>100000</v>
      </c>
      <c r="F23" s="1"/>
      <c r="G23" s="1"/>
      <c r="H23" s="2"/>
      <c r="I23" s="2"/>
    </row>
    <row r="24" spans="2:9" x14ac:dyDescent="0.25">
      <c r="D24" s="2"/>
      <c r="F24" s="1"/>
      <c r="G24" s="1"/>
      <c r="H24" s="2"/>
      <c r="I24" s="2"/>
    </row>
    <row r="25" spans="2:9" x14ac:dyDescent="0.25">
      <c r="B25" t="s">
        <v>5</v>
      </c>
      <c r="C25" t="s">
        <v>22</v>
      </c>
      <c r="D25" s="2">
        <v>350000</v>
      </c>
      <c r="E25" s="2">
        <v>300000</v>
      </c>
      <c r="F25" s="1">
        <v>6</v>
      </c>
      <c r="G25" s="1">
        <v>6</v>
      </c>
      <c r="H25" s="2">
        <f t="shared" si="0"/>
        <v>6000</v>
      </c>
      <c r="I25" s="2">
        <v>6000</v>
      </c>
    </row>
    <row r="26" spans="2:9" x14ac:dyDescent="0.25">
      <c r="B26" t="s">
        <v>8</v>
      </c>
      <c r="C26" t="s">
        <v>22</v>
      </c>
      <c r="D26" s="2">
        <v>2000000</v>
      </c>
      <c r="E26" s="2">
        <v>1900000</v>
      </c>
      <c r="F26" s="1"/>
      <c r="G26" s="1"/>
      <c r="H26" s="2"/>
      <c r="I26" s="2"/>
    </row>
    <row r="27" spans="2:9" x14ac:dyDescent="0.25">
      <c r="D27" s="2"/>
      <c r="F27" s="1"/>
      <c r="G27" s="1"/>
      <c r="H27" s="2"/>
      <c r="I27" s="2"/>
    </row>
    <row r="28" spans="2:9" x14ac:dyDescent="0.25">
      <c r="B28" t="s">
        <v>5</v>
      </c>
      <c r="C28" t="s">
        <v>23</v>
      </c>
      <c r="D28" s="2">
        <v>450000</v>
      </c>
      <c r="E28" s="2">
        <v>400000</v>
      </c>
      <c r="F28" s="1">
        <v>5</v>
      </c>
      <c r="G28" s="1">
        <v>8</v>
      </c>
      <c r="H28" s="2">
        <f t="shared" ref="H28" si="1">+F28*1000</f>
        <v>5000</v>
      </c>
      <c r="I28" s="2">
        <v>5000</v>
      </c>
    </row>
    <row r="29" spans="2:9" x14ac:dyDescent="0.25">
      <c r="B29" t="s">
        <v>7</v>
      </c>
      <c r="C29" t="s">
        <v>23</v>
      </c>
      <c r="D29" s="2">
        <v>400000</v>
      </c>
      <c r="E29" s="2">
        <v>400000</v>
      </c>
      <c r="F29" s="1"/>
      <c r="G29" s="1"/>
      <c r="H29" s="2"/>
      <c r="I29" s="2"/>
    </row>
    <row r="30" spans="2:9" x14ac:dyDescent="0.25">
      <c r="D30" s="2"/>
      <c r="F30" s="1"/>
      <c r="G30" s="1"/>
      <c r="H30" s="2"/>
      <c r="I30" s="2"/>
    </row>
    <row r="31" spans="2:9" x14ac:dyDescent="0.25">
      <c r="B31" t="s">
        <v>5</v>
      </c>
      <c r="C31" t="s">
        <v>24</v>
      </c>
      <c r="D31" s="2">
        <v>1600000</v>
      </c>
      <c r="E31" s="2">
        <v>1650000</v>
      </c>
      <c r="F31" s="1">
        <v>15</v>
      </c>
      <c r="G31" s="1">
        <v>15</v>
      </c>
      <c r="H31" s="2">
        <f t="shared" ref="H31" si="2">+F31*1000</f>
        <v>15000</v>
      </c>
      <c r="I31" s="2">
        <v>15000</v>
      </c>
    </row>
    <row r="32" spans="2:9" x14ac:dyDescent="0.25">
      <c r="B32" t="s">
        <v>9</v>
      </c>
      <c r="C32" t="s">
        <v>24</v>
      </c>
      <c r="D32" s="2">
        <v>2000000</v>
      </c>
      <c r="E32" s="2">
        <v>2200000</v>
      </c>
      <c r="F32" s="1"/>
      <c r="G32" s="1"/>
      <c r="H32" s="2"/>
      <c r="I32" s="2"/>
    </row>
    <row r="33" spans="1:11" x14ac:dyDescent="0.25">
      <c r="B33" t="s">
        <v>25</v>
      </c>
      <c r="C33" t="s">
        <v>24</v>
      </c>
      <c r="D33" s="2"/>
      <c r="E33" s="2">
        <f>-Verdeelsleutels!B25-Verdeelsleutels!B26</f>
        <v>-1100000</v>
      </c>
      <c r="F33" s="1"/>
      <c r="G33" s="1"/>
      <c r="H33" s="2"/>
      <c r="I33" s="2"/>
    </row>
    <row r="34" spans="1:11" x14ac:dyDescent="0.25">
      <c r="B34" t="s">
        <v>26</v>
      </c>
      <c r="C34" t="s">
        <v>24</v>
      </c>
      <c r="D34" s="2"/>
      <c r="E34" s="2">
        <f>-E33</f>
        <v>1100000</v>
      </c>
      <c r="F34" s="1"/>
      <c r="G34" s="1"/>
      <c r="H34" s="2"/>
      <c r="I34" s="2"/>
    </row>
    <row r="35" spans="1:11" x14ac:dyDescent="0.25">
      <c r="D35" s="2">
        <f t="shared" ref="D35:I35" si="3">SUM(D18:D34)</f>
        <v>9800000</v>
      </c>
      <c r="E35" s="2">
        <f t="shared" si="3"/>
        <v>9800000</v>
      </c>
      <c r="F35" s="1">
        <f t="shared" si="3"/>
        <v>55</v>
      </c>
      <c r="G35" s="1">
        <f t="shared" si="3"/>
        <v>64</v>
      </c>
      <c r="H35" s="2">
        <f t="shared" si="3"/>
        <v>56400</v>
      </c>
      <c r="I35" s="2">
        <f t="shared" si="3"/>
        <v>56200</v>
      </c>
    </row>
    <row r="36" spans="1:11" x14ac:dyDescent="0.25">
      <c r="F36" s="1"/>
    </row>
    <row r="37" spans="1:11" x14ac:dyDescent="0.25">
      <c r="F37" s="1"/>
    </row>
    <row r="38" spans="1:11" x14ac:dyDescent="0.25">
      <c r="A38" s="13" t="s">
        <v>27</v>
      </c>
      <c r="F38" s="1"/>
    </row>
    <row r="39" spans="1:11" x14ac:dyDescent="0.25">
      <c r="B39" t="s">
        <v>14</v>
      </c>
      <c r="C39" t="s">
        <v>15</v>
      </c>
      <c r="D39" t="s">
        <v>28</v>
      </c>
      <c r="E39" s="2" t="s">
        <v>29</v>
      </c>
      <c r="F39" s="1" t="s">
        <v>30</v>
      </c>
      <c r="G39" t="s">
        <v>18</v>
      </c>
      <c r="H39" t="s">
        <v>31</v>
      </c>
      <c r="I39" t="s">
        <v>19</v>
      </c>
      <c r="J39" t="s">
        <v>32</v>
      </c>
      <c r="K39" t="s">
        <v>33</v>
      </c>
    </row>
    <row r="40" spans="1:11" x14ac:dyDescent="0.25">
      <c r="B40" t="s">
        <v>5</v>
      </c>
      <c r="C40" t="s">
        <v>20</v>
      </c>
      <c r="D40" t="s">
        <v>34</v>
      </c>
      <c r="E40" s="2">
        <v>500000</v>
      </c>
      <c r="F40" s="1">
        <v>5</v>
      </c>
      <c r="G40" s="2">
        <f>+F40*1000</f>
        <v>5000</v>
      </c>
      <c r="H40" s="1">
        <f>ROUND(E40/G40,2)</f>
        <v>100</v>
      </c>
      <c r="I40" s="2">
        <v>5500</v>
      </c>
      <c r="J40" s="15">
        <f>SUMIFS(E$53:E$87,B$53:B$87,C40,C$53:C$87,D40)-I40</f>
        <v>0</v>
      </c>
      <c r="K40" s="15">
        <f>SUMIFS(G$53:G$87,B$53:B$87,C40,C$53:C$87,D40)</f>
        <v>550000</v>
      </c>
    </row>
    <row r="41" spans="1:11" x14ac:dyDescent="0.25">
      <c r="B41" t="s">
        <v>5</v>
      </c>
      <c r="C41" t="s">
        <v>20</v>
      </c>
      <c r="D41" t="s">
        <v>35</v>
      </c>
      <c r="E41" s="2">
        <v>400000</v>
      </c>
      <c r="F41" s="1">
        <v>5</v>
      </c>
      <c r="G41" s="2">
        <f t="shared" ref="G41:G47" si="4">+F41*1000</f>
        <v>5000</v>
      </c>
      <c r="H41" s="1">
        <f t="shared" ref="H41:H47" si="5">ROUND(E41/G41,2)</f>
        <v>80</v>
      </c>
      <c r="I41" s="2">
        <v>5000</v>
      </c>
      <c r="J41" s="15">
        <f t="shared" ref="J41:J48" si="6">SUMIFS(E$53:E$87,B$53:B$87,C41,C$53:C$87,D41)-I41</f>
        <v>0</v>
      </c>
      <c r="K41" s="15">
        <f t="shared" ref="K41:K48" si="7">SUMIFS(G$53:G$87,B$53:B$87,C41,C$53:C$87,D41)</f>
        <v>400000</v>
      </c>
    </row>
    <row r="42" spans="1:11" x14ac:dyDescent="0.25">
      <c r="B42" t="s">
        <v>5</v>
      </c>
      <c r="C42" t="s">
        <v>20</v>
      </c>
      <c r="D42" t="s">
        <v>36</v>
      </c>
      <c r="E42" s="2">
        <v>300000</v>
      </c>
      <c r="F42" s="1">
        <v>6</v>
      </c>
      <c r="G42" s="2">
        <f t="shared" si="4"/>
        <v>6000</v>
      </c>
      <c r="H42" s="1">
        <f t="shared" si="5"/>
        <v>50</v>
      </c>
      <c r="I42" s="2">
        <v>5000</v>
      </c>
      <c r="J42" s="15">
        <f t="shared" si="6"/>
        <v>0</v>
      </c>
      <c r="K42" s="15">
        <f t="shared" si="7"/>
        <v>250000</v>
      </c>
    </row>
    <row r="43" spans="1:11" x14ac:dyDescent="0.25">
      <c r="B43" t="s">
        <v>5</v>
      </c>
      <c r="C43" t="s">
        <v>21</v>
      </c>
      <c r="D43" t="s">
        <v>34</v>
      </c>
      <c r="E43" s="2">
        <v>400000</v>
      </c>
      <c r="F43" s="1">
        <v>3</v>
      </c>
      <c r="G43" s="2">
        <f t="shared" si="4"/>
        <v>3000</v>
      </c>
      <c r="H43" s="1">
        <f t="shared" si="5"/>
        <v>133.33000000000001</v>
      </c>
      <c r="I43" s="2">
        <v>3300</v>
      </c>
      <c r="J43" s="15">
        <f t="shared" si="6"/>
        <v>0</v>
      </c>
      <c r="K43" s="15">
        <f t="shared" si="7"/>
        <v>439989.00000000006</v>
      </c>
    </row>
    <row r="44" spans="1:11" x14ac:dyDescent="0.25">
      <c r="B44" t="s">
        <v>5</v>
      </c>
      <c r="C44" t="s">
        <v>21</v>
      </c>
      <c r="D44" t="s">
        <v>35</v>
      </c>
      <c r="E44" s="2">
        <v>300000</v>
      </c>
      <c r="F44" s="1">
        <v>3</v>
      </c>
      <c r="G44" s="2">
        <f t="shared" si="4"/>
        <v>3000</v>
      </c>
      <c r="H44" s="1">
        <f t="shared" si="5"/>
        <v>100</v>
      </c>
      <c r="I44" s="2">
        <v>3000</v>
      </c>
      <c r="J44" s="15">
        <f t="shared" si="6"/>
        <v>0</v>
      </c>
      <c r="K44" s="15">
        <f t="shared" si="7"/>
        <v>300000</v>
      </c>
    </row>
    <row r="45" spans="1:11" x14ac:dyDescent="0.25">
      <c r="B45" t="s">
        <v>5</v>
      </c>
      <c r="C45" t="s">
        <v>22</v>
      </c>
      <c r="D45" t="s">
        <v>37</v>
      </c>
      <c r="E45" s="2">
        <v>350000</v>
      </c>
      <c r="F45" s="1">
        <v>6</v>
      </c>
      <c r="G45" s="2">
        <f t="shared" si="4"/>
        <v>6000</v>
      </c>
      <c r="H45" s="1">
        <f t="shared" si="5"/>
        <v>58.33</v>
      </c>
      <c r="I45" s="2">
        <v>6000</v>
      </c>
      <c r="J45" s="15">
        <f t="shared" si="6"/>
        <v>0</v>
      </c>
      <c r="K45" s="15">
        <f t="shared" si="7"/>
        <v>349980</v>
      </c>
    </row>
    <row r="46" spans="1:11" x14ac:dyDescent="0.25">
      <c r="B46" t="s">
        <v>5</v>
      </c>
      <c r="C46" t="s">
        <v>23</v>
      </c>
      <c r="D46" t="s">
        <v>38</v>
      </c>
      <c r="E46" s="2">
        <v>450000</v>
      </c>
      <c r="F46" s="1">
        <v>5</v>
      </c>
      <c r="G46" s="2">
        <f t="shared" si="4"/>
        <v>5000</v>
      </c>
      <c r="H46" s="1">
        <f t="shared" si="5"/>
        <v>90</v>
      </c>
      <c r="I46" s="2">
        <v>5000</v>
      </c>
      <c r="J46" s="15">
        <f t="shared" si="6"/>
        <v>0</v>
      </c>
      <c r="K46" s="15">
        <f t="shared" si="7"/>
        <v>450000</v>
      </c>
    </row>
    <row r="47" spans="1:11" x14ac:dyDescent="0.25">
      <c r="B47" t="s">
        <v>5</v>
      </c>
      <c r="C47" t="s">
        <v>24</v>
      </c>
      <c r="D47" t="s">
        <v>39</v>
      </c>
      <c r="E47" s="2">
        <v>1600000</v>
      </c>
      <c r="F47" s="1">
        <v>15</v>
      </c>
      <c r="G47" s="2">
        <f t="shared" si="4"/>
        <v>15000</v>
      </c>
      <c r="H47" s="1">
        <f t="shared" si="5"/>
        <v>106.67</v>
      </c>
      <c r="I47" s="2">
        <v>15000</v>
      </c>
      <c r="J47" s="15">
        <f t="shared" si="6"/>
        <v>0</v>
      </c>
      <c r="K47" s="15">
        <f t="shared" si="7"/>
        <v>1600050</v>
      </c>
    </row>
    <row r="48" spans="1:11" x14ac:dyDescent="0.25">
      <c r="B48" t="s">
        <v>6</v>
      </c>
      <c r="C48" t="s">
        <v>20</v>
      </c>
      <c r="D48" t="s">
        <v>40</v>
      </c>
      <c r="E48" s="2">
        <v>700000</v>
      </c>
      <c r="F48" s="1">
        <v>7</v>
      </c>
      <c r="G48" s="2">
        <v>8400</v>
      </c>
      <c r="H48" s="1">
        <f>ROUND(E48/G48,2)</f>
        <v>83.33</v>
      </c>
      <c r="I48" s="2">
        <v>8400</v>
      </c>
      <c r="J48" s="15">
        <f t="shared" si="6"/>
        <v>0</v>
      </c>
      <c r="K48" s="15">
        <f t="shared" si="7"/>
        <v>699972</v>
      </c>
    </row>
    <row r="49" spans="1:9" x14ac:dyDescent="0.25">
      <c r="E49" s="2">
        <f>SUM(E40:E48)</f>
        <v>5000000</v>
      </c>
      <c r="F49" s="1">
        <f>SUM(F40:F48)</f>
        <v>55</v>
      </c>
      <c r="G49" s="2">
        <f>SUM(G40:G48)</f>
        <v>56400</v>
      </c>
      <c r="I49" s="2"/>
    </row>
    <row r="52" spans="1:9" x14ac:dyDescent="0.25">
      <c r="A52" s="13" t="s">
        <v>41</v>
      </c>
    </row>
    <row r="53" spans="1:9" x14ac:dyDescent="0.25">
      <c r="B53" t="s">
        <v>42</v>
      </c>
      <c r="C53" t="s">
        <v>28</v>
      </c>
      <c r="D53" t="s">
        <v>43</v>
      </c>
      <c r="E53" s="2" t="s">
        <v>19</v>
      </c>
      <c r="F53" s="1" t="s">
        <v>44</v>
      </c>
      <c r="G53" t="s">
        <v>45</v>
      </c>
    </row>
    <row r="54" spans="1:9" x14ac:dyDescent="0.25">
      <c r="B54" t="s">
        <v>20</v>
      </c>
      <c r="C54" t="s">
        <v>34</v>
      </c>
      <c r="D54" t="s">
        <v>46</v>
      </c>
      <c r="E54" s="2">
        <v>3000</v>
      </c>
      <c r="F54" s="1">
        <f>SUMIFS(H$39:H$48,C$39:C$48,B54,D$39:D$48,C54)</f>
        <v>100</v>
      </c>
      <c r="G54" s="2">
        <f>+E54*F54</f>
        <v>300000</v>
      </c>
      <c r="H54" s="1"/>
    </row>
    <row r="55" spans="1:9" x14ac:dyDescent="0.25">
      <c r="B55" t="s">
        <v>20</v>
      </c>
      <c r="C55" t="s">
        <v>34</v>
      </c>
      <c r="D55" t="s">
        <v>47</v>
      </c>
      <c r="E55" s="2">
        <v>1500</v>
      </c>
      <c r="F55" s="1">
        <f t="shared" ref="F55:F87" si="8">SUMIFS(H$39:H$48,C$39:C$48,B55,D$39:D$48,C55)</f>
        <v>100</v>
      </c>
      <c r="G55" s="2">
        <f t="shared" ref="G55:G87" si="9">+E55*F55</f>
        <v>150000</v>
      </c>
      <c r="H55" s="1"/>
    </row>
    <row r="56" spans="1:9" x14ac:dyDescent="0.25">
      <c r="B56" t="s">
        <v>20</v>
      </c>
      <c r="C56" t="s">
        <v>34</v>
      </c>
      <c r="D56" t="s">
        <v>48</v>
      </c>
      <c r="E56" s="2">
        <v>200</v>
      </c>
      <c r="F56" s="1">
        <f t="shared" si="8"/>
        <v>100</v>
      </c>
      <c r="G56" s="2">
        <f t="shared" si="9"/>
        <v>20000</v>
      </c>
      <c r="H56" s="1"/>
    </row>
    <row r="57" spans="1:9" x14ac:dyDescent="0.25">
      <c r="B57" t="s">
        <v>20</v>
      </c>
      <c r="C57" t="s">
        <v>34</v>
      </c>
      <c r="D57" t="s">
        <v>49</v>
      </c>
      <c r="E57" s="2">
        <v>800</v>
      </c>
      <c r="F57" s="1">
        <f t="shared" si="8"/>
        <v>100</v>
      </c>
      <c r="G57" s="2">
        <f t="shared" si="9"/>
        <v>80000</v>
      </c>
      <c r="H57" s="1"/>
    </row>
    <row r="58" spans="1:9" x14ac:dyDescent="0.25">
      <c r="F58" s="1"/>
      <c r="G58" s="2"/>
      <c r="H58" s="1"/>
    </row>
    <row r="59" spans="1:9" x14ac:dyDescent="0.25">
      <c r="B59" t="s">
        <v>20</v>
      </c>
      <c r="C59" t="s">
        <v>35</v>
      </c>
      <c r="D59" t="s">
        <v>46</v>
      </c>
      <c r="E59" s="10">
        <v>2400</v>
      </c>
      <c r="F59" s="1">
        <f t="shared" si="8"/>
        <v>80</v>
      </c>
      <c r="G59" s="2">
        <f t="shared" si="9"/>
        <v>192000</v>
      </c>
      <c r="H59" s="1"/>
    </row>
    <row r="60" spans="1:9" x14ac:dyDescent="0.25">
      <c r="B60" t="s">
        <v>20</v>
      </c>
      <c r="C60" t="s">
        <v>35</v>
      </c>
      <c r="D60" t="s">
        <v>47</v>
      </c>
      <c r="E60" s="10">
        <v>800</v>
      </c>
      <c r="F60" s="1">
        <f t="shared" si="8"/>
        <v>80</v>
      </c>
      <c r="G60" s="2">
        <f t="shared" si="9"/>
        <v>64000</v>
      </c>
      <c r="H60" s="1"/>
    </row>
    <row r="61" spans="1:9" x14ac:dyDescent="0.25">
      <c r="B61" t="s">
        <v>20</v>
      </c>
      <c r="C61" t="s">
        <v>35</v>
      </c>
      <c r="D61" t="s">
        <v>50</v>
      </c>
      <c r="E61" s="10">
        <v>1600</v>
      </c>
      <c r="F61" s="1">
        <f t="shared" si="8"/>
        <v>80</v>
      </c>
      <c r="G61" s="2">
        <f t="shared" si="9"/>
        <v>128000</v>
      </c>
      <c r="H61" s="1"/>
    </row>
    <row r="62" spans="1:9" x14ac:dyDescent="0.25">
      <c r="B62" t="s">
        <v>20</v>
      </c>
      <c r="C62" t="s">
        <v>35</v>
      </c>
      <c r="D62" t="s">
        <v>49</v>
      </c>
      <c r="E62" s="10">
        <v>200</v>
      </c>
      <c r="F62" s="1">
        <f t="shared" si="8"/>
        <v>80</v>
      </c>
      <c r="G62" s="2">
        <f t="shared" si="9"/>
        <v>16000</v>
      </c>
      <c r="H62" s="1"/>
    </row>
    <row r="63" spans="1:9" x14ac:dyDescent="0.25">
      <c r="E63" s="10"/>
      <c r="F63" s="1"/>
      <c r="G63" s="2"/>
      <c r="H63" s="1"/>
    </row>
    <row r="64" spans="1:9" x14ac:dyDescent="0.25">
      <c r="B64" t="s">
        <v>20</v>
      </c>
      <c r="C64" t="s">
        <v>36</v>
      </c>
      <c r="D64" t="s">
        <v>51</v>
      </c>
      <c r="E64" s="11">
        <v>1600</v>
      </c>
      <c r="F64" s="1">
        <f t="shared" si="8"/>
        <v>50</v>
      </c>
      <c r="G64" s="2">
        <f t="shared" si="9"/>
        <v>80000</v>
      </c>
      <c r="H64" s="1"/>
    </row>
    <row r="65" spans="2:8" x14ac:dyDescent="0.25">
      <c r="B65" t="s">
        <v>20</v>
      </c>
      <c r="C65" t="s">
        <v>36</v>
      </c>
      <c r="D65" t="s">
        <v>52</v>
      </c>
      <c r="E65" s="10">
        <v>1400</v>
      </c>
      <c r="F65" s="1">
        <f t="shared" si="8"/>
        <v>50</v>
      </c>
      <c r="G65" s="2">
        <f t="shared" si="9"/>
        <v>70000</v>
      </c>
      <c r="H65" s="1"/>
    </row>
    <row r="66" spans="2:8" x14ac:dyDescent="0.25">
      <c r="B66" t="s">
        <v>20</v>
      </c>
      <c r="C66" t="s">
        <v>36</v>
      </c>
      <c r="D66" t="s">
        <v>50</v>
      </c>
      <c r="E66" s="10">
        <v>1700</v>
      </c>
      <c r="F66" s="1">
        <f t="shared" si="8"/>
        <v>50</v>
      </c>
      <c r="G66" s="2">
        <f t="shared" si="9"/>
        <v>85000</v>
      </c>
      <c r="H66" s="1"/>
    </row>
    <row r="67" spans="2:8" x14ac:dyDescent="0.25">
      <c r="B67" t="s">
        <v>20</v>
      </c>
      <c r="C67" t="s">
        <v>36</v>
      </c>
      <c r="D67" t="s">
        <v>49</v>
      </c>
      <c r="E67" s="10">
        <v>300</v>
      </c>
      <c r="F67" s="1">
        <f t="shared" si="8"/>
        <v>50</v>
      </c>
      <c r="G67" s="2">
        <f t="shared" si="9"/>
        <v>15000</v>
      </c>
      <c r="H67" s="1"/>
    </row>
    <row r="68" spans="2:8" x14ac:dyDescent="0.25">
      <c r="E68" s="10"/>
      <c r="F68" s="1"/>
      <c r="G68" s="2"/>
      <c r="H68" s="1"/>
    </row>
    <row r="69" spans="2:8" x14ac:dyDescent="0.25">
      <c r="B69" t="s">
        <v>21</v>
      </c>
      <c r="C69" t="s">
        <v>34</v>
      </c>
      <c r="D69" t="s">
        <v>53</v>
      </c>
      <c r="E69" s="10">
        <v>1700</v>
      </c>
      <c r="F69" s="1">
        <f t="shared" si="8"/>
        <v>133.33000000000001</v>
      </c>
      <c r="G69" s="2">
        <f t="shared" si="9"/>
        <v>226661.00000000003</v>
      </c>
      <c r="H69" s="1"/>
    </row>
    <row r="70" spans="2:8" x14ac:dyDescent="0.25">
      <c r="B70" t="s">
        <v>21</v>
      </c>
      <c r="C70" t="s">
        <v>34</v>
      </c>
      <c r="D70" t="s">
        <v>48</v>
      </c>
      <c r="E70" s="10">
        <v>1300</v>
      </c>
      <c r="F70" s="1">
        <f t="shared" si="8"/>
        <v>133.33000000000001</v>
      </c>
      <c r="G70" s="2">
        <f t="shared" si="9"/>
        <v>173329.00000000003</v>
      </c>
      <c r="H70" s="1"/>
    </row>
    <row r="71" spans="2:8" x14ac:dyDescent="0.25">
      <c r="B71" t="s">
        <v>21</v>
      </c>
      <c r="C71" t="s">
        <v>34</v>
      </c>
      <c r="D71" t="s">
        <v>49</v>
      </c>
      <c r="E71" s="10">
        <v>300</v>
      </c>
      <c r="F71" s="1">
        <f t="shared" si="8"/>
        <v>133.33000000000001</v>
      </c>
      <c r="G71" s="2">
        <f t="shared" si="9"/>
        <v>39999.000000000007</v>
      </c>
      <c r="H71" s="1"/>
    </row>
    <row r="72" spans="2:8" x14ac:dyDescent="0.25">
      <c r="E72" s="10"/>
      <c r="F72" s="1"/>
      <c r="G72" s="2"/>
      <c r="H72" s="1"/>
    </row>
    <row r="73" spans="2:8" x14ac:dyDescent="0.25">
      <c r="B73" t="s">
        <v>21</v>
      </c>
      <c r="C73" t="s">
        <v>35</v>
      </c>
      <c r="D73" t="s">
        <v>47</v>
      </c>
      <c r="E73" s="10">
        <v>2500</v>
      </c>
      <c r="F73" s="1">
        <f t="shared" si="8"/>
        <v>100</v>
      </c>
      <c r="G73" s="2">
        <f t="shared" si="9"/>
        <v>250000</v>
      </c>
      <c r="H73" s="1"/>
    </row>
    <row r="74" spans="2:8" x14ac:dyDescent="0.25">
      <c r="B74" t="s">
        <v>21</v>
      </c>
      <c r="C74" t="s">
        <v>35</v>
      </c>
      <c r="D74" t="s">
        <v>53</v>
      </c>
      <c r="E74" s="10">
        <v>100</v>
      </c>
      <c r="F74" s="1">
        <f t="shared" si="8"/>
        <v>100</v>
      </c>
      <c r="G74" s="2">
        <f t="shared" si="9"/>
        <v>10000</v>
      </c>
      <c r="H74" s="1"/>
    </row>
    <row r="75" spans="2:8" x14ac:dyDescent="0.25">
      <c r="B75" t="s">
        <v>21</v>
      </c>
      <c r="C75" t="s">
        <v>35</v>
      </c>
      <c r="D75" t="s">
        <v>48</v>
      </c>
      <c r="E75" s="10">
        <v>100</v>
      </c>
      <c r="F75" s="1">
        <f t="shared" si="8"/>
        <v>100</v>
      </c>
      <c r="G75" s="2">
        <f t="shared" si="9"/>
        <v>10000</v>
      </c>
      <c r="H75" s="1"/>
    </row>
    <row r="76" spans="2:8" x14ac:dyDescent="0.25">
      <c r="B76" t="s">
        <v>21</v>
      </c>
      <c r="C76" t="s">
        <v>35</v>
      </c>
      <c r="D76" t="s">
        <v>49</v>
      </c>
      <c r="E76" s="10">
        <v>300</v>
      </c>
      <c r="F76" s="1">
        <f t="shared" si="8"/>
        <v>100</v>
      </c>
      <c r="G76" s="2">
        <f t="shared" si="9"/>
        <v>30000</v>
      </c>
      <c r="H76" s="1"/>
    </row>
    <row r="77" spans="2:8" x14ac:dyDescent="0.25">
      <c r="E77" s="3"/>
      <c r="F77" s="1"/>
      <c r="G77" s="2"/>
    </row>
    <row r="78" spans="2:8" x14ac:dyDescent="0.25">
      <c r="B78" t="s">
        <v>20</v>
      </c>
      <c r="C78" t="s">
        <v>40</v>
      </c>
      <c r="D78" t="s">
        <v>51</v>
      </c>
      <c r="E78" s="11">
        <v>2000</v>
      </c>
      <c r="F78" s="1">
        <f t="shared" si="8"/>
        <v>83.33</v>
      </c>
      <c r="G78" s="2">
        <f t="shared" si="9"/>
        <v>166660</v>
      </c>
      <c r="H78" s="1"/>
    </row>
    <row r="79" spans="2:8" x14ac:dyDescent="0.25">
      <c r="B79" t="s">
        <v>20</v>
      </c>
      <c r="C79" t="s">
        <v>40</v>
      </c>
      <c r="D79" t="s">
        <v>52</v>
      </c>
      <c r="E79" s="11">
        <v>1800</v>
      </c>
      <c r="F79" s="1">
        <f t="shared" si="8"/>
        <v>83.33</v>
      </c>
      <c r="G79" s="2">
        <f t="shared" si="9"/>
        <v>149994</v>
      </c>
      <c r="H79" s="1"/>
    </row>
    <row r="80" spans="2:8" x14ac:dyDescent="0.25">
      <c r="B80" t="s">
        <v>20</v>
      </c>
      <c r="C80" t="s">
        <v>40</v>
      </c>
      <c r="D80" t="s">
        <v>50</v>
      </c>
      <c r="E80" s="10">
        <v>4200</v>
      </c>
      <c r="F80" s="1">
        <f t="shared" si="8"/>
        <v>83.33</v>
      </c>
      <c r="G80" s="2">
        <f t="shared" si="9"/>
        <v>349986</v>
      </c>
      <c r="H80" s="1"/>
    </row>
    <row r="81" spans="2:7" x14ac:dyDescent="0.25">
      <c r="B81" t="s">
        <v>20</v>
      </c>
      <c r="C81" t="s">
        <v>40</v>
      </c>
      <c r="D81" t="s">
        <v>49</v>
      </c>
      <c r="E81" s="10">
        <v>400</v>
      </c>
      <c r="F81" s="1">
        <f t="shared" si="8"/>
        <v>83.33</v>
      </c>
      <c r="G81" s="2">
        <f t="shared" si="9"/>
        <v>33332</v>
      </c>
    </row>
    <row r="82" spans="2:7" x14ac:dyDescent="0.25">
      <c r="F82" s="1"/>
      <c r="G82" s="2"/>
    </row>
    <row r="83" spans="2:7" x14ac:dyDescent="0.25">
      <c r="B83" t="s">
        <v>22</v>
      </c>
      <c r="C83" t="s">
        <v>37</v>
      </c>
      <c r="D83" t="s">
        <v>54</v>
      </c>
      <c r="E83" s="2">
        <v>6000</v>
      </c>
      <c r="F83" s="1">
        <f t="shared" si="8"/>
        <v>58.33</v>
      </c>
      <c r="G83" s="2">
        <f t="shared" si="9"/>
        <v>349980</v>
      </c>
    </row>
    <row r="84" spans="2:7" x14ac:dyDescent="0.25">
      <c r="F84" s="1"/>
      <c r="G84" s="2"/>
    </row>
    <row r="85" spans="2:7" x14ac:dyDescent="0.25">
      <c r="B85" t="s">
        <v>23</v>
      </c>
      <c r="C85" t="s">
        <v>38</v>
      </c>
      <c r="D85" t="s">
        <v>55</v>
      </c>
      <c r="E85" s="2">
        <v>5000</v>
      </c>
      <c r="F85" s="1">
        <f t="shared" si="8"/>
        <v>90</v>
      </c>
      <c r="G85" s="2">
        <f t="shared" si="9"/>
        <v>450000</v>
      </c>
    </row>
    <row r="86" spans="2:7" x14ac:dyDescent="0.25">
      <c r="F86" s="1"/>
      <c r="G86" s="2"/>
    </row>
    <row r="87" spans="2:7" x14ac:dyDescent="0.25">
      <c r="B87" t="s">
        <v>24</v>
      </c>
      <c r="C87" t="s">
        <v>39</v>
      </c>
      <c r="D87" t="s">
        <v>56</v>
      </c>
      <c r="E87" s="2">
        <v>15000</v>
      </c>
      <c r="F87" s="1">
        <f t="shared" si="8"/>
        <v>106.67</v>
      </c>
      <c r="G87" s="2">
        <f t="shared" si="9"/>
        <v>1600050</v>
      </c>
    </row>
  </sheetData>
  <phoneticPr fontId="4" type="noConversion"/>
  <pageMargins left="0.7" right="0.7" top="0.75" bottom="0.75" header="0.3" footer="0.3"/>
  <ignoredErrors>
    <ignoredError sqref="H19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93E85-D04D-48B7-95CB-C0044EE9F083}">
  <dimension ref="A1:F40"/>
  <sheetViews>
    <sheetView topLeftCell="A23" workbookViewId="0">
      <selection activeCell="A39" sqref="A39:XFD39"/>
    </sheetView>
  </sheetViews>
  <sheetFormatPr defaultRowHeight="15" x14ac:dyDescent="0.25"/>
  <cols>
    <col min="1" max="1" width="20" customWidth="1"/>
    <col min="2" max="3" width="12.5703125" customWidth="1"/>
    <col min="4" max="4" width="12.28515625" bestFit="1" customWidth="1"/>
    <col min="5" max="5" width="14.42578125" bestFit="1" customWidth="1"/>
    <col min="6" max="6" width="12" bestFit="1" customWidth="1"/>
  </cols>
  <sheetData>
    <row r="1" spans="1:6" x14ac:dyDescent="0.25">
      <c r="A1" t="s">
        <v>15</v>
      </c>
      <c r="B1" t="s">
        <v>16</v>
      </c>
      <c r="C1" t="s">
        <v>17</v>
      </c>
      <c r="D1" t="s">
        <v>57</v>
      </c>
      <c r="E1" t="s">
        <v>58</v>
      </c>
      <c r="F1" t="s">
        <v>59</v>
      </c>
    </row>
    <row r="2" spans="1:6" x14ac:dyDescent="0.25">
      <c r="A2" t="s">
        <v>20</v>
      </c>
      <c r="B2" s="19">
        <f>SUMIF(Voorbewerking!C17:C35,Verdeelsleutels!A2,Voorbewerking!F17:F35)</f>
        <v>23</v>
      </c>
      <c r="C2" s="5">
        <f>SUMIF(Voorbewerking!C17:C35,Verdeelsleutels!A2,Voorbewerking!G17:G35)</f>
        <v>27</v>
      </c>
      <c r="D2" s="2">
        <v>23</v>
      </c>
      <c r="E2" s="2">
        <v>27</v>
      </c>
      <c r="F2" s="2">
        <v>30</v>
      </c>
    </row>
    <row r="3" spans="1:6" x14ac:dyDescent="0.25">
      <c r="A3" t="s">
        <v>21</v>
      </c>
      <c r="B3" s="1">
        <f>SUMIF(Voorbewerking!C18:C36,Verdeelsleutels!A3,Voorbewerking!F18:F36)</f>
        <v>6</v>
      </c>
      <c r="C3" s="5">
        <f>SUMIF(Voorbewerking!C18:C36,Verdeelsleutels!A3,Voorbewerking!G18:G36)</f>
        <v>8</v>
      </c>
      <c r="D3" s="2">
        <v>6</v>
      </c>
      <c r="E3" s="2">
        <v>8</v>
      </c>
      <c r="F3" s="2">
        <v>10</v>
      </c>
    </row>
    <row r="4" spans="1:6" x14ac:dyDescent="0.25">
      <c r="A4" t="s">
        <v>22</v>
      </c>
      <c r="B4" s="21">
        <f>SUMIF(Voorbewerking!C19:C37,Verdeelsleutels!A4,Voorbewerking!F19:F37)</f>
        <v>6</v>
      </c>
      <c r="C4" s="23">
        <f>SUMIF(Voorbewerking!C19:C37,Verdeelsleutels!A4,Voorbewerking!G19:G37)</f>
        <v>6</v>
      </c>
      <c r="D4" s="22">
        <v>4</v>
      </c>
      <c r="E4" s="22">
        <v>6</v>
      </c>
      <c r="F4" s="22">
        <v>6</v>
      </c>
    </row>
    <row r="5" spans="1:6" x14ac:dyDescent="0.25">
      <c r="A5" t="s">
        <v>23</v>
      </c>
      <c r="B5" s="21">
        <f>SUMIF(Voorbewerking!C20:C38,Verdeelsleutels!A5,Voorbewerking!F20:F38)</f>
        <v>5</v>
      </c>
      <c r="C5" s="23">
        <f>SUMIF(Voorbewerking!C20:C38,Verdeelsleutels!A5,Voorbewerking!G20:G38)</f>
        <v>8</v>
      </c>
      <c r="D5" s="22">
        <v>5</v>
      </c>
      <c r="E5" s="22">
        <v>8</v>
      </c>
      <c r="F5" s="22">
        <v>8</v>
      </c>
    </row>
    <row r="6" spans="1:6" x14ac:dyDescent="0.25">
      <c r="A6" t="s">
        <v>24</v>
      </c>
      <c r="B6" s="1">
        <f>SUMIF(Voorbewerking!C21:C39,Verdeelsleutels!A6,Voorbewerking!F21:F39)</f>
        <v>15</v>
      </c>
      <c r="C6" s="5">
        <f>SUMIF(Voorbewerking!C21:C39,Verdeelsleutels!A6,Voorbewerking!G21:G39)</f>
        <v>15</v>
      </c>
      <c r="D6" s="2">
        <v>12</v>
      </c>
      <c r="E6" s="2">
        <v>15</v>
      </c>
      <c r="F6" s="2">
        <v>20</v>
      </c>
    </row>
    <row r="7" spans="1:6" x14ac:dyDescent="0.25">
      <c r="B7" s="3">
        <f>SUM(B2:B6)</f>
        <v>55</v>
      </c>
      <c r="C7" s="4">
        <f>SUM(C2:C6)</f>
        <v>64</v>
      </c>
      <c r="D7" s="2">
        <f>SUM(D2:D6)</f>
        <v>50</v>
      </c>
      <c r="E7" s="2">
        <f t="shared" ref="E7:F7" si="0">SUM(E2:E6)</f>
        <v>64</v>
      </c>
      <c r="F7" s="2">
        <f t="shared" si="0"/>
        <v>74</v>
      </c>
    </row>
    <row r="9" spans="1:6" x14ac:dyDescent="0.25">
      <c r="A9" t="s">
        <v>15</v>
      </c>
      <c r="B9" t="s">
        <v>28</v>
      </c>
      <c r="C9" t="s">
        <v>16</v>
      </c>
      <c r="D9" t="s">
        <v>19</v>
      </c>
    </row>
    <row r="10" spans="1:6" x14ac:dyDescent="0.25">
      <c r="A10" t="s">
        <v>20</v>
      </c>
      <c r="B10" t="s">
        <v>34</v>
      </c>
      <c r="C10" s="3">
        <f>+Voorbewerking!F40</f>
        <v>5</v>
      </c>
      <c r="D10" s="2">
        <f>+Voorbewerking!I40</f>
        <v>5500</v>
      </c>
    </row>
    <row r="11" spans="1:6" x14ac:dyDescent="0.25">
      <c r="A11" t="s">
        <v>20</v>
      </c>
      <c r="B11" t="s">
        <v>35</v>
      </c>
      <c r="C11" s="3">
        <f>+Voorbewerking!F41</f>
        <v>5</v>
      </c>
      <c r="D11" s="2">
        <f>+Voorbewerking!I41</f>
        <v>5000</v>
      </c>
    </row>
    <row r="12" spans="1:6" x14ac:dyDescent="0.25">
      <c r="A12" t="s">
        <v>20</v>
      </c>
      <c r="B12" t="s">
        <v>36</v>
      </c>
      <c r="C12" s="3">
        <f>+Voorbewerking!F42</f>
        <v>6</v>
      </c>
      <c r="D12" s="2">
        <f>+Voorbewerking!I42</f>
        <v>5000</v>
      </c>
    </row>
    <row r="13" spans="1:6" x14ac:dyDescent="0.25">
      <c r="A13" t="s">
        <v>21</v>
      </c>
      <c r="B13" t="s">
        <v>34</v>
      </c>
      <c r="C13" s="3">
        <f>+Voorbewerking!F43</f>
        <v>3</v>
      </c>
      <c r="D13" s="2">
        <f>+Voorbewerking!I43</f>
        <v>3300</v>
      </c>
    </row>
    <row r="14" spans="1:6" x14ac:dyDescent="0.25">
      <c r="A14" t="s">
        <v>21</v>
      </c>
      <c r="B14" t="s">
        <v>35</v>
      </c>
      <c r="C14" s="3">
        <f>+Voorbewerking!F44</f>
        <v>3</v>
      </c>
      <c r="D14" s="2">
        <f>+Voorbewerking!I44</f>
        <v>3000</v>
      </c>
    </row>
    <row r="15" spans="1:6" x14ac:dyDescent="0.25">
      <c r="A15" t="s">
        <v>20</v>
      </c>
      <c r="B15" t="s">
        <v>40</v>
      </c>
      <c r="C15" s="3">
        <f>+Voorbewerking!F48</f>
        <v>7</v>
      </c>
      <c r="D15" s="2">
        <f>+Voorbewerking!I48</f>
        <v>8400</v>
      </c>
    </row>
    <row r="16" spans="1:6" x14ac:dyDescent="0.25">
      <c r="C16" s="3">
        <f>SUM(C10:C15)</f>
        <v>29</v>
      </c>
      <c r="D16" s="2">
        <f>SUM(D10:D15)</f>
        <v>30200</v>
      </c>
    </row>
    <row r="19" spans="1:5" x14ac:dyDescent="0.25">
      <c r="A19" s="13" t="s">
        <v>60</v>
      </c>
    </row>
    <row r="20" spans="1:5" x14ac:dyDescent="0.25">
      <c r="A20" t="s">
        <v>61</v>
      </c>
      <c r="B20" t="s">
        <v>62</v>
      </c>
      <c r="C20" s="12" t="s">
        <v>63</v>
      </c>
      <c r="D20" s="12" t="s">
        <v>64</v>
      </c>
      <c r="E20" s="12" t="s">
        <v>65</v>
      </c>
    </row>
    <row r="21" spans="1:5" x14ac:dyDescent="0.25">
      <c r="A21" t="s">
        <v>66</v>
      </c>
      <c r="B21" s="2">
        <v>900000</v>
      </c>
      <c r="C21" s="28">
        <v>0.5</v>
      </c>
      <c r="D21" s="28">
        <v>0.5</v>
      </c>
      <c r="E21" s="12"/>
    </row>
    <row r="22" spans="1:5" x14ac:dyDescent="0.25">
      <c r="A22" t="s">
        <v>67</v>
      </c>
      <c r="B22" s="2">
        <v>500000</v>
      </c>
      <c r="C22" s="28">
        <v>0.25</v>
      </c>
      <c r="D22" s="28">
        <v>0.75</v>
      </c>
      <c r="E22" s="28"/>
    </row>
    <row r="23" spans="1:5" x14ac:dyDescent="0.25">
      <c r="A23" t="s">
        <v>68</v>
      </c>
      <c r="B23" s="2">
        <v>1000000</v>
      </c>
      <c r="C23" s="28">
        <v>0.25</v>
      </c>
      <c r="D23" s="28">
        <v>0.25</v>
      </c>
      <c r="E23" s="28">
        <v>0.5</v>
      </c>
    </row>
    <row r="24" spans="1:5" x14ac:dyDescent="0.25">
      <c r="A24" t="s">
        <v>69</v>
      </c>
      <c r="B24" s="2">
        <v>350000</v>
      </c>
      <c r="C24" s="28"/>
      <c r="D24" s="28"/>
      <c r="E24" s="28">
        <v>1</v>
      </c>
    </row>
    <row r="25" spans="1:5" x14ac:dyDescent="0.25">
      <c r="A25" t="s">
        <v>70</v>
      </c>
      <c r="B25" s="22">
        <v>1000000</v>
      </c>
      <c r="C25" s="12"/>
      <c r="D25" s="12"/>
      <c r="E25" s="12"/>
    </row>
    <row r="26" spans="1:5" x14ac:dyDescent="0.25">
      <c r="A26" t="s">
        <v>71</v>
      </c>
      <c r="B26" s="22">
        <v>100000</v>
      </c>
      <c r="C26" s="12"/>
      <c r="D26" s="12"/>
      <c r="E26" s="12"/>
    </row>
    <row r="27" spans="1:5" x14ac:dyDescent="0.25">
      <c r="A27" t="s">
        <v>72</v>
      </c>
      <c r="B27" s="4">
        <f>SUM(B21:B26)</f>
        <v>3850000</v>
      </c>
      <c r="C27" s="12"/>
      <c r="D27" s="12"/>
      <c r="E27" s="12"/>
    </row>
    <row r="28" spans="1:5" x14ac:dyDescent="0.25">
      <c r="C28" s="12"/>
      <c r="D28" s="12"/>
      <c r="E28" s="12"/>
    </row>
    <row r="29" spans="1:5" x14ac:dyDescent="0.25">
      <c r="A29" t="s">
        <v>43</v>
      </c>
      <c r="C29" s="12" t="s">
        <v>63</v>
      </c>
      <c r="D29" s="12" t="s">
        <v>64</v>
      </c>
      <c r="E29" s="12" t="s">
        <v>65</v>
      </c>
    </row>
    <row r="30" spans="1:5" x14ac:dyDescent="0.25">
      <c r="A30" t="s">
        <v>51</v>
      </c>
      <c r="C30" s="28">
        <v>1</v>
      </c>
      <c r="D30" s="28"/>
      <c r="E30" s="28"/>
    </row>
    <row r="31" spans="1:5" x14ac:dyDescent="0.25">
      <c r="A31" t="s">
        <v>46</v>
      </c>
      <c r="C31" s="28">
        <v>1</v>
      </c>
      <c r="D31" s="28"/>
      <c r="E31" s="28"/>
    </row>
    <row r="32" spans="1:5" x14ac:dyDescent="0.25">
      <c r="A32" t="s">
        <v>53</v>
      </c>
      <c r="C32" s="28">
        <v>1</v>
      </c>
      <c r="D32" s="28"/>
      <c r="E32" s="28"/>
    </row>
    <row r="33" spans="1:5" x14ac:dyDescent="0.25">
      <c r="A33" t="s">
        <v>52</v>
      </c>
      <c r="C33" s="28"/>
      <c r="D33" s="28">
        <v>1</v>
      </c>
      <c r="E33" s="28"/>
    </row>
    <row r="34" spans="1:5" x14ac:dyDescent="0.25">
      <c r="A34" t="s">
        <v>47</v>
      </c>
      <c r="C34" s="28"/>
      <c r="D34" s="28">
        <v>1</v>
      </c>
      <c r="E34" s="28"/>
    </row>
    <row r="35" spans="1:5" x14ac:dyDescent="0.25">
      <c r="A35" t="s">
        <v>48</v>
      </c>
      <c r="C35" s="28"/>
      <c r="D35" s="28">
        <v>1</v>
      </c>
      <c r="E35" s="28"/>
    </row>
    <row r="36" spans="1:5" x14ac:dyDescent="0.25">
      <c r="A36" t="s">
        <v>50</v>
      </c>
      <c r="C36" s="28"/>
      <c r="D36" s="28"/>
      <c r="E36" s="28">
        <v>1</v>
      </c>
    </row>
    <row r="37" spans="1:5" x14ac:dyDescent="0.25">
      <c r="C37" s="12"/>
      <c r="D37" s="12"/>
      <c r="E37" s="12"/>
    </row>
    <row r="38" spans="1:5" x14ac:dyDescent="0.25">
      <c r="A38" t="s">
        <v>15</v>
      </c>
      <c r="C38" s="12" t="s">
        <v>63</v>
      </c>
      <c r="D38" s="12" t="s">
        <v>64</v>
      </c>
      <c r="E38" s="12" t="s">
        <v>65</v>
      </c>
    </row>
    <row r="39" spans="1:5" x14ac:dyDescent="0.25">
      <c r="A39" t="s">
        <v>20</v>
      </c>
      <c r="C39" s="28">
        <f>1/3</f>
        <v>0.33333333333333331</v>
      </c>
      <c r="D39" s="28">
        <f t="shared" ref="D39:E39" si="1">1/3</f>
        <v>0.33333333333333331</v>
      </c>
      <c r="E39" s="28">
        <f t="shared" si="1"/>
        <v>0.33333333333333331</v>
      </c>
    </row>
    <row r="40" spans="1:5" x14ac:dyDescent="0.25">
      <c r="A40" t="s">
        <v>21</v>
      </c>
      <c r="C40" s="28">
        <f>1/2</f>
        <v>0.5</v>
      </c>
      <c r="D40" s="28">
        <f>1/2</f>
        <v>0.5</v>
      </c>
      <c r="E40" s="12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C1A9C-EC4C-48A6-B166-CF8DE0025469}">
  <dimension ref="A1:G21"/>
  <sheetViews>
    <sheetView workbookViewId="0">
      <selection activeCell="A12" sqref="A12:A14"/>
    </sheetView>
  </sheetViews>
  <sheetFormatPr defaultRowHeight="15" x14ac:dyDescent="0.25"/>
  <cols>
    <col min="1" max="1" width="17.140625" customWidth="1"/>
    <col min="2" max="2" width="18" bestFit="1" customWidth="1"/>
    <col min="3" max="6" width="17.140625" customWidth="1"/>
    <col min="8" max="8" width="10" bestFit="1" customWidth="1"/>
    <col min="13" max="13" width="13.5703125" bestFit="1" customWidth="1"/>
    <col min="14" max="14" width="11.140625" bestFit="1" customWidth="1"/>
    <col min="15" max="15" width="15.5703125" bestFit="1" customWidth="1"/>
    <col min="16" max="16" width="9" bestFit="1" customWidth="1"/>
    <col min="17" max="17" width="13.7109375" bestFit="1" customWidth="1"/>
    <col min="18" max="18" width="15.42578125" bestFit="1" customWidth="1"/>
  </cols>
  <sheetData>
    <row r="1" spans="1:7" x14ac:dyDescent="0.25">
      <c r="B1" t="s">
        <v>73</v>
      </c>
      <c r="C1" t="s">
        <v>74</v>
      </c>
      <c r="D1" t="s">
        <v>75</v>
      </c>
      <c r="E1" t="s">
        <v>76</v>
      </c>
      <c r="F1" t="s">
        <v>77</v>
      </c>
    </row>
    <row r="2" spans="1:7" x14ac:dyDescent="0.25">
      <c r="A2" t="s">
        <v>78</v>
      </c>
      <c r="B2" s="2">
        <v>4000</v>
      </c>
      <c r="C2" s="2">
        <v>3600</v>
      </c>
      <c r="D2" s="1">
        <v>1250</v>
      </c>
      <c r="E2" s="2">
        <f>+B2*D2</f>
        <v>5000000</v>
      </c>
      <c r="F2" s="2">
        <f>+C2*D2</f>
        <v>4500000</v>
      </c>
    </row>
    <row r="3" spans="1:7" x14ac:dyDescent="0.25">
      <c r="A3" t="s">
        <v>79</v>
      </c>
      <c r="B3" s="2">
        <v>1600</v>
      </c>
      <c r="C3" s="2">
        <v>1600</v>
      </c>
      <c r="D3" s="1">
        <v>2500</v>
      </c>
      <c r="E3" s="2">
        <f t="shared" ref="E3:E4" si="0">+B3*D3</f>
        <v>4000000</v>
      </c>
      <c r="F3" s="2">
        <f t="shared" ref="F3:F4" si="1">+C3*D3</f>
        <v>4000000</v>
      </c>
    </row>
    <row r="4" spans="1:7" x14ac:dyDescent="0.25">
      <c r="A4" t="s">
        <v>80</v>
      </c>
      <c r="B4" s="2">
        <v>8000</v>
      </c>
      <c r="C4" s="2">
        <v>10000</v>
      </c>
      <c r="D4" s="1">
        <v>250</v>
      </c>
      <c r="E4" s="2">
        <f t="shared" si="0"/>
        <v>2000000</v>
      </c>
      <c r="F4" s="2">
        <f t="shared" si="1"/>
        <v>2500000</v>
      </c>
    </row>
    <row r="5" spans="1:7" x14ac:dyDescent="0.25">
      <c r="A5" s="7" t="s">
        <v>4</v>
      </c>
      <c r="B5" s="12"/>
      <c r="C5" s="12"/>
      <c r="D5" s="12"/>
      <c r="E5" s="8">
        <f>SUM(E2:E4)</f>
        <v>11000000</v>
      </c>
      <c r="F5" s="8">
        <f>SUM(F2:F4)</f>
        <v>11000000</v>
      </c>
    </row>
    <row r="11" spans="1:7" x14ac:dyDescent="0.25">
      <c r="A11" t="s">
        <v>81</v>
      </c>
      <c r="B11" t="s">
        <v>43</v>
      </c>
      <c r="C11" t="s">
        <v>82</v>
      </c>
      <c r="D11" t="s">
        <v>74</v>
      </c>
      <c r="E11" t="s">
        <v>83</v>
      </c>
      <c r="F11" t="s">
        <v>84</v>
      </c>
    </row>
    <row r="12" spans="1:7" x14ac:dyDescent="0.25">
      <c r="A12" t="s">
        <v>24</v>
      </c>
      <c r="B12" t="s">
        <v>51</v>
      </c>
      <c r="C12" s="1">
        <v>1</v>
      </c>
      <c r="D12" s="2">
        <f>+C$2</f>
        <v>3600</v>
      </c>
      <c r="E12" s="4">
        <f>+C12*D12</f>
        <v>3600</v>
      </c>
      <c r="F12" s="2">
        <f>SUMIF(Voorbewerking!D$53:D$85,Omzet!B12,Voorbewerking!E$53:E$85)-E12</f>
        <v>0</v>
      </c>
      <c r="G12" s="4"/>
    </row>
    <row r="13" spans="1:7" x14ac:dyDescent="0.25">
      <c r="A13" t="s">
        <v>24</v>
      </c>
      <c r="B13" t="s">
        <v>46</v>
      </c>
      <c r="C13" s="1">
        <v>1.5</v>
      </c>
      <c r="D13" s="2">
        <f t="shared" ref="D13:D14" si="2">+C$2</f>
        <v>3600</v>
      </c>
      <c r="E13" s="4">
        <f>+C13*D13</f>
        <v>5400</v>
      </c>
      <c r="F13" s="2">
        <f>SUMIF(Voorbewerking!D$53:D$85,Omzet!B13,Voorbewerking!E$53:E$85)-E13</f>
        <v>0</v>
      </c>
      <c r="G13" s="4"/>
    </row>
    <row r="14" spans="1:7" x14ac:dyDescent="0.25">
      <c r="A14" t="s">
        <v>24</v>
      </c>
      <c r="B14" t="s">
        <v>53</v>
      </c>
      <c r="C14" s="1">
        <v>0.5</v>
      </c>
      <c r="D14" s="2">
        <f t="shared" si="2"/>
        <v>3600</v>
      </c>
      <c r="E14" s="4">
        <f>+C14*D14</f>
        <v>1800</v>
      </c>
      <c r="F14" s="2">
        <f>SUMIF(Voorbewerking!D$53:D$85,Omzet!B14,Voorbewerking!E$53:E$85)-E14</f>
        <v>0</v>
      </c>
      <c r="G14" s="4"/>
    </row>
    <row r="15" spans="1:7" x14ac:dyDescent="0.25">
      <c r="C15" s="1"/>
      <c r="D15" s="2"/>
      <c r="E15" s="4"/>
      <c r="F15" s="2"/>
      <c r="G15" s="4"/>
    </row>
    <row r="16" spans="1:7" x14ac:dyDescent="0.25">
      <c r="A16" t="s">
        <v>85</v>
      </c>
      <c r="B16" t="s">
        <v>52</v>
      </c>
      <c r="C16" s="1">
        <v>2</v>
      </c>
      <c r="D16" s="2">
        <f>+C$3</f>
        <v>1600</v>
      </c>
      <c r="E16" s="4">
        <f>+C16*D16</f>
        <v>3200</v>
      </c>
      <c r="F16" s="2">
        <f>SUMIF(Voorbewerking!D$53:D$85,Omzet!B16,Voorbewerking!E$53:E$85)-E16</f>
        <v>0</v>
      </c>
      <c r="G16" s="4"/>
    </row>
    <row r="17" spans="1:7" x14ac:dyDescent="0.25">
      <c r="A17" t="s">
        <v>85</v>
      </c>
      <c r="B17" t="s">
        <v>47</v>
      </c>
      <c r="C17" s="1">
        <v>3</v>
      </c>
      <c r="D17" s="2">
        <f t="shared" ref="D17:D18" si="3">+C$3</f>
        <v>1600</v>
      </c>
      <c r="E17" s="4">
        <f>+C17*D17</f>
        <v>4800</v>
      </c>
      <c r="F17" s="2">
        <f>SUMIF(Voorbewerking!D$53:D$85,Omzet!B17,Voorbewerking!E$53:E$85)-E17</f>
        <v>0</v>
      </c>
      <c r="G17" s="4"/>
    </row>
    <row r="18" spans="1:7" x14ac:dyDescent="0.25">
      <c r="A18" t="s">
        <v>85</v>
      </c>
      <c r="B18" t="s">
        <v>48</v>
      </c>
      <c r="C18" s="1">
        <v>1</v>
      </c>
      <c r="D18" s="2">
        <f t="shared" si="3"/>
        <v>1600</v>
      </c>
      <c r="E18" s="4">
        <f>+C18*D18</f>
        <v>1600</v>
      </c>
      <c r="F18" s="2">
        <f>SUMIF(Voorbewerking!D$53:D$85,Omzet!B18,Voorbewerking!E$53:E$85)-E18</f>
        <v>0</v>
      </c>
      <c r="G18" s="4"/>
    </row>
    <row r="19" spans="1:7" x14ac:dyDescent="0.25">
      <c r="C19" s="1"/>
      <c r="D19" s="2"/>
      <c r="E19" s="4"/>
      <c r="F19" s="2"/>
      <c r="G19" s="4"/>
    </row>
    <row r="20" spans="1:7" x14ac:dyDescent="0.25">
      <c r="A20" t="s">
        <v>86</v>
      </c>
      <c r="B20" t="s">
        <v>50</v>
      </c>
      <c r="C20" s="1">
        <v>0.75</v>
      </c>
      <c r="D20" s="2">
        <f>+C$4</f>
        <v>10000</v>
      </c>
      <c r="E20" s="4">
        <f>+C20*D20</f>
        <v>7500</v>
      </c>
      <c r="F20" s="2">
        <f>SUMIF(Voorbewerking!D$53:D$85,Omzet!B20,Voorbewerking!E$53:E$85)-E20</f>
        <v>0</v>
      </c>
      <c r="G20" s="4"/>
    </row>
    <row r="21" spans="1:7" x14ac:dyDescent="0.25">
      <c r="E21" s="4">
        <f>SUM(E12:E20)</f>
        <v>27900</v>
      </c>
      <c r="F21" s="4">
        <f>SUM(F12:F20)</f>
        <v>0</v>
      </c>
      <c r="G21" s="4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2752F-B7EF-40F4-9865-30EF66088A4D}">
  <dimension ref="A1:BY43"/>
  <sheetViews>
    <sheetView tabSelected="1" workbookViewId="0">
      <selection activeCell="BJ30" sqref="BJ30"/>
    </sheetView>
  </sheetViews>
  <sheetFormatPr defaultRowHeight="15" x14ac:dyDescent="0.25"/>
  <cols>
    <col min="1" max="1" width="4" bestFit="1" customWidth="1"/>
    <col min="2" max="2" width="32.140625" bestFit="1" customWidth="1"/>
    <col min="3" max="3" width="12.5703125" bestFit="1" customWidth="1"/>
    <col min="4" max="4" width="3" customWidth="1"/>
    <col min="5" max="5" width="4" bestFit="1" customWidth="1"/>
    <col min="6" max="6" width="32.140625" bestFit="1" customWidth="1"/>
    <col min="7" max="8" width="12.5703125" bestFit="1" customWidth="1"/>
    <col min="9" max="9" width="3.140625" customWidth="1"/>
    <col min="10" max="10" width="4" bestFit="1" customWidth="1"/>
    <col min="11" max="11" width="33" bestFit="1" customWidth="1"/>
    <col min="12" max="12" width="19.140625" bestFit="1" customWidth="1"/>
    <col min="13" max="13" width="16.7109375" bestFit="1" customWidth="1"/>
    <col min="14" max="14" width="13.5703125" bestFit="1" customWidth="1"/>
    <col min="15" max="15" width="3.28515625" customWidth="1"/>
    <col min="16" max="16" width="4" bestFit="1" customWidth="1"/>
    <col min="17" max="17" width="35.42578125" bestFit="1" customWidth="1"/>
    <col min="18" max="18" width="20.42578125" customWidth="1"/>
    <col min="19" max="19" width="12.5703125" bestFit="1" customWidth="1"/>
    <col min="20" max="20" width="14.42578125" bestFit="1" customWidth="1"/>
    <col min="21" max="21" width="3.28515625" customWidth="1"/>
    <col min="22" max="22" width="3.85546875" bestFit="1" customWidth="1"/>
    <col min="23" max="23" width="30.28515625" bestFit="1" customWidth="1"/>
    <col min="24" max="24" width="19.140625" bestFit="1" customWidth="1"/>
    <col min="25" max="25" width="12.5703125" bestFit="1" customWidth="1"/>
    <col min="26" max="26" width="15.28515625" bestFit="1" customWidth="1"/>
    <col min="27" max="27" width="2.85546875" customWidth="1"/>
    <col min="28" max="28" width="5.42578125" bestFit="1" customWidth="1"/>
    <col min="29" max="29" width="11" customWidth="1"/>
    <col min="30" max="30" width="12.42578125" customWidth="1"/>
    <col min="31" max="31" width="3.85546875" customWidth="1"/>
    <col min="32" max="32" width="4" bestFit="1" customWidth="1"/>
    <col min="33" max="33" width="32.140625" bestFit="1" customWidth="1"/>
    <col min="34" max="34" width="12.5703125" bestFit="1" customWidth="1"/>
    <col min="35" max="35" width="10.7109375" bestFit="1" customWidth="1"/>
    <col min="36" max="36" width="14.7109375" bestFit="1" customWidth="1"/>
    <col min="37" max="37" width="6.28515625" customWidth="1"/>
    <col min="38" max="38" width="5.42578125" bestFit="1" customWidth="1"/>
    <col min="39" max="39" width="12.85546875" customWidth="1"/>
    <col min="40" max="40" width="21.140625" bestFit="1" customWidth="1"/>
    <col min="41" max="41" width="11.5703125" customWidth="1"/>
    <col min="43" max="43" width="10" bestFit="1" customWidth="1"/>
    <col min="45" max="45" width="17.7109375" bestFit="1" customWidth="1"/>
    <col min="46" max="46" width="12.5703125" bestFit="1" customWidth="1"/>
    <col min="47" max="48" width="16.42578125" bestFit="1" customWidth="1"/>
    <col min="49" max="49" width="12.5703125" bestFit="1" customWidth="1"/>
    <col min="50" max="50" width="13.42578125" bestFit="1" customWidth="1"/>
    <col min="51" max="51" width="11.140625" bestFit="1" customWidth="1"/>
    <col min="52" max="52" width="4.28515625" customWidth="1"/>
    <col min="53" max="53" width="4" bestFit="1" customWidth="1"/>
    <col min="54" max="54" width="12.42578125" bestFit="1" customWidth="1"/>
    <col min="55" max="55" width="11.28515625" bestFit="1" customWidth="1"/>
    <col min="56" max="56" width="18" bestFit="1" customWidth="1"/>
    <col min="57" max="57" width="16.7109375" bestFit="1" customWidth="1"/>
    <col min="58" max="58" width="13.85546875" bestFit="1" customWidth="1"/>
    <col min="59" max="59" width="15.42578125" bestFit="1" customWidth="1"/>
    <col min="60" max="60" width="3.5703125" customWidth="1"/>
    <col min="61" max="61" width="10" bestFit="1" customWidth="1"/>
    <col min="62" max="64" width="11" bestFit="1" customWidth="1"/>
    <col min="65" max="65" width="4.42578125" customWidth="1"/>
    <col min="66" max="66" width="4" bestFit="1" customWidth="1"/>
    <col min="67" max="69" width="12.5703125" bestFit="1" customWidth="1"/>
    <col min="70" max="70" width="8.42578125" bestFit="1" customWidth="1"/>
    <col min="71" max="71" width="3.140625" customWidth="1"/>
    <col min="72" max="72" width="4.42578125" customWidth="1"/>
    <col min="73" max="73" width="15.140625" bestFit="1" customWidth="1"/>
    <col min="74" max="76" width="12.5703125" bestFit="1" customWidth="1"/>
    <col min="77" max="77" width="14" customWidth="1"/>
  </cols>
  <sheetData>
    <row r="1" spans="1:77" ht="15.75" thickBot="1" x14ac:dyDescent="0.3">
      <c r="BO1" s="14" t="s">
        <v>87</v>
      </c>
    </row>
    <row r="2" spans="1:77" x14ac:dyDescent="0.25">
      <c r="A2" s="13" t="s">
        <v>88</v>
      </c>
      <c r="B2" t="s">
        <v>14</v>
      </c>
      <c r="C2" t="s">
        <v>89</v>
      </c>
      <c r="E2" s="13" t="s">
        <v>90</v>
      </c>
      <c r="F2" t="s">
        <v>14</v>
      </c>
      <c r="G2" t="s">
        <v>15</v>
      </c>
      <c r="H2" t="s">
        <v>89</v>
      </c>
      <c r="J2" s="13" t="s">
        <v>91</v>
      </c>
      <c r="K2" t="s">
        <v>14</v>
      </c>
      <c r="L2" t="s">
        <v>15</v>
      </c>
      <c r="M2" t="s">
        <v>89</v>
      </c>
      <c r="N2" t="s">
        <v>92</v>
      </c>
      <c r="P2" s="13" t="s">
        <v>93</v>
      </c>
      <c r="Q2" t="s">
        <v>61</v>
      </c>
      <c r="R2" t="s">
        <v>15</v>
      </c>
      <c r="S2" t="s">
        <v>89</v>
      </c>
      <c r="T2" t="s">
        <v>92</v>
      </c>
      <c r="V2" s="13" t="s">
        <v>94</v>
      </c>
      <c r="W2" t="s">
        <v>14</v>
      </c>
      <c r="X2" t="s">
        <v>15</v>
      </c>
      <c r="Y2" t="s">
        <v>89</v>
      </c>
      <c r="Z2" t="s">
        <v>92</v>
      </c>
      <c r="AB2" s="13" t="s">
        <v>95</v>
      </c>
      <c r="AC2" t="s">
        <v>61</v>
      </c>
      <c r="AD2" t="s">
        <v>89</v>
      </c>
      <c r="AF2" s="13" t="s">
        <v>96</v>
      </c>
      <c r="AG2" t="s">
        <v>14</v>
      </c>
      <c r="AH2" t="s">
        <v>15</v>
      </c>
      <c r="AI2" t="s">
        <v>89</v>
      </c>
      <c r="AL2" s="13" t="s">
        <v>97</v>
      </c>
      <c r="AM2" t="s">
        <v>15</v>
      </c>
      <c r="AN2" t="s">
        <v>28</v>
      </c>
      <c r="AO2" t="s">
        <v>98</v>
      </c>
      <c r="AP2" t="s">
        <v>16</v>
      </c>
      <c r="AQ2" t="s">
        <v>99</v>
      </c>
      <c r="AR2" t="s">
        <v>100</v>
      </c>
      <c r="AS2" s="26" t="s">
        <v>101</v>
      </c>
      <c r="AT2" s="26" t="s">
        <v>102</v>
      </c>
      <c r="AU2" s="26" t="s">
        <v>103</v>
      </c>
      <c r="AV2" s="26" t="s">
        <v>104</v>
      </c>
      <c r="AW2" s="26" t="s">
        <v>105</v>
      </c>
      <c r="AX2" s="26" t="s">
        <v>83</v>
      </c>
      <c r="AY2" s="26" t="s">
        <v>106</v>
      </c>
      <c r="BA2" s="13" t="s">
        <v>107</v>
      </c>
      <c r="BB2" t="s">
        <v>42</v>
      </c>
      <c r="BC2" t="s">
        <v>28</v>
      </c>
      <c r="BD2" t="s">
        <v>43</v>
      </c>
      <c r="BE2" t="s">
        <v>83</v>
      </c>
      <c r="BF2" t="s">
        <v>106</v>
      </c>
      <c r="BG2" t="s">
        <v>108</v>
      </c>
      <c r="BN2" s="13" t="s">
        <v>109</v>
      </c>
      <c r="BO2" t="s">
        <v>110</v>
      </c>
      <c r="BP2" t="s">
        <v>111</v>
      </c>
      <c r="BQ2" t="s">
        <v>112</v>
      </c>
      <c r="BR2" t="s">
        <v>84</v>
      </c>
      <c r="BT2" s="13" t="s">
        <v>113</v>
      </c>
      <c r="BU2" s="39"/>
      <c r="BV2" s="37" t="s">
        <v>110</v>
      </c>
      <c r="BW2" s="37" t="s">
        <v>111</v>
      </c>
      <c r="BX2" s="37" t="s">
        <v>112</v>
      </c>
      <c r="BY2" s="38" t="s">
        <v>114</v>
      </c>
    </row>
    <row r="3" spans="1:77" x14ac:dyDescent="0.25">
      <c r="B3" t="s">
        <v>5</v>
      </c>
      <c r="C3" s="2">
        <f>+Voorbewerking!D5</f>
        <v>4200000</v>
      </c>
      <c r="F3" t="s">
        <v>5</v>
      </c>
      <c r="G3" t="s">
        <v>20</v>
      </c>
      <c r="H3" s="2">
        <f>SUMIFS(Voorbewerking!E$17:E$35,Voorbewerking!B$17:B$35,Kostenallocatie!F3,Voorbewerking!C$17:C$35,Kostenallocatie!G3)</f>
        <v>1150000</v>
      </c>
      <c r="L3" s="20" t="s">
        <v>101</v>
      </c>
      <c r="R3" s="20" t="s">
        <v>115</v>
      </c>
      <c r="V3" s="13"/>
      <c r="X3" s="20" t="s">
        <v>116</v>
      </c>
      <c r="AC3" t="s">
        <v>66</v>
      </c>
      <c r="AD3" s="2">
        <f>+Y21</f>
        <v>1298368.0709534369</v>
      </c>
      <c r="AG3" t="s">
        <v>5</v>
      </c>
      <c r="AH3" t="s">
        <v>20</v>
      </c>
      <c r="AI3" s="5">
        <f t="shared" ref="AI3:AI9" si="0">SUMIFS(H$2:H$29,F$2:F$29,AG3,G$2:G$29,AH3)</f>
        <v>1150000</v>
      </c>
      <c r="AM3" t="s">
        <v>20</v>
      </c>
      <c r="AN3" t="s">
        <v>34</v>
      </c>
      <c r="AO3" s="2">
        <f>SUMIFS(Voorbewerking!K$39:K$48,Voorbewerking!C$39:C$48,Kostenallocatie!AM3,Voorbewerking!D$39:D$48,Kostenallocatie!AN3)</f>
        <v>550000</v>
      </c>
      <c r="AP3" s="3">
        <f>+Verdeelsleutels!C10</f>
        <v>5</v>
      </c>
      <c r="AQ3" s="3">
        <f>+AP3/AP$8</f>
        <v>0.21739130434782608</v>
      </c>
      <c r="AR3" s="3">
        <f>+AP3/AP$9</f>
        <v>0.3125</v>
      </c>
      <c r="AS3" s="4">
        <f>+AQ3*AI$13</f>
        <v>268292.68292682926</v>
      </c>
      <c r="AT3" s="4">
        <f>+AR3*AI$14</f>
        <v>135000</v>
      </c>
      <c r="AU3" s="4">
        <f>+AQ3*AI$15</f>
        <v>117391.30434782608</v>
      </c>
      <c r="AV3" s="4">
        <f>+AQ3*AI$16</f>
        <v>10869.565217391304</v>
      </c>
      <c r="AW3" s="4">
        <f>+AO3+AS3+AT3+AU3+AV3</f>
        <v>1081553.5524920467</v>
      </c>
      <c r="AX3" s="2">
        <f>+Verdeelsleutels!D10</f>
        <v>5500</v>
      </c>
      <c r="AY3" s="1">
        <f>+AW3/AX3</f>
        <v>196.64610045309939</v>
      </c>
      <c r="BB3" t="s">
        <v>20</v>
      </c>
      <c r="BC3" t="s">
        <v>34</v>
      </c>
      <c r="BD3" t="s">
        <v>46</v>
      </c>
      <c r="BE3" s="2">
        <f>SUMIFS(Voorbewerking!E$53:E$87,Voorbewerking!B$53:B$87,Kostenallocatie!BB3,Voorbewerking!C$53:C$87,Kostenallocatie!BC3,Voorbewerking!D$53:D$87,Kostenallocatie!BD3)</f>
        <v>3000</v>
      </c>
      <c r="BF3" s="1">
        <f>SUMIFS(AY$2:AY$14,AM$2:AM$14,BB3,AN$2:AN$14,BC3)</f>
        <v>196.64610045309939</v>
      </c>
      <c r="BG3" s="3">
        <f>+BE3*BF3</f>
        <v>589938.30135929817</v>
      </c>
      <c r="BO3" s="2">
        <f>SUMIF(Verdeelsleutels!$A$20:$A$40,Kostenallocatie!$BD3,Verdeelsleutels!C$20:C$40)*$BG3</f>
        <v>589938.30135929817</v>
      </c>
      <c r="BP3" s="2">
        <f>SUMIF(Verdeelsleutels!$A$20:$A$40,Kostenallocatie!$BD3,Verdeelsleutels!D$20:D$40)*$BG3</f>
        <v>0</v>
      </c>
      <c r="BQ3" s="2">
        <f>SUMIF(Verdeelsleutels!$A$20:$A$40,Kostenallocatie!$BD3,Verdeelsleutels!E$20:E$40)*$BG3</f>
        <v>0</v>
      </c>
      <c r="BR3" s="3">
        <f t="shared" ref="BR3:BR23" si="1">SUM(BO3:BQ3)-BG3</f>
        <v>0</v>
      </c>
      <c r="BU3" s="40" t="s">
        <v>117</v>
      </c>
      <c r="BV3" s="29">
        <f>+BO40</f>
        <v>4500000</v>
      </c>
      <c r="BW3" s="29">
        <f t="shared" ref="BW3:BX3" si="2">+BP40</f>
        <v>4000000</v>
      </c>
      <c r="BX3" s="29">
        <f t="shared" si="2"/>
        <v>2500000</v>
      </c>
      <c r="BY3" s="32">
        <f>SUM(BV3:BX3)</f>
        <v>11000000</v>
      </c>
    </row>
    <row r="4" spans="1:77" x14ac:dyDescent="0.25">
      <c r="B4" t="s">
        <v>118</v>
      </c>
      <c r="C4" s="2">
        <f>-SUM(Voorbewerking!K40:K47)</f>
        <v>-4340019</v>
      </c>
      <c r="F4" t="s">
        <v>5</v>
      </c>
      <c r="G4" t="s">
        <v>21</v>
      </c>
      <c r="H4" s="2">
        <f>SUMIFS(Voorbewerking!E$17:E$35,Voorbewerking!B$17:B$35,Kostenallocatie!F4,Voorbewerking!C$17:C$35,Kostenallocatie!G4)</f>
        <v>700000</v>
      </c>
      <c r="K4" t="s">
        <v>5</v>
      </c>
      <c r="L4" t="s">
        <v>22</v>
      </c>
      <c r="M4" s="5">
        <f>SUMIFS(H$2:H$29,F$2:F$29,K4,G$2:G$29,L4)</f>
        <v>300000</v>
      </c>
      <c r="Q4" t="s">
        <v>70</v>
      </c>
      <c r="S4" s="2">
        <f>+Verdeelsleutels!B25</f>
        <v>1000000</v>
      </c>
      <c r="W4" t="s">
        <v>5</v>
      </c>
      <c r="X4" t="s">
        <v>24</v>
      </c>
      <c r="Y4" s="2">
        <f>SUMIFS(H$2:H$29,F$2:F$29,W4,G$2:G$29,X4)</f>
        <v>1650000</v>
      </c>
      <c r="AC4" t="s">
        <v>67</v>
      </c>
      <c r="AD4" s="2">
        <f>+Y22</f>
        <v>721315.59497413156</v>
      </c>
      <c r="AG4" t="s">
        <v>118</v>
      </c>
      <c r="AH4" t="s">
        <v>20</v>
      </c>
      <c r="AI4" s="5">
        <f t="shared" si="0"/>
        <v>-1200000</v>
      </c>
      <c r="AM4" t="s">
        <v>20</v>
      </c>
      <c r="AN4" t="s">
        <v>35</v>
      </c>
      <c r="AO4" s="2">
        <f>SUMIFS(Voorbewerking!K$39:K$48,Voorbewerking!C$39:C$48,Kostenallocatie!AM4,Voorbewerking!D$39:D$48,Kostenallocatie!AN4)</f>
        <v>400000</v>
      </c>
      <c r="AP4" s="3">
        <f>+Verdeelsleutels!C11</f>
        <v>5</v>
      </c>
      <c r="AQ4" s="3">
        <f>+AP4/AP$8</f>
        <v>0.21739130434782608</v>
      </c>
      <c r="AR4" s="3">
        <f>+AP4/AP$9</f>
        <v>0.3125</v>
      </c>
      <c r="AS4" s="4">
        <f t="shared" ref="AS4:AS6" si="3">+AQ4*AI$13</f>
        <v>268292.68292682926</v>
      </c>
      <c r="AT4" s="4">
        <f t="shared" ref="AT4:AT6" si="4">+AR4*AI$14</f>
        <v>135000</v>
      </c>
      <c r="AU4" s="4">
        <f t="shared" ref="AU4:AU6" si="5">+AQ4*AI$15</f>
        <v>117391.30434782608</v>
      </c>
      <c r="AV4" s="4">
        <f t="shared" ref="AV4:AV6" si="6">+AQ4*AI$16</f>
        <v>10869.565217391304</v>
      </c>
      <c r="AW4" s="4">
        <f t="shared" ref="AW4:AW6" si="7">+AO4+AS4+AT4+AU4+AV4</f>
        <v>931553.55249204661</v>
      </c>
      <c r="AX4" s="2">
        <f>+Verdeelsleutels!D11</f>
        <v>5000</v>
      </c>
      <c r="AY4" s="1">
        <f t="shared" ref="AY4:AY6" si="8">+AW4/AX4</f>
        <v>186.31071049840932</v>
      </c>
      <c r="BB4" t="s">
        <v>20</v>
      </c>
      <c r="BC4" t="s">
        <v>34</v>
      </c>
      <c r="BD4" t="s">
        <v>47</v>
      </c>
      <c r="BE4" s="2">
        <f>SUMIFS(Voorbewerking!E$53:E$87,Voorbewerking!B$53:B$87,Kostenallocatie!BB4,Voorbewerking!C$53:C$87,Kostenallocatie!BC4,Voorbewerking!D$53:D$87,Kostenallocatie!BD4)</f>
        <v>1500</v>
      </c>
      <c r="BF4" s="1">
        <f t="shared" ref="BF4:BF19" si="9">SUMIFS(AY$2:AY$14,AM$2:AM$14,BB4,AN$2:AN$14,BC4)</f>
        <v>196.64610045309939</v>
      </c>
      <c r="BG4" s="3">
        <f t="shared" ref="BG4:BG19" si="10">+BE4*BF4</f>
        <v>294969.15067964909</v>
      </c>
      <c r="BO4" s="2">
        <f>SUMIF(Verdeelsleutels!$A$20:$A$40,Kostenallocatie!$BD4,Verdeelsleutels!C$20:C$40)*$BG4</f>
        <v>0</v>
      </c>
      <c r="BP4" s="2">
        <f>SUMIF(Verdeelsleutels!$A$20:$A$40,Kostenallocatie!$BD4,Verdeelsleutels!D$20:D$40)*$BG4</f>
        <v>294969.15067964909</v>
      </c>
      <c r="BQ4" s="2">
        <f>SUMIF(Verdeelsleutels!$A$20:$A$40,Kostenallocatie!$BD4,Verdeelsleutels!E$20:E$40)*$BG4</f>
        <v>0</v>
      </c>
      <c r="BR4" s="3">
        <f t="shared" si="1"/>
        <v>0</v>
      </c>
      <c r="BU4" s="41"/>
      <c r="BV4" s="30"/>
      <c r="BW4" s="30"/>
      <c r="BX4" s="30"/>
      <c r="BY4" s="33"/>
    </row>
    <row r="5" spans="1:77" x14ac:dyDescent="0.25">
      <c r="B5" t="s">
        <v>119</v>
      </c>
      <c r="C5" s="2">
        <f>-C4</f>
        <v>4340019</v>
      </c>
      <c r="F5" t="s">
        <v>5</v>
      </c>
      <c r="G5" t="s">
        <v>22</v>
      </c>
      <c r="H5" s="2">
        <f>SUMIFS(Voorbewerking!E$17:E$35,Voorbewerking!B$17:B$35,Kostenallocatie!F5,Voorbewerking!C$17:C$35,Kostenallocatie!G5)</f>
        <v>300000</v>
      </c>
      <c r="K5" t="s">
        <v>118</v>
      </c>
      <c r="L5" t="s">
        <v>22</v>
      </c>
      <c r="M5" s="2">
        <f>SUMIFS(H$2:H$29,F$2:F$29,K5,G$2:G$29,L5)</f>
        <v>-349980</v>
      </c>
      <c r="Q5" s="16"/>
      <c r="R5" s="16"/>
      <c r="S5" s="18">
        <f>SUM(S4)</f>
        <v>1000000</v>
      </c>
      <c r="T5" t="s">
        <v>58</v>
      </c>
      <c r="W5" t="s">
        <v>118</v>
      </c>
      <c r="X5" t="s">
        <v>24</v>
      </c>
      <c r="Y5" s="2">
        <f>SUMIFS(H$2:H$29,F$2:F$29,W5,G$2:G$29,X5)</f>
        <v>-1600050</v>
      </c>
      <c r="AC5" t="s">
        <v>68</v>
      </c>
      <c r="AD5" s="2">
        <f>+Y23</f>
        <v>1442631.1899482631</v>
      </c>
      <c r="AG5" t="s">
        <v>119</v>
      </c>
      <c r="AH5" t="s">
        <v>20</v>
      </c>
      <c r="AI5" s="5">
        <f t="shared" si="0"/>
        <v>1200000</v>
      </c>
      <c r="AM5" t="s">
        <v>20</v>
      </c>
      <c r="AN5" t="s">
        <v>36</v>
      </c>
      <c r="AO5" s="2">
        <f>SUMIFS(Voorbewerking!K$39:K$48,Voorbewerking!C$39:C$48,Kostenallocatie!AM5,Voorbewerking!D$39:D$48,Kostenallocatie!AN5)</f>
        <v>250000</v>
      </c>
      <c r="AP5" s="3">
        <f>+Verdeelsleutels!C12</f>
        <v>6</v>
      </c>
      <c r="AQ5" s="3">
        <f>+AP5/AP$8</f>
        <v>0.2608695652173913</v>
      </c>
      <c r="AR5" s="3">
        <f>+AP5/AP$9</f>
        <v>0.375</v>
      </c>
      <c r="AS5" s="4">
        <f t="shared" si="3"/>
        <v>321951.21951219515</v>
      </c>
      <c r="AT5" s="4">
        <f t="shared" si="4"/>
        <v>162000</v>
      </c>
      <c r="AU5" s="4">
        <f t="shared" si="5"/>
        <v>140869.5652173913</v>
      </c>
      <c r="AV5" s="4">
        <f t="shared" si="6"/>
        <v>13043.478260869564</v>
      </c>
      <c r="AW5" s="4">
        <f t="shared" si="7"/>
        <v>887864.26299045596</v>
      </c>
      <c r="AX5" s="2">
        <f>+Verdeelsleutels!D12</f>
        <v>5000</v>
      </c>
      <c r="AY5" s="1">
        <f t="shared" si="8"/>
        <v>177.5728525980912</v>
      </c>
      <c r="BB5" t="s">
        <v>20</v>
      </c>
      <c r="BC5" t="s">
        <v>34</v>
      </c>
      <c r="BD5" t="s">
        <v>48</v>
      </c>
      <c r="BE5" s="2">
        <f>SUMIFS(Voorbewerking!E$53:E$87,Voorbewerking!B$53:B$87,Kostenallocatie!BB5,Voorbewerking!C$53:C$87,Kostenallocatie!BC5,Voorbewerking!D$53:D$87,Kostenallocatie!BD5)</f>
        <v>200</v>
      </c>
      <c r="BF5" s="1">
        <f t="shared" si="9"/>
        <v>196.64610045309939</v>
      </c>
      <c r="BG5" s="3">
        <f t="shared" si="10"/>
        <v>39329.220090619878</v>
      </c>
      <c r="BO5" s="2">
        <f>SUMIF(Verdeelsleutels!$A$20:$A$40,Kostenallocatie!$BD5,Verdeelsleutels!C$20:C$40)*$BG5</f>
        <v>0</v>
      </c>
      <c r="BP5" s="2">
        <f>SUMIF(Verdeelsleutels!$A$20:$A$40,Kostenallocatie!$BD5,Verdeelsleutels!D$20:D$40)*$BG5</f>
        <v>39329.220090619878</v>
      </c>
      <c r="BQ5" s="2">
        <f>SUMIF(Verdeelsleutels!$A$20:$A$40,Kostenallocatie!$BD5,Verdeelsleutels!E$20:E$40)*$BG5</f>
        <v>0</v>
      </c>
      <c r="BR5" s="3">
        <f t="shared" si="1"/>
        <v>0</v>
      </c>
      <c r="BU5" s="41" t="s">
        <v>87</v>
      </c>
      <c r="BV5" s="30">
        <f>+BO24</f>
        <v>3218722.0280964472</v>
      </c>
      <c r="BW5" s="30">
        <f t="shared" ref="BW5:BX5" si="11">+BP24</f>
        <v>3380025.6802489371</v>
      </c>
      <c r="BX5" s="30">
        <f t="shared" si="11"/>
        <v>2453780.984414666</v>
      </c>
      <c r="BY5" s="33">
        <f t="shared" ref="BY5:BY6" si="12">SUM(BV5:BX5)</f>
        <v>9052528.6927600503</v>
      </c>
    </row>
    <row r="6" spans="1:77" x14ac:dyDescent="0.25">
      <c r="B6" t="s">
        <v>6</v>
      </c>
      <c r="C6" s="2">
        <f>+Voorbewerking!D6</f>
        <v>700000</v>
      </c>
      <c r="F6" t="s">
        <v>5</v>
      </c>
      <c r="G6" t="s">
        <v>23</v>
      </c>
      <c r="H6" s="2">
        <f>SUMIFS(Voorbewerking!E$17:E$35,Voorbewerking!B$17:B$35,Kostenallocatie!F6,Voorbewerking!C$17:C$35,Kostenallocatie!G6)</f>
        <v>400000</v>
      </c>
      <c r="K6" t="s">
        <v>119</v>
      </c>
      <c r="L6" t="s">
        <v>22</v>
      </c>
      <c r="M6" s="2">
        <f>SUMIFS(H$2:H$29,F$2:F$29,K6,G$2:G$29,L6)</f>
        <v>349980</v>
      </c>
      <c r="W6" t="s">
        <v>119</v>
      </c>
      <c r="X6" t="s">
        <v>24</v>
      </c>
      <c r="Y6" s="2">
        <f>SUMIFS(H$2:H$29,F$2:F$29,W6,G$2:G$29,X6)</f>
        <v>1600050</v>
      </c>
      <c r="AC6" t="s">
        <v>69</v>
      </c>
      <c r="AD6" s="2">
        <f>+Y24</f>
        <v>504920.91648189205</v>
      </c>
      <c r="AG6" t="s">
        <v>6</v>
      </c>
      <c r="AH6" t="s">
        <v>20</v>
      </c>
      <c r="AI6" s="5">
        <f t="shared" si="0"/>
        <v>700000</v>
      </c>
      <c r="AM6" t="s">
        <v>20</v>
      </c>
      <c r="AN6" t="s">
        <v>40</v>
      </c>
      <c r="AO6" s="2">
        <f>SUMIFS(Voorbewerking!K$39:K$48,Voorbewerking!C$39:C$48,Kostenallocatie!AM6,Voorbewerking!D$39:D$48,Kostenallocatie!AN6)</f>
        <v>699972</v>
      </c>
      <c r="AP6" s="3">
        <f>+Verdeelsleutels!C15</f>
        <v>7</v>
      </c>
      <c r="AQ6" s="3">
        <f>+AP6/AP$8</f>
        <v>0.30434782608695654</v>
      </c>
      <c r="AR6" s="3"/>
      <c r="AS6" s="4">
        <f t="shared" si="3"/>
        <v>375609.75609756104</v>
      </c>
      <c r="AT6" s="4">
        <f t="shared" si="4"/>
        <v>0</v>
      </c>
      <c r="AU6" s="4">
        <f t="shared" si="5"/>
        <v>164347.82608695654</v>
      </c>
      <c r="AV6" s="4">
        <f t="shared" si="6"/>
        <v>15217.391304347828</v>
      </c>
      <c r="AW6" s="4">
        <f t="shared" si="7"/>
        <v>1255146.9734888654</v>
      </c>
      <c r="AX6" s="2">
        <f>+Verdeelsleutels!D15</f>
        <v>8400</v>
      </c>
      <c r="AY6" s="1">
        <f t="shared" si="8"/>
        <v>149.42225874867447</v>
      </c>
      <c r="BB6" t="s">
        <v>20</v>
      </c>
      <c r="BC6" t="s">
        <v>35</v>
      </c>
      <c r="BD6" t="s">
        <v>46</v>
      </c>
      <c r="BE6" s="2">
        <f>SUMIFS(Voorbewerking!E$53:E$87,Voorbewerking!B$53:B$87,Kostenallocatie!BB6,Voorbewerking!C$53:C$87,Kostenallocatie!BC6,Voorbewerking!D$53:D$87,Kostenallocatie!BD6)</f>
        <v>2400</v>
      </c>
      <c r="BF6" s="1">
        <f t="shared" si="9"/>
        <v>186.31071049840932</v>
      </c>
      <c r="BG6" s="3">
        <f t="shared" si="10"/>
        <v>447145.70519618236</v>
      </c>
      <c r="BO6" s="2">
        <f>SUMIF(Verdeelsleutels!$A$20:$A$40,Kostenallocatie!$BD6,Verdeelsleutels!C$20:C$40)*$BG6</f>
        <v>447145.70519618236</v>
      </c>
      <c r="BP6" s="2">
        <f>SUMIF(Verdeelsleutels!$A$20:$A$40,Kostenallocatie!$BD6,Verdeelsleutels!D$20:D$40)*$BG6</f>
        <v>0</v>
      </c>
      <c r="BQ6" s="2">
        <f>SUMIF(Verdeelsleutels!$A$20:$A$40,Kostenallocatie!$BD6,Verdeelsleutels!E$20:E$40)*$BG6</f>
        <v>0</v>
      </c>
      <c r="BR6" s="3">
        <f t="shared" si="1"/>
        <v>0</v>
      </c>
      <c r="BU6" s="41" t="s">
        <v>120</v>
      </c>
      <c r="BV6" s="30">
        <f>+BO36</f>
        <v>290869.23278574005</v>
      </c>
      <c r="BW6" s="30">
        <f t="shared" ref="BW6:BX6" si="13">+BP36</f>
        <v>305445.90922364913</v>
      </c>
      <c r="BX6" s="30">
        <f t="shared" si="13"/>
        <v>151156.16523056067</v>
      </c>
      <c r="BY6" s="33">
        <f t="shared" si="12"/>
        <v>747471.30723994982</v>
      </c>
    </row>
    <row r="7" spans="1:77" x14ac:dyDescent="0.25">
      <c r="B7" t="s">
        <v>121</v>
      </c>
      <c r="C7" s="2">
        <f>-SUM(Voorbewerking!K48)</f>
        <v>-699972</v>
      </c>
      <c r="F7" t="s">
        <v>5</v>
      </c>
      <c r="G7" t="s">
        <v>24</v>
      </c>
      <c r="H7" s="2">
        <f>SUMIFS(Voorbewerking!E$17:E$35,Voorbewerking!B$17:B$35,Kostenallocatie!F7,Voorbewerking!C$17:C$35,Kostenallocatie!G7)</f>
        <v>1650000</v>
      </c>
      <c r="K7" t="s">
        <v>8</v>
      </c>
      <c r="L7" t="s">
        <v>22</v>
      </c>
      <c r="M7" s="2">
        <f>SUMIFS(H$2:H$29,F$2:F$29,K7,G$2:G$29,L7)</f>
        <v>1900000</v>
      </c>
      <c r="Q7" t="s">
        <v>122</v>
      </c>
      <c r="R7" t="s">
        <v>20</v>
      </c>
      <c r="S7" s="4">
        <f>+T7/T$10*S$5</f>
        <v>540000</v>
      </c>
      <c r="T7">
        <f>+Verdeelsleutels!E2</f>
        <v>27</v>
      </c>
      <c r="W7" t="s">
        <v>9</v>
      </c>
      <c r="X7" t="s">
        <v>24</v>
      </c>
      <c r="Y7" s="2">
        <f>SUMIFS(H$2:H$29,F$2:F$29,W7,G$2:G$29,X7)</f>
        <v>2200000</v>
      </c>
      <c r="AD7" s="18">
        <f>SUM(AD3:AD6)</f>
        <v>3967235.7723577237</v>
      </c>
      <c r="AG7" t="s">
        <v>121</v>
      </c>
      <c r="AH7" t="s">
        <v>20</v>
      </c>
      <c r="AI7" s="5">
        <f t="shared" si="0"/>
        <v>-699972</v>
      </c>
      <c r="AN7" s="16" t="s">
        <v>123</v>
      </c>
      <c r="AO7" s="18">
        <f>SUM(AO3:AO6)</f>
        <v>1899972</v>
      </c>
      <c r="AP7" s="16"/>
      <c r="AQ7" s="16"/>
      <c r="AR7" s="16"/>
      <c r="AS7" s="18">
        <f>SUM(AS3:AS6)</f>
        <v>1234146.3414634147</v>
      </c>
      <c r="AT7" s="18">
        <f t="shared" ref="AT7:AX7" si="14">SUM(AT3:AT6)</f>
        <v>432000</v>
      </c>
      <c r="AU7" s="18">
        <f t="shared" si="14"/>
        <v>540000</v>
      </c>
      <c r="AV7" s="18">
        <f t="shared" si="14"/>
        <v>50000</v>
      </c>
      <c r="AW7" s="27">
        <f t="shared" si="14"/>
        <v>4156118.341463415</v>
      </c>
      <c r="AX7" s="17">
        <f t="shared" si="14"/>
        <v>23900</v>
      </c>
      <c r="AY7" s="24"/>
      <c r="BB7" t="s">
        <v>20</v>
      </c>
      <c r="BC7" t="s">
        <v>35</v>
      </c>
      <c r="BD7" t="s">
        <v>47</v>
      </c>
      <c r="BE7" s="2">
        <f>SUMIFS(Voorbewerking!E$53:E$87,Voorbewerking!B$53:B$87,Kostenallocatie!BB7,Voorbewerking!C$53:C$87,Kostenallocatie!BC7,Voorbewerking!D$53:D$87,Kostenallocatie!BD7)</f>
        <v>800</v>
      </c>
      <c r="BF7" s="1">
        <f t="shared" si="9"/>
        <v>186.31071049840932</v>
      </c>
      <c r="BG7" s="3">
        <f t="shared" si="10"/>
        <v>149048.56839872745</v>
      </c>
      <c r="BO7" s="2">
        <f>SUMIF(Verdeelsleutels!$A$20:$A$40,Kostenallocatie!$BD7,Verdeelsleutels!C$20:C$40)*$BG7</f>
        <v>0</v>
      </c>
      <c r="BP7" s="2">
        <f>SUMIF(Verdeelsleutels!$A$20:$A$40,Kostenallocatie!$BD7,Verdeelsleutels!D$20:D$40)*$BG7</f>
        <v>149048.56839872745</v>
      </c>
      <c r="BQ7" s="2">
        <f>SUMIF(Verdeelsleutels!$A$20:$A$40,Kostenallocatie!$BD7,Verdeelsleutels!E$20:E$40)*$BG7</f>
        <v>0</v>
      </c>
      <c r="BR7" s="3">
        <f t="shared" si="1"/>
        <v>0</v>
      </c>
      <c r="BU7" s="40" t="s">
        <v>124</v>
      </c>
      <c r="BV7" s="29">
        <f>+BV5+BV6</f>
        <v>3509591.2608821872</v>
      </c>
      <c r="BW7" s="29">
        <f t="shared" ref="BW7:BY7" si="15">+BW5+BW6</f>
        <v>3685471.5894725863</v>
      </c>
      <c r="BX7" s="29">
        <f t="shared" si="15"/>
        <v>2604937.1496452265</v>
      </c>
      <c r="BY7" s="34">
        <f t="shared" si="15"/>
        <v>9800000</v>
      </c>
    </row>
    <row r="8" spans="1:77" x14ac:dyDescent="0.25">
      <c r="B8" t="s">
        <v>125</v>
      </c>
      <c r="C8" s="2">
        <f>-C7</f>
        <v>699972</v>
      </c>
      <c r="F8" t="s">
        <v>118</v>
      </c>
      <c r="G8" t="s">
        <v>20</v>
      </c>
      <c r="H8" s="2">
        <f>-SUMIFS(Voorbewerking!K$39:K$48,Voorbewerking!B$39:B$48,LEFT(Kostenallocatie!F8,10),Voorbewerking!C$39:C$48,Kostenallocatie!G8)</f>
        <v>-1200000</v>
      </c>
      <c r="K8" s="16" t="s">
        <v>105</v>
      </c>
      <c r="L8" s="16" t="s">
        <v>22</v>
      </c>
      <c r="M8" s="18">
        <f>SUM(M4:M7)</f>
        <v>2200000</v>
      </c>
      <c r="N8" t="s">
        <v>126</v>
      </c>
      <c r="Q8" t="s">
        <v>122</v>
      </c>
      <c r="R8" t="s">
        <v>21</v>
      </c>
      <c r="S8" s="4">
        <f t="shared" ref="S8:S9" si="16">+T8/T$10*S$5</f>
        <v>160000</v>
      </c>
      <c r="T8">
        <f>+Verdeelsleutels!E3</f>
        <v>8</v>
      </c>
      <c r="W8" t="s">
        <v>25</v>
      </c>
      <c r="X8" t="s">
        <v>24</v>
      </c>
      <c r="Y8" s="2">
        <f>SUMIFS(H$2:H$29,F$2:F$29,W8,G$2:G$29,X8)</f>
        <v>-1100000</v>
      </c>
      <c r="AG8" t="s">
        <v>125</v>
      </c>
      <c r="AH8" t="s">
        <v>20</v>
      </c>
      <c r="AI8" s="5">
        <f t="shared" si="0"/>
        <v>699972</v>
      </c>
      <c r="AN8" t="s">
        <v>127</v>
      </c>
      <c r="AP8" s="3">
        <f>SUM(AP3:AP6)</f>
        <v>23</v>
      </c>
      <c r="AQ8" s="3"/>
      <c r="AR8" s="3"/>
      <c r="AW8" s="4"/>
      <c r="AY8" s="1"/>
      <c r="BB8" t="s">
        <v>20</v>
      </c>
      <c r="BC8" t="s">
        <v>35</v>
      </c>
      <c r="BD8" t="s">
        <v>50</v>
      </c>
      <c r="BE8" s="2">
        <f>SUMIFS(Voorbewerking!E$53:E$87,Voorbewerking!B$53:B$87,Kostenallocatie!BB8,Voorbewerking!C$53:C$87,Kostenallocatie!BC8,Voorbewerking!D$53:D$87,Kostenallocatie!BD8)</f>
        <v>1600</v>
      </c>
      <c r="BF8" s="1">
        <f t="shared" si="9"/>
        <v>186.31071049840932</v>
      </c>
      <c r="BG8" s="3">
        <f t="shared" si="10"/>
        <v>298097.13679745491</v>
      </c>
      <c r="BO8" s="2">
        <f>SUMIF(Verdeelsleutels!$A$20:$A$40,Kostenallocatie!$BD8,Verdeelsleutels!C$20:C$40)*$BG8</f>
        <v>0</v>
      </c>
      <c r="BP8" s="2">
        <f>SUMIF(Verdeelsleutels!$A$20:$A$40,Kostenallocatie!$BD8,Verdeelsleutels!D$20:D$40)*$BG8</f>
        <v>0</v>
      </c>
      <c r="BQ8" s="2">
        <f>SUMIF(Verdeelsleutels!$A$20:$A$40,Kostenallocatie!$BD8,Verdeelsleutels!E$20:E$40)*$BG8</f>
        <v>298097.13679745491</v>
      </c>
      <c r="BR8" s="3">
        <f t="shared" si="1"/>
        <v>0</v>
      </c>
      <c r="BU8" s="41"/>
      <c r="BV8" s="30"/>
      <c r="BW8" s="30"/>
      <c r="BX8" s="30"/>
      <c r="BY8" s="35"/>
    </row>
    <row r="9" spans="1:77" ht="15.75" thickBot="1" x14ac:dyDescent="0.3">
      <c r="B9" t="s">
        <v>7</v>
      </c>
      <c r="C9" s="2">
        <f>+Voorbewerking!D7</f>
        <v>400000</v>
      </c>
      <c r="F9" t="s">
        <v>118</v>
      </c>
      <c r="G9" t="s">
        <v>21</v>
      </c>
      <c r="H9" s="2">
        <f>-SUMIFS(Voorbewerking!K$39:K$48,Voorbewerking!B$39:B$48,LEFT(Kostenallocatie!F9,10),Voorbewerking!C$39:C$48,Kostenallocatie!G9)</f>
        <v>-739989</v>
      </c>
      <c r="Q9" t="s">
        <v>122</v>
      </c>
      <c r="R9" t="s">
        <v>24</v>
      </c>
      <c r="S9" s="4">
        <f t="shared" si="16"/>
        <v>300000</v>
      </c>
      <c r="T9">
        <f>+Verdeelsleutels!E6</f>
        <v>15</v>
      </c>
      <c r="W9" s="16" t="s">
        <v>128</v>
      </c>
      <c r="X9" s="16" t="s">
        <v>24</v>
      </c>
      <c r="Y9" s="18">
        <f>SUM(Y4:Y8)</f>
        <v>2750000</v>
      </c>
      <c r="AG9" t="s">
        <v>10</v>
      </c>
      <c r="AH9" t="s">
        <v>20</v>
      </c>
      <c r="AI9" s="5">
        <f t="shared" si="0"/>
        <v>300000</v>
      </c>
      <c r="AN9" t="s">
        <v>129</v>
      </c>
      <c r="AP9" s="3">
        <f>SUM(AP3:AP5)</f>
        <v>16</v>
      </c>
      <c r="AQ9" s="3"/>
      <c r="AR9" s="3"/>
      <c r="BB9" t="s">
        <v>20</v>
      </c>
      <c r="BC9" t="s">
        <v>40</v>
      </c>
      <c r="BD9" t="s">
        <v>51</v>
      </c>
      <c r="BE9" s="2">
        <f>SUMIFS(Voorbewerking!E$53:E$87,Voorbewerking!B$53:B$87,Kostenallocatie!BB9,Voorbewerking!C$53:C$87,Kostenallocatie!BC9,Voorbewerking!D$53:D$87,Kostenallocatie!BD9)</f>
        <v>2000</v>
      </c>
      <c r="BF9" s="1">
        <f t="shared" si="9"/>
        <v>149.42225874867447</v>
      </c>
      <c r="BG9" s="3">
        <f t="shared" si="10"/>
        <v>298844.51749734895</v>
      </c>
      <c r="BO9" s="2">
        <f>SUMIF(Verdeelsleutels!$A$20:$A$40,Kostenallocatie!$BD9,Verdeelsleutels!C$20:C$40)*$BG9</f>
        <v>298844.51749734895</v>
      </c>
      <c r="BP9" s="2">
        <f>SUMIF(Verdeelsleutels!$A$20:$A$40,Kostenallocatie!$BD9,Verdeelsleutels!D$20:D$40)*$BG9</f>
        <v>0</v>
      </c>
      <c r="BQ9" s="2">
        <f>SUMIF(Verdeelsleutels!$A$20:$A$40,Kostenallocatie!$BD9,Verdeelsleutels!E$20:E$40)*$BG9</f>
        <v>0</v>
      </c>
      <c r="BR9" s="3">
        <f t="shared" si="1"/>
        <v>0</v>
      </c>
      <c r="BU9" s="42" t="s">
        <v>130</v>
      </c>
      <c r="BV9" s="31">
        <f>+BV3-BV7</f>
        <v>990408.73911781283</v>
      </c>
      <c r="BW9" s="31">
        <f t="shared" ref="BW9:BY9" si="17">+BW3-BW7</f>
        <v>314528.41052741371</v>
      </c>
      <c r="BX9" s="31">
        <f t="shared" si="17"/>
        <v>-104937.14964522654</v>
      </c>
      <c r="BY9" s="36">
        <f t="shared" si="17"/>
        <v>1200000</v>
      </c>
    </row>
    <row r="10" spans="1:77" x14ac:dyDescent="0.25">
      <c r="B10" t="s">
        <v>8</v>
      </c>
      <c r="C10" s="2">
        <f>+Voorbewerking!D8</f>
        <v>1900000</v>
      </c>
      <c r="F10" t="s">
        <v>118</v>
      </c>
      <c r="G10" t="s">
        <v>22</v>
      </c>
      <c r="H10" s="2">
        <f>-SUMIFS(Voorbewerking!K$39:K$48,Voorbewerking!B$39:B$48,LEFT(Kostenallocatie!F10,10),Voorbewerking!C$39:C$48,Kostenallocatie!G10)</f>
        <v>-349980</v>
      </c>
      <c r="K10" t="s">
        <v>131</v>
      </c>
      <c r="L10" t="s">
        <v>20</v>
      </c>
      <c r="M10" s="4">
        <f>+N10/N$13*M$8</f>
        <v>1234146.3414634147</v>
      </c>
      <c r="N10" s="2">
        <f>+Verdeelsleutels!D2</f>
        <v>23</v>
      </c>
      <c r="Q10" s="16" t="s">
        <v>123</v>
      </c>
      <c r="R10" s="16"/>
      <c r="S10" s="18">
        <f>SUM(S7:S9)</f>
        <v>1000000</v>
      </c>
      <c r="T10" s="16">
        <f>SUM(T7:T9)</f>
        <v>50</v>
      </c>
      <c r="AG10" s="16" t="s">
        <v>128</v>
      </c>
      <c r="AH10" s="16" t="s">
        <v>20</v>
      </c>
      <c r="AI10" s="18">
        <f>SUM(AI3:AI9)</f>
        <v>2150000</v>
      </c>
      <c r="BB10" t="s">
        <v>20</v>
      </c>
      <c r="BC10" t="s">
        <v>40</v>
      </c>
      <c r="BD10" t="s">
        <v>52</v>
      </c>
      <c r="BE10" s="2">
        <f>SUMIFS(Voorbewerking!E$53:E$87,Voorbewerking!B$53:B$87,Kostenallocatie!BB10,Voorbewerking!C$53:C$87,Kostenallocatie!BC10,Voorbewerking!D$53:D$87,Kostenallocatie!BD10)</f>
        <v>1800</v>
      </c>
      <c r="BF10" s="1">
        <f t="shared" si="9"/>
        <v>149.42225874867447</v>
      </c>
      <c r="BG10" s="3">
        <f t="shared" si="10"/>
        <v>268960.06574761402</v>
      </c>
      <c r="BO10" s="2">
        <f>SUMIF(Verdeelsleutels!$A$20:$A$40,Kostenallocatie!$BD10,Verdeelsleutels!C$20:C$40)*$BG10</f>
        <v>0</v>
      </c>
      <c r="BP10" s="2">
        <f>SUMIF(Verdeelsleutels!$A$20:$A$40,Kostenallocatie!$BD10,Verdeelsleutels!D$20:D$40)*$BG10</f>
        <v>268960.06574761402</v>
      </c>
      <c r="BQ10" s="2">
        <f>SUMIF(Verdeelsleutels!$A$20:$A$40,Kostenallocatie!$BD10,Verdeelsleutels!E$20:E$40)*$BG10</f>
        <v>0</v>
      </c>
      <c r="BR10" s="3">
        <f t="shared" si="1"/>
        <v>0</v>
      </c>
    </row>
    <row r="11" spans="1:77" x14ac:dyDescent="0.25">
      <c r="B11" t="s">
        <v>9</v>
      </c>
      <c r="C11" s="2">
        <f>+Voorbewerking!D9</f>
        <v>2200000</v>
      </c>
      <c r="F11" t="s">
        <v>118</v>
      </c>
      <c r="G11" t="s">
        <v>23</v>
      </c>
      <c r="H11" s="2">
        <f>-SUMIFS(Voorbewerking!K$39:K$48,Voorbewerking!B$39:B$48,LEFT(Kostenallocatie!F11,10),Voorbewerking!C$39:C$48,Kostenallocatie!G11)</f>
        <v>-450000</v>
      </c>
      <c r="K11" t="s">
        <v>131</v>
      </c>
      <c r="L11" t="s">
        <v>21</v>
      </c>
      <c r="M11" s="4">
        <f t="shared" ref="M11:M12" si="18">+N11/N$13*M$8</f>
        <v>321951.21951219509</v>
      </c>
      <c r="N11" s="2">
        <f>+Verdeelsleutels!D3</f>
        <v>6</v>
      </c>
      <c r="W11" t="s">
        <v>132</v>
      </c>
      <c r="BB11" t="s">
        <v>20</v>
      </c>
      <c r="BC11" t="s">
        <v>40</v>
      </c>
      <c r="BD11" t="s">
        <v>50</v>
      </c>
      <c r="BE11" s="2">
        <f>SUMIFS(Voorbewerking!E$53:E$87,Voorbewerking!B$53:B$87,Kostenallocatie!BB11,Voorbewerking!C$53:C$87,Kostenallocatie!BC11,Voorbewerking!D$53:D$87,Kostenallocatie!BD11)</f>
        <v>4200</v>
      </c>
      <c r="BF11" s="1">
        <f t="shared" si="9"/>
        <v>149.42225874867447</v>
      </c>
      <c r="BG11" s="3">
        <f t="shared" si="10"/>
        <v>627573.48674443271</v>
      </c>
      <c r="BO11" s="2">
        <f>SUMIF(Verdeelsleutels!$A$20:$A$40,Kostenallocatie!$BD11,Verdeelsleutels!C$20:C$40)*$BG11</f>
        <v>0</v>
      </c>
      <c r="BP11" s="2">
        <f>SUMIF(Verdeelsleutels!$A$20:$A$40,Kostenallocatie!$BD11,Verdeelsleutels!D$20:D$40)*$BG11</f>
        <v>0</v>
      </c>
      <c r="BQ11" s="2">
        <f>SUMIF(Verdeelsleutels!$A$20:$A$40,Kostenallocatie!$BD11,Verdeelsleutels!E$20:E$40)*$BG11</f>
        <v>627573.48674443271</v>
      </c>
      <c r="BR11" s="3">
        <f t="shared" si="1"/>
        <v>0</v>
      </c>
    </row>
    <row r="12" spans="1:77" x14ac:dyDescent="0.25">
      <c r="B12" t="s">
        <v>25</v>
      </c>
      <c r="C12" s="2">
        <f>+Voorbewerking!E33</f>
        <v>-1100000</v>
      </c>
      <c r="F12" t="s">
        <v>118</v>
      </c>
      <c r="G12" t="s">
        <v>24</v>
      </c>
      <c r="H12" s="2">
        <f>-SUMIFS(Voorbewerking!K$39:K$48,Voorbewerking!B$39:B$48,LEFT(Kostenallocatie!F12,10),Voorbewerking!C$39:C$48,Kostenallocatie!G12)</f>
        <v>-1600050</v>
      </c>
      <c r="K12" t="s">
        <v>131</v>
      </c>
      <c r="L12" t="s">
        <v>24</v>
      </c>
      <c r="M12" s="4">
        <f t="shared" si="18"/>
        <v>643902.43902439019</v>
      </c>
      <c r="N12" s="2">
        <f>+Verdeelsleutels!D6</f>
        <v>12</v>
      </c>
      <c r="R12" s="20" t="s">
        <v>133</v>
      </c>
      <c r="W12" t="s">
        <v>101</v>
      </c>
      <c r="Y12" s="4">
        <f>+M12</f>
        <v>643902.43902439019</v>
      </c>
      <c r="AG12" t="s">
        <v>132</v>
      </c>
      <c r="AJ12" t="s">
        <v>92</v>
      </c>
      <c r="AM12" t="s">
        <v>21</v>
      </c>
      <c r="AN12" t="s">
        <v>34</v>
      </c>
      <c r="AO12" s="2">
        <f>SUMIFS(Voorbewerking!K$39:K$48,Voorbewerking!C$39:C$48,Kostenallocatie!AM12,Voorbewerking!D$39:D$48,Kostenallocatie!AN12)</f>
        <v>439989.00000000006</v>
      </c>
      <c r="AP12" s="3">
        <f>+Verdeelsleutels!C13</f>
        <v>3</v>
      </c>
      <c r="AQ12" s="3">
        <f>+AP12/AP$15</f>
        <v>0.5</v>
      </c>
      <c r="AR12" s="3">
        <f>+AP12/AP$16</f>
        <v>0.5</v>
      </c>
      <c r="AS12" s="4">
        <f>+AQ12*AI$27</f>
        <v>160975.60975609755</v>
      </c>
      <c r="AT12" s="4">
        <f>+AR12*AI$28</f>
        <v>64000</v>
      </c>
      <c r="AU12" s="4">
        <f>+AQ12*AI$29</f>
        <v>80000</v>
      </c>
      <c r="AV12" s="4">
        <f>+AQ12*AI$30</f>
        <v>8333.3333333333321</v>
      </c>
      <c r="AW12" s="4">
        <f>+AO12+AS12+AT12+AU12+AV12</f>
        <v>753297.94308943104</v>
      </c>
      <c r="AX12" s="2">
        <f>+Verdeelsleutels!D13</f>
        <v>3300</v>
      </c>
      <c r="AY12" s="1">
        <f>+AW12/AX12</f>
        <v>228.27210396649426</v>
      </c>
      <c r="BB12" t="s">
        <v>20</v>
      </c>
      <c r="BC12" t="s">
        <v>36</v>
      </c>
      <c r="BD12" t="s">
        <v>51</v>
      </c>
      <c r="BE12" s="2">
        <f>SUMIFS(Voorbewerking!E$53:E$87,Voorbewerking!B$53:B$87,Kostenallocatie!BB12,Voorbewerking!C$53:C$87,Kostenallocatie!BC12,Voorbewerking!D$53:D$87,Kostenallocatie!BD12)</f>
        <v>1600</v>
      </c>
      <c r="BF12" s="1">
        <f t="shared" si="9"/>
        <v>177.5728525980912</v>
      </c>
      <c r="BG12" s="3">
        <f t="shared" si="10"/>
        <v>284116.56415694591</v>
      </c>
      <c r="BO12" s="2">
        <f>SUMIF(Verdeelsleutels!$A$20:$A$40,Kostenallocatie!$BD12,Verdeelsleutels!C$20:C$40)*$BG12</f>
        <v>284116.56415694591</v>
      </c>
      <c r="BP12" s="2">
        <f>SUMIF(Verdeelsleutels!$A$20:$A$40,Kostenallocatie!$BD12,Verdeelsleutels!D$20:D$40)*$BG12</f>
        <v>0</v>
      </c>
      <c r="BQ12" s="2">
        <f>SUMIF(Verdeelsleutels!$A$20:$A$40,Kostenallocatie!$BD12,Verdeelsleutels!E$20:E$40)*$BG12</f>
        <v>0</v>
      </c>
      <c r="BR12" s="3">
        <f t="shared" si="1"/>
        <v>0</v>
      </c>
    </row>
    <row r="13" spans="1:77" x14ac:dyDescent="0.25">
      <c r="B13" t="s">
        <v>26</v>
      </c>
      <c r="C13" s="2">
        <f>+Voorbewerking!E34</f>
        <v>1100000</v>
      </c>
      <c r="F13" t="s">
        <v>119</v>
      </c>
      <c r="G13" t="s">
        <v>20</v>
      </c>
      <c r="H13" s="2">
        <f>-H8</f>
        <v>1200000</v>
      </c>
      <c r="K13" s="16" t="s">
        <v>123</v>
      </c>
      <c r="L13" s="16"/>
      <c r="M13" s="18">
        <f>SUM(M10:M12)</f>
        <v>2200000</v>
      </c>
      <c r="N13" s="17">
        <f>SUM(N10:N12)</f>
        <v>41</v>
      </c>
      <c r="Q13" t="s">
        <v>71</v>
      </c>
      <c r="S13" s="2">
        <f>+Verdeelsleutels!B26</f>
        <v>100000</v>
      </c>
      <c r="W13" t="s">
        <v>102</v>
      </c>
      <c r="Y13" s="4">
        <f>+M24</f>
        <v>240000</v>
      </c>
      <c r="AG13" t="s">
        <v>101</v>
      </c>
      <c r="AI13" s="4">
        <f>+M10</f>
        <v>1234146.3414634147</v>
      </c>
      <c r="AJ13" t="s">
        <v>16</v>
      </c>
      <c r="AM13" t="s">
        <v>21</v>
      </c>
      <c r="AN13" t="s">
        <v>35</v>
      </c>
      <c r="AO13" s="2">
        <f>SUMIFS(Voorbewerking!K$39:K$48,Voorbewerking!C$39:C$48,Kostenallocatie!AM13,Voorbewerking!D$39:D$48,Kostenallocatie!AN13)</f>
        <v>300000</v>
      </c>
      <c r="AP13" s="3">
        <f>+Verdeelsleutels!C14</f>
        <v>3</v>
      </c>
      <c r="AQ13" s="3">
        <f>+AP13/AP$15</f>
        <v>0.5</v>
      </c>
      <c r="AR13" s="3">
        <f>+AP13/AP$16</f>
        <v>0.5</v>
      </c>
      <c r="AS13" s="4">
        <f>+AQ13*AI$27</f>
        <v>160975.60975609755</v>
      </c>
      <c r="AT13" s="4">
        <f>+AR13*AI$28</f>
        <v>64000</v>
      </c>
      <c r="AU13" s="4">
        <f>+AQ13*AI$29</f>
        <v>80000</v>
      </c>
      <c r="AV13" s="4">
        <f>+AQ13*AI$30</f>
        <v>8333.3333333333321</v>
      </c>
      <c r="AW13" s="4">
        <f>+AO13+AS13+AT13+AU13+AV13</f>
        <v>613308.94308943092</v>
      </c>
      <c r="AX13" s="2">
        <f>+Verdeelsleutels!D14</f>
        <v>3000</v>
      </c>
      <c r="AY13" s="1">
        <f>+AW13/AX13</f>
        <v>204.43631436314365</v>
      </c>
      <c r="BB13" t="s">
        <v>20</v>
      </c>
      <c r="BC13" t="s">
        <v>36</v>
      </c>
      <c r="BD13" t="s">
        <v>52</v>
      </c>
      <c r="BE13" s="2">
        <f>SUMIFS(Voorbewerking!E$53:E$87,Voorbewerking!B$53:B$87,Kostenallocatie!BB13,Voorbewerking!C$53:C$87,Kostenallocatie!BC13,Voorbewerking!D$53:D$87,Kostenallocatie!BD13)</f>
        <v>1400</v>
      </c>
      <c r="BF13" s="1">
        <f t="shared" si="9"/>
        <v>177.5728525980912</v>
      </c>
      <c r="BG13" s="3">
        <f t="shared" si="10"/>
        <v>248601.99363732769</v>
      </c>
      <c r="BO13" s="2">
        <f>SUMIF(Verdeelsleutels!$A$20:$A$40,Kostenallocatie!$BD13,Verdeelsleutels!C$20:C$40)*$BG13</f>
        <v>0</v>
      </c>
      <c r="BP13" s="2">
        <f>SUMIF(Verdeelsleutels!$A$20:$A$40,Kostenallocatie!$BD13,Verdeelsleutels!D$20:D$40)*$BG13</f>
        <v>248601.99363732769</v>
      </c>
      <c r="BQ13" s="2">
        <f>SUMIF(Verdeelsleutels!$A$20:$A$40,Kostenallocatie!$BD13,Verdeelsleutels!E$20:E$40)*$BG13</f>
        <v>0</v>
      </c>
      <c r="BR13" s="3">
        <f t="shared" si="1"/>
        <v>0</v>
      </c>
    </row>
    <row r="14" spans="1:77" x14ac:dyDescent="0.25">
      <c r="B14" t="s">
        <v>10</v>
      </c>
      <c r="C14" s="2">
        <f>+Voorbewerking!D10</f>
        <v>400000</v>
      </c>
      <c r="F14" t="s">
        <v>119</v>
      </c>
      <c r="G14" t="s">
        <v>21</v>
      </c>
      <c r="H14" s="2">
        <f t="shared" ref="H14:H17" si="19">-H9</f>
        <v>739989</v>
      </c>
      <c r="Q14" s="16"/>
      <c r="R14" s="16"/>
      <c r="S14" s="18">
        <f>SUM(S13)</f>
        <v>100000</v>
      </c>
      <c r="T14" t="s">
        <v>59</v>
      </c>
      <c r="W14" t="s">
        <v>103</v>
      </c>
      <c r="Y14" s="4">
        <f>+S9</f>
        <v>300000</v>
      </c>
      <c r="AG14" t="s">
        <v>102</v>
      </c>
      <c r="AI14" s="4">
        <f>+M22</f>
        <v>432000</v>
      </c>
      <c r="AJ14" t="s">
        <v>134</v>
      </c>
      <c r="AN14" s="16" t="s">
        <v>123</v>
      </c>
      <c r="AO14" s="18">
        <f>SUM(AO12:AO13)</f>
        <v>739989</v>
      </c>
      <c r="AP14" s="16"/>
      <c r="AQ14" s="25"/>
      <c r="AR14" s="25"/>
      <c r="AS14" s="18">
        <f t="shared" ref="AS14:AX14" si="20">SUM(AS12:AS13)</f>
        <v>321951.21951219509</v>
      </c>
      <c r="AT14" s="18">
        <f t="shared" si="20"/>
        <v>128000</v>
      </c>
      <c r="AU14" s="18">
        <f t="shared" si="20"/>
        <v>160000</v>
      </c>
      <c r="AV14" s="18">
        <f t="shared" si="20"/>
        <v>16666.666666666664</v>
      </c>
      <c r="AW14" s="27">
        <f t="shared" si="20"/>
        <v>1366606.8861788618</v>
      </c>
      <c r="AX14" s="18">
        <f t="shared" si="20"/>
        <v>6300</v>
      </c>
      <c r="AY14" s="16"/>
      <c r="BB14" t="s">
        <v>20</v>
      </c>
      <c r="BC14" t="s">
        <v>36</v>
      </c>
      <c r="BD14" t="s">
        <v>50</v>
      </c>
      <c r="BE14" s="2">
        <f>SUMIFS(Voorbewerking!E$53:E$87,Voorbewerking!B$53:B$87,Kostenallocatie!BB14,Voorbewerking!C$53:C$87,Kostenallocatie!BC14,Voorbewerking!D$53:D$87,Kostenallocatie!BD14)</f>
        <v>1700</v>
      </c>
      <c r="BF14" s="1">
        <f t="shared" si="9"/>
        <v>177.5728525980912</v>
      </c>
      <c r="BG14" s="3">
        <f t="shared" si="10"/>
        <v>301873.84941675502</v>
      </c>
      <c r="BO14" s="2">
        <f>SUMIF(Verdeelsleutels!$A$20:$A$40,Kostenallocatie!$BD14,Verdeelsleutels!C$20:C$40)*$BG14</f>
        <v>0</v>
      </c>
      <c r="BP14" s="2">
        <f>SUMIF(Verdeelsleutels!$A$20:$A$40,Kostenallocatie!$BD14,Verdeelsleutels!D$20:D$40)*$BG14</f>
        <v>0</v>
      </c>
      <c r="BQ14" s="2">
        <f>SUMIF(Verdeelsleutels!$A$20:$A$40,Kostenallocatie!$BD14,Verdeelsleutels!E$20:E$40)*$BG14</f>
        <v>301873.84941675502</v>
      </c>
      <c r="BR14" s="3">
        <f t="shared" si="1"/>
        <v>0</v>
      </c>
    </row>
    <row r="15" spans="1:77" x14ac:dyDescent="0.25">
      <c r="B15" s="16" t="s">
        <v>105</v>
      </c>
      <c r="C15" s="17">
        <f>SUM(C3:C14)</f>
        <v>9800000</v>
      </c>
      <c r="F15" t="s">
        <v>119</v>
      </c>
      <c r="G15" t="s">
        <v>22</v>
      </c>
      <c r="H15" s="2">
        <f t="shared" si="19"/>
        <v>349980</v>
      </c>
      <c r="L15" s="20" t="s">
        <v>102</v>
      </c>
      <c r="W15" t="s">
        <v>104</v>
      </c>
      <c r="Y15" s="4">
        <f>+S18</f>
        <v>33333.333333333328</v>
      </c>
      <c r="AG15" t="s">
        <v>115</v>
      </c>
      <c r="AI15" s="4">
        <f>+S7</f>
        <v>540000</v>
      </c>
      <c r="AJ15" t="s">
        <v>16</v>
      </c>
      <c r="AN15" t="s">
        <v>127</v>
      </c>
      <c r="AP15" s="3">
        <f>SUM(AP12:AP13)</f>
        <v>6</v>
      </c>
      <c r="BB15" t="s">
        <v>21</v>
      </c>
      <c r="BC15" t="s">
        <v>34</v>
      </c>
      <c r="BD15" t="s">
        <v>53</v>
      </c>
      <c r="BE15" s="2">
        <f>SUMIFS(Voorbewerking!E$53:E$87,Voorbewerking!B$53:B$87,Kostenallocatie!BB15,Voorbewerking!C$53:C$87,Kostenallocatie!BC15,Voorbewerking!D$53:D$87,Kostenallocatie!BD15)</f>
        <v>1700</v>
      </c>
      <c r="BF15" s="1">
        <f t="shared" si="9"/>
        <v>228.27210396649426</v>
      </c>
      <c r="BG15" s="3">
        <f t="shared" si="10"/>
        <v>388062.57674304023</v>
      </c>
      <c r="BO15" s="2">
        <f>SUMIF(Verdeelsleutels!$A$20:$A$40,Kostenallocatie!$BD15,Verdeelsleutels!C$20:C$40)*$BG15</f>
        <v>388062.57674304023</v>
      </c>
      <c r="BP15" s="2">
        <f>SUMIF(Verdeelsleutels!$A$20:$A$40,Kostenallocatie!$BD15,Verdeelsleutels!D$20:D$40)*$BG15</f>
        <v>0</v>
      </c>
      <c r="BQ15" s="2">
        <f>SUMIF(Verdeelsleutels!$A$20:$A$40,Kostenallocatie!$BD15,Verdeelsleutels!E$20:E$40)*$BG15</f>
        <v>0</v>
      </c>
      <c r="BR15" s="3">
        <f t="shared" si="1"/>
        <v>0</v>
      </c>
    </row>
    <row r="16" spans="1:77" x14ac:dyDescent="0.25">
      <c r="F16" t="s">
        <v>119</v>
      </c>
      <c r="G16" t="s">
        <v>23</v>
      </c>
      <c r="H16" s="2">
        <f t="shared" si="19"/>
        <v>450000</v>
      </c>
      <c r="K16" t="s">
        <v>5</v>
      </c>
      <c r="L16" t="s">
        <v>23</v>
      </c>
      <c r="M16" s="2">
        <f>SUMIFS(H$2:H$29,F$2:F$29,K16,G$2:G$29,L16)</f>
        <v>400000</v>
      </c>
      <c r="Q16" t="s">
        <v>135</v>
      </c>
      <c r="R16" t="s">
        <v>20</v>
      </c>
      <c r="S16" s="4">
        <f>+T16/T$19*S$14</f>
        <v>50000</v>
      </c>
      <c r="T16">
        <f>+Verdeelsleutels!F2</f>
        <v>30</v>
      </c>
      <c r="W16" s="16" t="s">
        <v>128</v>
      </c>
      <c r="X16" s="16"/>
      <c r="Y16" s="18">
        <f>SUM(Y12:Y15)</f>
        <v>1217235.7723577234</v>
      </c>
      <c r="AG16" t="s">
        <v>136</v>
      </c>
      <c r="AI16" s="4">
        <f>+S16</f>
        <v>50000</v>
      </c>
      <c r="AJ16" t="s">
        <v>16</v>
      </c>
      <c r="AN16" t="s">
        <v>129</v>
      </c>
      <c r="AP16" s="3">
        <f>SUM(AP12:AP13)</f>
        <v>6</v>
      </c>
      <c r="BB16" t="s">
        <v>21</v>
      </c>
      <c r="BC16" t="s">
        <v>34</v>
      </c>
      <c r="BD16" t="s">
        <v>48</v>
      </c>
      <c r="BE16" s="2">
        <f>SUMIFS(Voorbewerking!E$53:E$87,Voorbewerking!B$53:B$87,Kostenallocatie!BB16,Voorbewerking!C$53:C$87,Kostenallocatie!BC16,Voorbewerking!D$53:D$87,Kostenallocatie!BD16)</f>
        <v>1300</v>
      </c>
      <c r="BF16" s="1">
        <f t="shared" si="9"/>
        <v>228.27210396649426</v>
      </c>
      <c r="BG16" s="3">
        <f t="shared" si="10"/>
        <v>296753.73515644256</v>
      </c>
      <c r="BO16" s="2">
        <f>SUMIF(Verdeelsleutels!$A$20:$A$40,Kostenallocatie!$BD16,Verdeelsleutels!C$20:C$40)*$BG16</f>
        <v>0</v>
      </c>
      <c r="BP16" s="2">
        <f>SUMIF(Verdeelsleutels!$A$20:$A$40,Kostenallocatie!$BD16,Verdeelsleutels!D$20:D$40)*$BG16</f>
        <v>296753.73515644256</v>
      </c>
      <c r="BQ16" s="2">
        <f>SUMIF(Verdeelsleutels!$A$20:$A$40,Kostenallocatie!$BD16,Verdeelsleutels!E$20:E$40)*$BG16</f>
        <v>0</v>
      </c>
      <c r="BR16" s="3">
        <f t="shared" si="1"/>
        <v>0</v>
      </c>
    </row>
    <row r="17" spans="6:71" x14ac:dyDescent="0.25">
      <c r="F17" t="s">
        <v>119</v>
      </c>
      <c r="G17" t="s">
        <v>24</v>
      </c>
      <c r="H17" s="2">
        <f t="shared" si="19"/>
        <v>1600050</v>
      </c>
      <c r="K17" t="s">
        <v>118</v>
      </c>
      <c r="L17" t="s">
        <v>23</v>
      </c>
      <c r="M17" s="2">
        <f>SUMIFS(H$2:H$29,F$2:F$29,K17,G$2:G$29,L17)</f>
        <v>-450000</v>
      </c>
      <c r="Q17" t="s">
        <v>135</v>
      </c>
      <c r="R17" t="s">
        <v>21</v>
      </c>
      <c r="S17" s="4">
        <f t="shared" ref="S17:S18" si="21">+T17/T$19*S$14</f>
        <v>16666.666666666664</v>
      </c>
      <c r="T17">
        <f>+Verdeelsleutels!F3</f>
        <v>10</v>
      </c>
      <c r="W17" s="16" t="s">
        <v>137</v>
      </c>
      <c r="X17" s="16"/>
      <c r="Y17" s="18">
        <f>+Y9+Y16</f>
        <v>3967235.7723577237</v>
      </c>
      <c r="Z17" t="s">
        <v>138</v>
      </c>
      <c r="AG17" s="16" t="s">
        <v>128</v>
      </c>
      <c r="AH17" s="16"/>
      <c r="AI17" s="18">
        <f>SUM(AI13:AI16)</f>
        <v>2256146.341463415</v>
      </c>
      <c r="AS17" s="4"/>
      <c r="AT17" s="4"/>
      <c r="AU17" s="4"/>
      <c r="AV17" s="4"/>
      <c r="AW17" s="4"/>
      <c r="BB17" t="s">
        <v>21</v>
      </c>
      <c r="BC17" t="s">
        <v>35</v>
      </c>
      <c r="BD17" t="s">
        <v>47</v>
      </c>
      <c r="BE17" s="2">
        <f>SUMIFS(Voorbewerking!E$53:E$87,Voorbewerking!B$53:B$87,Kostenallocatie!BB17,Voorbewerking!C$53:C$87,Kostenallocatie!BC17,Voorbewerking!D$53:D$87,Kostenallocatie!BD17)</f>
        <v>2500</v>
      </c>
      <c r="BF17" s="1">
        <f t="shared" si="9"/>
        <v>204.43631436314365</v>
      </c>
      <c r="BG17" s="3">
        <f t="shared" si="10"/>
        <v>511090.78590785916</v>
      </c>
      <c r="BO17" s="2">
        <f>SUMIF(Verdeelsleutels!$A$20:$A$40,Kostenallocatie!$BD17,Verdeelsleutels!C$20:C$40)*$BG17</f>
        <v>0</v>
      </c>
      <c r="BP17" s="2">
        <f>SUMIF(Verdeelsleutels!$A$20:$A$40,Kostenallocatie!$BD17,Verdeelsleutels!D$20:D$40)*$BG17</f>
        <v>511090.78590785916</v>
      </c>
      <c r="BQ17" s="2">
        <f>SUMIF(Verdeelsleutels!$A$20:$A$40,Kostenallocatie!$BD17,Verdeelsleutels!E$20:E$40)*$BG17</f>
        <v>0</v>
      </c>
      <c r="BR17" s="3">
        <f t="shared" si="1"/>
        <v>0</v>
      </c>
    </row>
    <row r="18" spans="6:71" x14ac:dyDescent="0.25">
      <c r="F18" t="s">
        <v>6</v>
      </c>
      <c r="G18" t="s">
        <v>20</v>
      </c>
      <c r="H18" s="2">
        <f>SUMIFS(Voorbewerking!E$17:E$35,Voorbewerking!B$17:B$35,Kostenallocatie!F18,Voorbewerking!C$17:C$35,Kostenallocatie!G18)</f>
        <v>700000</v>
      </c>
      <c r="K18" t="s">
        <v>119</v>
      </c>
      <c r="L18" t="s">
        <v>23</v>
      </c>
      <c r="M18" s="2">
        <f>SUMIFS(H$2:H$29,F$2:F$29,K18,G$2:G$29,L18)</f>
        <v>450000</v>
      </c>
      <c r="Q18" t="s">
        <v>135</v>
      </c>
      <c r="R18" t="s">
        <v>24</v>
      </c>
      <c r="S18" s="2">
        <f t="shared" si="21"/>
        <v>33333.333333333328</v>
      </c>
      <c r="T18">
        <f>+Verdeelsleutels!F6</f>
        <v>20</v>
      </c>
      <c r="AG18" s="16" t="s">
        <v>139</v>
      </c>
      <c r="AH18" s="16"/>
      <c r="AI18" s="18">
        <f>+AI10+AI17</f>
        <v>4406146.341463415</v>
      </c>
      <c r="BB18" t="s">
        <v>21</v>
      </c>
      <c r="BC18" t="s">
        <v>35</v>
      </c>
      <c r="BD18" t="s">
        <v>53</v>
      </c>
      <c r="BE18" s="2">
        <f>SUMIFS(Voorbewerking!E$53:E$87,Voorbewerking!B$53:B$87,Kostenallocatie!BB18,Voorbewerking!C$53:C$87,Kostenallocatie!BC18,Voorbewerking!D$53:D$87,Kostenallocatie!BD18)</f>
        <v>100</v>
      </c>
      <c r="BF18" s="1">
        <f t="shared" si="9"/>
        <v>204.43631436314365</v>
      </c>
      <c r="BG18" s="3">
        <f t="shared" si="10"/>
        <v>20443.631436314365</v>
      </c>
      <c r="BO18" s="2">
        <f>SUMIF(Verdeelsleutels!$A$20:$A$40,Kostenallocatie!$BD18,Verdeelsleutels!C$20:C$40)*$BG18</f>
        <v>20443.631436314365</v>
      </c>
      <c r="BP18" s="2">
        <f>SUMIF(Verdeelsleutels!$A$20:$A$40,Kostenallocatie!$BD18,Verdeelsleutels!D$20:D$40)*$BG18</f>
        <v>0</v>
      </c>
      <c r="BQ18" s="2">
        <f>SUMIF(Verdeelsleutels!$A$20:$A$40,Kostenallocatie!$BD18,Verdeelsleutels!E$20:E$40)*$BG18</f>
        <v>0</v>
      </c>
      <c r="BR18" s="3">
        <f t="shared" si="1"/>
        <v>0</v>
      </c>
    </row>
    <row r="19" spans="6:71" x14ac:dyDescent="0.25">
      <c r="F19" t="s">
        <v>121</v>
      </c>
      <c r="G19" t="s">
        <v>20</v>
      </c>
      <c r="H19" s="2">
        <f>-SUMIFS(Voorbewerking!K$39:K$48,Voorbewerking!B$39:B$48,LEFT(Kostenallocatie!F19,12),Voorbewerking!C$39:C$48,Kostenallocatie!G19)</f>
        <v>-699972</v>
      </c>
      <c r="K19" t="s">
        <v>7</v>
      </c>
      <c r="L19" t="s">
        <v>23</v>
      </c>
      <c r="M19" s="2">
        <f>SUMIFS(H$2:H$29,F$2:F$29,K19,G$2:G$29,L19)</f>
        <v>400000</v>
      </c>
      <c r="Q19" s="16" t="s">
        <v>123</v>
      </c>
      <c r="R19" s="16"/>
      <c r="S19" s="18">
        <f>SUM(S16:S18)</f>
        <v>99999.999999999985</v>
      </c>
      <c r="T19" s="16">
        <f>SUM(T16:T18)</f>
        <v>60</v>
      </c>
      <c r="AL19" s="13" t="s">
        <v>140</v>
      </c>
      <c r="AM19" t="s">
        <v>15</v>
      </c>
      <c r="AN19" t="s">
        <v>14</v>
      </c>
      <c r="AO19" t="s">
        <v>89</v>
      </c>
      <c r="BB19" t="s">
        <v>21</v>
      </c>
      <c r="BC19" t="s">
        <v>35</v>
      </c>
      <c r="BD19" t="s">
        <v>48</v>
      </c>
      <c r="BE19" s="2">
        <f>SUMIFS(Voorbewerking!E$53:E$87,Voorbewerking!B$53:B$87,Kostenallocatie!BB19,Voorbewerking!C$53:C$87,Kostenallocatie!BC19,Voorbewerking!D$53:D$87,Kostenallocatie!BD19)</f>
        <v>100</v>
      </c>
      <c r="BF19" s="1">
        <f t="shared" si="9"/>
        <v>204.43631436314365</v>
      </c>
      <c r="BG19" s="3">
        <f t="shared" si="10"/>
        <v>20443.631436314365</v>
      </c>
      <c r="BO19" s="2">
        <f>SUMIF(Verdeelsleutels!$A$20:$A$40,Kostenallocatie!$BD19,Verdeelsleutels!C$20:C$40)*$BG19</f>
        <v>0</v>
      </c>
      <c r="BP19" s="2">
        <f>SUMIF(Verdeelsleutels!$A$20:$A$40,Kostenallocatie!$BD19,Verdeelsleutels!D$20:D$40)*$BG19</f>
        <v>20443.631436314365</v>
      </c>
      <c r="BQ19" s="2">
        <f>SUMIF(Verdeelsleutels!$A$20:$A$40,Kostenallocatie!$BD19,Verdeelsleutels!E$20:E$40)*$BG19</f>
        <v>0</v>
      </c>
      <c r="BR19" s="3">
        <f t="shared" si="1"/>
        <v>0</v>
      </c>
    </row>
    <row r="20" spans="6:71" x14ac:dyDescent="0.25">
      <c r="F20" t="s">
        <v>125</v>
      </c>
      <c r="G20" t="s">
        <v>20</v>
      </c>
      <c r="H20" s="4">
        <f>-H19</f>
        <v>699972</v>
      </c>
      <c r="K20" s="16" t="s">
        <v>105</v>
      </c>
      <c r="L20" s="16" t="s">
        <v>23</v>
      </c>
      <c r="M20" s="18">
        <f>SUM(M16:M19)</f>
        <v>800000</v>
      </c>
      <c r="N20" t="s">
        <v>141</v>
      </c>
      <c r="X20" t="s">
        <v>61</v>
      </c>
      <c r="AG20" t="s">
        <v>5</v>
      </c>
      <c r="AH20" t="s">
        <v>21</v>
      </c>
      <c r="AI20" s="5">
        <f>SUMIFS(H$2:H$29,F$2:F$29,AG20,G$2:G$29,AH20)</f>
        <v>700000</v>
      </c>
      <c r="AM20" t="s">
        <v>20</v>
      </c>
      <c r="AN20" t="s">
        <v>5</v>
      </c>
      <c r="AO20" s="4">
        <f>+AI3</f>
        <v>1150000</v>
      </c>
      <c r="BD20" t="s">
        <v>66</v>
      </c>
      <c r="BG20" s="4">
        <f>+AO36</f>
        <v>1298368.0709534369</v>
      </c>
      <c r="BO20" s="2">
        <f>SUMIF(Verdeelsleutels!$A$20:$A$40,Kostenallocatie!$BD20,Verdeelsleutels!C$20:C$40)*$BG20</f>
        <v>649184.03547671845</v>
      </c>
      <c r="BP20" s="2">
        <f>SUMIF(Verdeelsleutels!$A$20:$A$40,Kostenallocatie!$BD20,Verdeelsleutels!D$20:D$40)*$BG20</f>
        <v>649184.03547671845</v>
      </c>
      <c r="BQ20" s="2">
        <f>SUMIF(Verdeelsleutels!$A$20:$A$40,Kostenallocatie!$BD20,Verdeelsleutels!E$20:E$40)*$BG20</f>
        <v>0</v>
      </c>
      <c r="BR20" s="3">
        <f t="shared" si="1"/>
        <v>0</v>
      </c>
    </row>
    <row r="21" spans="6:71" x14ac:dyDescent="0.25">
      <c r="F21" t="s">
        <v>7</v>
      </c>
      <c r="G21" t="s">
        <v>23</v>
      </c>
      <c r="H21" s="2">
        <f>SUMIFS(Voorbewerking!E$17:E$35,Voorbewerking!B$17:B$35,Kostenallocatie!F21,Voorbewerking!C$17:C$35,Kostenallocatie!G21)</f>
        <v>400000</v>
      </c>
      <c r="W21" t="s">
        <v>142</v>
      </c>
      <c r="X21" t="s">
        <v>66</v>
      </c>
      <c r="Y21" s="2">
        <f>+Z21/Z$25*Y$17</f>
        <v>1298368.0709534369</v>
      </c>
      <c r="Z21" s="2">
        <f>+Verdeelsleutels!B21</f>
        <v>900000</v>
      </c>
      <c r="AG21" t="s">
        <v>118</v>
      </c>
      <c r="AH21" t="s">
        <v>21</v>
      </c>
      <c r="AI21" s="5">
        <f>SUMIFS(H$2:H$29,F$2:F$29,AG21,G$2:G$29,AH21)</f>
        <v>-739989</v>
      </c>
      <c r="AM21" t="s">
        <v>20</v>
      </c>
      <c r="AN21" t="s">
        <v>118</v>
      </c>
      <c r="AO21" s="4">
        <f>+AI4</f>
        <v>-1200000</v>
      </c>
      <c r="BD21" t="s">
        <v>67</v>
      </c>
      <c r="BG21" s="4">
        <f t="shared" ref="BG21:BG23" si="22">+AO37</f>
        <v>721315.59497413156</v>
      </c>
      <c r="BO21" s="2">
        <f>SUMIF(Verdeelsleutels!$A$20:$A$40,Kostenallocatie!$BD21,Verdeelsleutels!C$20:C$40)*$BG21</f>
        <v>180328.89874353289</v>
      </c>
      <c r="BP21" s="2">
        <f>SUMIF(Verdeelsleutels!$A$20:$A$40,Kostenallocatie!$BD21,Verdeelsleutels!D$20:D$40)*$BG21</f>
        <v>540986.69623059873</v>
      </c>
      <c r="BQ21" s="2">
        <f>SUMIF(Verdeelsleutels!$A$20:$A$40,Kostenallocatie!$BD21,Verdeelsleutels!E$20:E$40)*$BG21</f>
        <v>0</v>
      </c>
      <c r="BR21" s="3">
        <f t="shared" si="1"/>
        <v>0</v>
      </c>
    </row>
    <row r="22" spans="6:71" x14ac:dyDescent="0.25">
      <c r="F22" t="s">
        <v>8</v>
      </c>
      <c r="G22" t="s">
        <v>22</v>
      </c>
      <c r="H22" s="2">
        <f>SUMIFS(Voorbewerking!E$17:E$35,Voorbewerking!B$17:B$35,Kostenallocatie!F22,Voorbewerking!C$17:C$35,Kostenallocatie!G22)</f>
        <v>1900000</v>
      </c>
      <c r="K22" t="s">
        <v>143</v>
      </c>
      <c r="L22" t="s">
        <v>20</v>
      </c>
      <c r="M22" s="4">
        <f>+N22/N$25*M$20</f>
        <v>432000</v>
      </c>
      <c r="N22" s="2">
        <f>+Verdeelsleutels!C2</f>
        <v>27</v>
      </c>
      <c r="W22" t="s">
        <v>142</v>
      </c>
      <c r="X22" t="s">
        <v>67</v>
      </c>
      <c r="Y22" s="2">
        <f>+Z22/Z$25*Y$17</f>
        <v>721315.59497413156</v>
      </c>
      <c r="Z22" s="2">
        <f>+Verdeelsleutels!B22</f>
        <v>500000</v>
      </c>
      <c r="AG22" t="s">
        <v>119</v>
      </c>
      <c r="AH22" t="s">
        <v>21</v>
      </c>
      <c r="AI22" s="5">
        <f>SUMIFS(H$2:H$29,F$2:F$29,AG22,G$2:G$29,AH22)</f>
        <v>739989</v>
      </c>
      <c r="AM22" t="s">
        <v>20</v>
      </c>
      <c r="AN22" t="s">
        <v>6</v>
      </c>
      <c r="AO22" s="4">
        <f>+AI6</f>
        <v>700000</v>
      </c>
      <c r="BD22" t="s">
        <v>68</v>
      </c>
      <c r="BG22" s="4">
        <f t="shared" si="22"/>
        <v>1442631.1899482631</v>
      </c>
      <c r="BO22" s="2">
        <f>SUMIF(Verdeelsleutels!$A$20:$A$40,Kostenallocatie!$BD22,Verdeelsleutels!C$20:C$40)*$BG22</f>
        <v>360657.79748706578</v>
      </c>
      <c r="BP22" s="2">
        <f>SUMIF(Verdeelsleutels!$A$20:$A$40,Kostenallocatie!$BD22,Verdeelsleutels!D$20:D$40)*$BG22</f>
        <v>360657.79748706578</v>
      </c>
      <c r="BQ22" s="2">
        <f>SUMIF(Verdeelsleutels!$A$20:$A$40,Kostenallocatie!$BD22,Verdeelsleutels!E$20:E$40)*$BG22</f>
        <v>721315.59497413156</v>
      </c>
      <c r="BR22" s="3">
        <f t="shared" si="1"/>
        <v>0</v>
      </c>
    </row>
    <row r="23" spans="6:71" x14ac:dyDescent="0.25">
      <c r="F23" t="s">
        <v>9</v>
      </c>
      <c r="G23" t="s">
        <v>24</v>
      </c>
      <c r="H23" s="2">
        <f>SUMIFS(Voorbewerking!E$17:E$35,Voorbewerking!B$17:B$35,Kostenallocatie!F23,Voorbewerking!C$17:C$35,Kostenallocatie!G23)</f>
        <v>2200000</v>
      </c>
      <c r="K23" t="s">
        <v>143</v>
      </c>
      <c r="L23" t="s">
        <v>21</v>
      </c>
      <c r="M23" s="4">
        <f t="shared" ref="M23:M24" si="23">+N23/N$25*M$20</f>
        <v>128000</v>
      </c>
      <c r="N23" s="2">
        <f>+Verdeelsleutels!C3</f>
        <v>8</v>
      </c>
      <c r="W23" t="s">
        <v>142</v>
      </c>
      <c r="X23" t="s">
        <v>68</v>
      </c>
      <c r="Y23" s="2">
        <f>+Z23/Z$25*Y$17</f>
        <v>1442631.1899482631</v>
      </c>
      <c r="Z23" s="2">
        <f>+Verdeelsleutels!B23</f>
        <v>1000000</v>
      </c>
      <c r="AG23" t="s">
        <v>10</v>
      </c>
      <c r="AH23" t="s">
        <v>21</v>
      </c>
      <c r="AI23" s="5">
        <f>SUMIFS(H$2:H$29,F$2:F$29,AG23,G$2:G$29,AH23)</f>
        <v>100000</v>
      </c>
      <c r="AM23" t="s">
        <v>20</v>
      </c>
      <c r="AN23" t="s">
        <v>121</v>
      </c>
      <c r="AO23" s="4">
        <f>+AI7</f>
        <v>-699972</v>
      </c>
      <c r="BD23" t="s">
        <v>69</v>
      </c>
      <c r="BG23" s="4">
        <f t="shared" si="22"/>
        <v>504920.91648189205</v>
      </c>
      <c r="BO23" s="2">
        <f>SUMIF(Verdeelsleutels!$A$20:$A$40,Kostenallocatie!$BD23,Verdeelsleutels!C$20:C$40)*$BG23</f>
        <v>0</v>
      </c>
      <c r="BP23" s="2">
        <f>SUMIF(Verdeelsleutels!$A$20:$A$40,Kostenallocatie!$BD23,Verdeelsleutels!D$20:D$40)*$BG23</f>
        <v>0</v>
      </c>
      <c r="BQ23" s="2">
        <f>SUMIF(Verdeelsleutels!$A$20:$A$40,Kostenallocatie!$BD23,Verdeelsleutels!E$20:E$40)*$BG23</f>
        <v>504920.91648189205</v>
      </c>
      <c r="BR23" s="3">
        <f t="shared" si="1"/>
        <v>0</v>
      </c>
    </row>
    <row r="24" spans="6:71" x14ac:dyDescent="0.25">
      <c r="F24" t="s">
        <v>25</v>
      </c>
      <c r="G24" t="s">
        <v>24</v>
      </c>
      <c r="H24" s="2">
        <f>SUMIFS(Voorbewerking!E$17:E$35,Voorbewerking!B$17:B$35,Kostenallocatie!F24,Voorbewerking!C$17:C$35,Kostenallocatie!G24)</f>
        <v>-1100000</v>
      </c>
      <c r="K24" t="s">
        <v>143</v>
      </c>
      <c r="L24" t="s">
        <v>24</v>
      </c>
      <c r="M24" s="4">
        <f t="shared" si="23"/>
        <v>240000</v>
      </c>
      <c r="N24" s="2">
        <f>+Verdeelsleutels!C6</f>
        <v>15</v>
      </c>
      <c r="W24" t="s">
        <v>142</v>
      </c>
      <c r="X24" t="s">
        <v>69</v>
      </c>
      <c r="Y24" s="2">
        <f>+Z24/Z$25*Y$17</f>
        <v>504920.91648189205</v>
      </c>
      <c r="Z24" s="2">
        <f>+Verdeelsleutels!B24</f>
        <v>350000</v>
      </c>
      <c r="AG24" s="16" t="s">
        <v>128</v>
      </c>
      <c r="AH24" s="16" t="s">
        <v>21</v>
      </c>
      <c r="AI24" s="18">
        <f>SUM(AI20:AI23)</f>
        <v>800000</v>
      </c>
      <c r="AM24" t="s">
        <v>20</v>
      </c>
      <c r="AN24" t="s">
        <v>10</v>
      </c>
      <c r="AO24" s="4">
        <f>+AI9</f>
        <v>300000</v>
      </c>
      <c r="BB24" s="16"/>
      <c r="BC24" s="16"/>
      <c r="BD24" s="16" t="s">
        <v>144</v>
      </c>
      <c r="BE24" s="16"/>
      <c r="BF24" s="16"/>
      <c r="BG24" s="25">
        <f>SUM(BG3:BG23)</f>
        <v>9052528.6927600503</v>
      </c>
      <c r="BO24" s="18">
        <f>SUM(BO3:BO23)</f>
        <v>3218722.0280964472</v>
      </c>
      <c r="BP24" s="18">
        <f>SUM(BP3:BP23)</f>
        <v>3380025.6802489371</v>
      </c>
      <c r="BQ24" s="18">
        <f>SUM(BQ3:BQ23)</f>
        <v>2453780.984414666</v>
      </c>
      <c r="BR24" s="18">
        <f>SUM(BR3:BR23)</f>
        <v>0</v>
      </c>
    </row>
    <row r="25" spans="6:71" x14ac:dyDescent="0.25">
      <c r="F25" t="s">
        <v>26</v>
      </c>
      <c r="G25" t="s">
        <v>24</v>
      </c>
      <c r="H25" s="2">
        <f>SUMIFS(Voorbewerking!E$17:E$35,Voorbewerking!B$17:B$35,Kostenallocatie!F25,Voorbewerking!C$17:C$35,Kostenallocatie!G25)</f>
        <v>1100000</v>
      </c>
      <c r="K25" s="16" t="s">
        <v>123</v>
      </c>
      <c r="L25" s="16"/>
      <c r="M25" s="18">
        <f>SUM(M22:M24)</f>
        <v>800000</v>
      </c>
      <c r="N25" s="17">
        <f>SUM(N22:N24)</f>
        <v>50</v>
      </c>
      <c r="Y25" s="18">
        <f>SUM(Y21:Y24)</f>
        <v>3967235.7723577237</v>
      </c>
      <c r="Z25" s="18">
        <f>SUM(Z21:Z24)</f>
        <v>2750000</v>
      </c>
      <c r="AM25" s="16" t="s">
        <v>20</v>
      </c>
      <c r="AN25" s="16" t="s">
        <v>145</v>
      </c>
      <c r="AO25" s="27">
        <f>SUM(AO20:AO24)</f>
        <v>250028</v>
      </c>
    </row>
    <row r="26" spans="6:71" x14ac:dyDescent="0.25">
      <c r="F26" t="s">
        <v>10</v>
      </c>
      <c r="G26" t="s">
        <v>20</v>
      </c>
      <c r="H26" s="2">
        <f>SUMIFS(Voorbewerking!E$17:E$35,Voorbewerking!B$17:B$35,Kostenallocatie!F26,Voorbewerking!C$17:C$35,Kostenallocatie!G26)</f>
        <v>300000</v>
      </c>
      <c r="AG26" t="s">
        <v>132</v>
      </c>
      <c r="BO26" t="s">
        <v>120</v>
      </c>
    </row>
    <row r="27" spans="6:71" x14ac:dyDescent="0.25">
      <c r="F27" t="s">
        <v>10</v>
      </c>
      <c r="G27" t="s">
        <v>21</v>
      </c>
      <c r="H27" s="2">
        <f>SUMIFS(Voorbewerking!E$17:E$35,Voorbewerking!B$17:B$35,Kostenallocatie!F27,Voorbewerking!C$17:C$35,Kostenallocatie!G27)</f>
        <v>100000</v>
      </c>
      <c r="AG27" t="s">
        <v>101</v>
      </c>
      <c r="AI27" s="4">
        <f>+M11</f>
        <v>321951.21951219509</v>
      </c>
      <c r="AJ27" t="s">
        <v>16</v>
      </c>
      <c r="BA27" s="13" t="s">
        <v>146</v>
      </c>
      <c r="BB27" t="s">
        <v>42</v>
      </c>
      <c r="BC27" t="s">
        <v>28</v>
      </c>
      <c r="BD27" t="s">
        <v>43</v>
      </c>
      <c r="BE27" t="s">
        <v>83</v>
      </c>
      <c r="BF27" t="s">
        <v>106</v>
      </c>
      <c r="BG27" t="s">
        <v>108</v>
      </c>
      <c r="BI27" t="s">
        <v>147</v>
      </c>
      <c r="BJ27" t="s">
        <v>148</v>
      </c>
      <c r="BK27" t="s">
        <v>149</v>
      </c>
      <c r="BL27" t="s">
        <v>123</v>
      </c>
      <c r="BO27" t="s">
        <v>110</v>
      </c>
      <c r="BP27" t="s">
        <v>111</v>
      </c>
      <c r="BQ27" t="s">
        <v>112</v>
      </c>
      <c r="BR27" t="s">
        <v>84</v>
      </c>
    </row>
    <row r="28" spans="6:71" x14ac:dyDescent="0.25">
      <c r="F28" s="16" t="s">
        <v>105</v>
      </c>
      <c r="G28" s="16"/>
      <c r="H28" s="18">
        <f>SUM(H3:H27)</f>
        <v>9800000</v>
      </c>
      <c r="AG28" t="s">
        <v>102</v>
      </c>
      <c r="AI28" s="4">
        <f>+M23</f>
        <v>128000</v>
      </c>
      <c r="AJ28" t="s">
        <v>134</v>
      </c>
      <c r="AM28" t="s">
        <v>15</v>
      </c>
      <c r="AN28" t="s">
        <v>14</v>
      </c>
      <c r="AO28" t="s">
        <v>89</v>
      </c>
      <c r="BB28" t="s">
        <v>20</v>
      </c>
      <c r="BC28" t="s">
        <v>34</v>
      </c>
      <c r="BD28" t="s">
        <v>49</v>
      </c>
      <c r="BE28" s="2">
        <f>SUMIFS(Voorbewerking!E$53:E$87,Voorbewerking!B$53:B$87,Kostenallocatie!BB28,Voorbewerking!C$53:C$87,Kostenallocatie!BC28,Voorbewerking!D$53:D$87,Kostenallocatie!BD28)</f>
        <v>800</v>
      </c>
      <c r="BF28" s="1">
        <f>SUMIFS(AY$2:AY$14,AM$2:AM$14,BB28,AN$2:AN$14,BC28)</f>
        <v>196.64610045309939</v>
      </c>
      <c r="BG28" s="1">
        <f t="shared" ref="BG28:BG30" si="24">+BE28*BF28</f>
        <v>157316.88036247951</v>
      </c>
      <c r="BI28" s="2">
        <f>SUMIF(Verdeelsleutels!$A$20:$A$40,Kostenallocatie!$BB28,Verdeelsleutels!C$20:C$40)*BO$24</f>
        <v>1072907.3426988157</v>
      </c>
      <c r="BJ28" s="2">
        <f>SUMIF(Verdeelsleutels!$A$20:$A$40,Kostenallocatie!$BB28,Verdeelsleutels!D$20:D$40)*BP$24</f>
        <v>1126675.2267496455</v>
      </c>
      <c r="BK28" s="2">
        <f>SUMIF(Verdeelsleutels!$A$20:$A$40,Kostenallocatie!$BB28,Verdeelsleutels!E$20:E$40)*BQ$24</f>
        <v>817926.99480488861</v>
      </c>
      <c r="BL28" s="4">
        <f>SUM(BI28:BK28)</f>
        <v>3017509.5642533498</v>
      </c>
      <c r="BO28" s="2">
        <f t="shared" ref="BO28:BQ35" si="25">+BI28/$BL28*$BG28</f>
        <v>55935.675588534483</v>
      </c>
      <c r="BP28" s="2">
        <f t="shared" si="25"/>
        <v>58738.846747549855</v>
      </c>
      <c r="BQ28" s="2">
        <f t="shared" si="25"/>
        <v>42642.358026395188</v>
      </c>
      <c r="BR28" s="3">
        <f>SUM(BO28:BQ28)-BG28</f>
        <v>0</v>
      </c>
      <c r="BS28" s="3"/>
    </row>
    <row r="29" spans="6:71" x14ac:dyDescent="0.25">
      <c r="AG29" t="s">
        <v>115</v>
      </c>
      <c r="AI29" s="4">
        <f>+S8</f>
        <v>160000</v>
      </c>
      <c r="AJ29" t="s">
        <v>16</v>
      </c>
      <c r="AM29" t="s">
        <v>21</v>
      </c>
      <c r="AN29" t="s">
        <v>5</v>
      </c>
      <c r="AO29" s="4">
        <f>+AI20</f>
        <v>700000</v>
      </c>
      <c r="AT29" s="4"/>
      <c r="BB29" t="s">
        <v>20</v>
      </c>
      <c r="BC29" t="s">
        <v>35</v>
      </c>
      <c r="BD29" t="s">
        <v>49</v>
      </c>
      <c r="BE29" s="2">
        <f>SUMIFS(Voorbewerking!E$53:E$87,Voorbewerking!B$53:B$87,Kostenallocatie!BB29,Voorbewerking!C$53:C$87,Kostenallocatie!BC29,Voorbewerking!D$53:D$87,Kostenallocatie!BD29)</f>
        <v>200</v>
      </c>
      <c r="BF29" s="1">
        <f>SUMIFS(AY$2:AY$14,AM$2:AM$14,BB29,AN$2:AN$14,BC29)</f>
        <v>186.31071049840932</v>
      </c>
      <c r="BG29" s="1">
        <f t="shared" si="24"/>
        <v>37262.142099681863</v>
      </c>
      <c r="BI29" s="2">
        <f>SUMIF(Verdeelsleutels!$A$20:$A$40,Kostenallocatie!$BB29,Verdeelsleutels!C$20:C$40)*BO$24</f>
        <v>1072907.3426988157</v>
      </c>
      <c r="BJ29" s="2">
        <f>SUMIF(Verdeelsleutels!$A$20:$A$40,Kostenallocatie!$BB29,Verdeelsleutels!D$20:D$40)*BP$24</f>
        <v>1126675.2267496455</v>
      </c>
      <c r="BK29" s="2">
        <f>SUMIF(Verdeelsleutels!$A$20:$A$40,Kostenallocatie!$BB29,Verdeelsleutels!E$20:E$40)*BQ$24</f>
        <v>817926.99480488861</v>
      </c>
      <c r="BL29" s="4">
        <f t="shared" ref="BL29:BL35" si="26">SUM(BI29:BK29)</f>
        <v>3017509.5642533498</v>
      </c>
      <c r="BO29" s="2">
        <f t="shared" si="25"/>
        <v>13248.94752183749</v>
      </c>
      <c r="BP29" s="2">
        <f t="shared" si="25"/>
        <v>13912.907815331035</v>
      </c>
      <c r="BQ29" s="2">
        <f t="shared" si="25"/>
        <v>10100.286762513342</v>
      </c>
      <c r="BR29" s="3">
        <f t="shared" ref="BR29:BR35" si="27">SUM(BO29:BQ29)-BG29</f>
        <v>0</v>
      </c>
      <c r="BS29" s="3"/>
    </row>
    <row r="30" spans="6:71" x14ac:dyDescent="0.25">
      <c r="AG30" t="s">
        <v>136</v>
      </c>
      <c r="AI30" s="4">
        <f>+S17</f>
        <v>16666.666666666664</v>
      </c>
      <c r="AJ30" t="s">
        <v>16</v>
      </c>
      <c r="AM30" t="s">
        <v>21</v>
      </c>
      <c r="AN30" t="s">
        <v>118</v>
      </c>
      <c r="AO30" s="4">
        <f>+AI21</f>
        <v>-739989</v>
      </c>
      <c r="AT30" s="4"/>
      <c r="BB30" t="s">
        <v>20</v>
      </c>
      <c r="BC30" t="s">
        <v>36</v>
      </c>
      <c r="BD30" t="s">
        <v>49</v>
      </c>
      <c r="BE30" s="2">
        <f>SUMIFS(Voorbewerking!E$53:E$87,Voorbewerking!B$53:B$87,Kostenallocatie!BB30,Voorbewerking!C$53:C$87,Kostenallocatie!BC30,Voorbewerking!D$53:D$87,Kostenallocatie!BD30)</f>
        <v>300</v>
      </c>
      <c r="BF30" s="1">
        <f>SUMIFS(AY$2:AY$14,AM$2:AM$14,BB30,AN$2:AN$14,BC30)</f>
        <v>177.5728525980912</v>
      </c>
      <c r="BG30" s="1">
        <f t="shared" si="24"/>
        <v>53271.855779427358</v>
      </c>
      <c r="BI30" s="2">
        <f>SUMIF(Verdeelsleutels!$A$20:$A$40,Kostenallocatie!$BB30,Verdeelsleutels!C$20:C$40)*BO$24</f>
        <v>1072907.3426988157</v>
      </c>
      <c r="BJ30" s="2">
        <f>SUMIF(Verdeelsleutels!$A$20:$A$40,Kostenallocatie!$BB30,Verdeelsleutels!D$20:D$40)*BP$24</f>
        <v>1126675.2267496455</v>
      </c>
      <c r="BK30" s="2">
        <f>SUMIF(Verdeelsleutels!$A$20:$A$40,Kostenallocatie!$BB30,Verdeelsleutels!E$20:E$40)*BQ$24</f>
        <v>817926.99480488861</v>
      </c>
      <c r="BL30" s="4">
        <f t="shared" si="26"/>
        <v>3017509.5642533498</v>
      </c>
      <c r="BO30" s="2">
        <f t="shared" si="25"/>
        <v>18941.370029785652</v>
      </c>
      <c r="BP30" s="2">
        <f t="shared" si="25"/>
        <v>19890.601475031963</v>
      </c>
      <c r="BQ30" s="2">
        <f t="shared" si="25"/>
        <v>14439.884274609747</v>
      </c>
      <c r="BR30" s="3">
        <f t="shared" si="27"/>
        <v>0</v>
      </c>
      <c r="BS30" s="3"/>
    </row>
    <row r="31" spans="6:71" x14ac:dyDescent="0.25">
      <c r="AG31" s="16" t="s">
        <v>128</v>
      </c>
      <c r="AH31" s="16"/>
      <c r="AI31" s="18">
        <f>SUM(AI27:AI30)</f>
        <v>626617.88617886172</v>
      </c>
      <c r="AM31" t="s">
        <v>21</v>
      </c>
      <c r="AN31" t="s">
        <v>10</v>
      </c>
      <c r="AO31" s="4">
        <f>+AI23</f>
        <v>100000</v>
      </c>
      <c r="AT31" s="4"/>
      <c r="BB31" t="s">
        <v>20</v>
      </c>
      <c r="BC31" t="s">
        <v>40</v>
      </c>
      <c r="BD31" t="s">
        <v>49</v>
      </c>
      <c r="BE31" s="2">
        <f>SUMIFS(Voorbewerking!E$53:E$87,Voorbewerking!B$53:B$87,Kostenallocatie!BB31,Voorbewerking!C$53:C$87,Kostenallocatie!BC31,Voorbewerking!D$53:D$87,Kostenallocatie!BD31)</f>
        <v>400</v>
      </c>
      <c r="BF31" s="1">
        <f>SUMIFS(AY$2:AY$14,AM$2:AM$14,BB31,AN$2:AN$14,BC31)</f>
        <v>149.42225874867447</v>
      </c>
      <c r="BG31" s="1">
        <f>+BE31*BF31</f>
        <v>59768.903499469787</v>
      </c>
      <c r="BI31" s="2">
        <f>SUMIF(Verdeelsleutels!$A$20:$A$40,Kostenallocatie!$BB31,Verdeelsleutels!C$20:C$40)*BO$24</f>
        <v>1072907.3426988157</v>
      </c>
      <c r="BJ31" s="2">
        <f>SUMIF(Verdeelsleutels!$A$20:$A$40,Kostenallocatie!$BB31,Verdeelsleutels!D$20:D$40)*BP$24</f>
        <v>1126675.2267496455</v>
      </c>
      <c r="BK31" s="2">
        <f>SUMIF(Verdeelsleutels!$A$20:$A$40,Kostenallocatie!$BB31,Verdeelsleutels!E$20:E$40)*BQ$24</f>
        <v>817926.99480488861</v>
      </c>
      <c r="BL31" s="4">
        <f t="shared" si="26"/>
        <v>3017509.5642533498</v>
      </c>
      <c r="BO31" s="2">
        <f t="shared" si="25"/>
        <v>21251.463852611018</v>
      </c>
      <c r="BP31" s="2">
        <f t="shared" si="25"/>
        <v>22316.463782114108</v>
      </c>
      <c r="BQ31" s="2">
        <f t="shared" si="25"/>
        <v>16200.975864744667</v>
      </c>
      <c r="BR31" s="3">
        <f t="shared" si="27"/>
        <v>0</v>
      </c>
      <c r="BS31" s="3"/>
    </row>
    <row r="32" spans="6:71" x14ac:dyDescent="0.25">
      <c r="AG32" s="16" t="s">
        <v>139</v>
      </c>
      <c r="AH32" s="16"/>
      <c r="AI32" s="18">
        <f>+AI24+AI31</f>
        <v>1426617.8861788618</v>
      </c>
      <c r="AM32" s="16" t="s">
        <v>21</v>
      </c>
      <c r="AN32" s="16" t="s">
        <v>145</v>
      </c>
      <c r="AO32" s="27">
        <f>SUM(AO29:AO31)</f>
        <v>60011</v>
      </c>
      <c r="AT32" s="4"/>
      <c r="BB32" t="s">
        <v>20</v>
      </c>
      <c r="BD32" t="s">
        <v>145</v>
      </c>
      <c r="BG32" s="4">
        <f>+AO25</f>
        <v>250028</v>
      </c>
      <c r="BI32" s="2">
        <f>SUMIF(Verdeelsleutels!$A$20:$A$40,Kostenallocatie!$BB32,Verdeelsleutels!C$20:C$40)*BO$24</f>
        <v>1072907.3426988157</v>
      </c>
      <c r="BJ32" s="2">
        <f>SUMIF(Verdeelsleutels!$A$20:$A$40,Kostenallocatie!$BB32,Verdeelsleutels!D$20:D$40)*BP$24</f>
        <v>1126675.2267496455</v>
      </c>
      <c r="BK32" s="2">
        <f>SUMIF(Verdeelsleutels!$A$20:$A$40,Kostenallocatie!$BB32,Verdeelsleutels!E$20:E$40)*BQ$24</f>
        <v>817926.99480488861</v>
      </c>
      <c r="BL32" s="4">
        <f t="shared" si="26"/>
        <v>3017509.5642533498</v>
      </c>
      <c r="BO32" s="2">
        <f t="shared" si="25"/>
        <v>88900.091737298862</v>
      </c>
      <c r="BP32" s="2">
        <f t="shared" si="25"/>
        <v>93355.247960403431</v>
      </c>
      <c r="BQ32" s="2">
        <f t="shared" si="25"/>
        <v>67772.660302297722</v>
      </c>
      <c r="BR32" s="3">
        <f t="shared" si="27"/>
        <v>0</v>
      </c>
      <c r="BS32" s="3"/>
    </row>
    <row r="33" spans="38:71" x14ac:dyDescent="0.25">
      <c r="AT33" s="4"/>
      <c r="BB33" t="s">
        <v>21</v>
      </c>
      <c r="BC33" t="s">
        <v>34</v>
      </c>
      <c r="BD33" t="s">
        <v>49</v>
      </c>
      <c r="BE33" s="2">
        <f>SUMIFS(Voorbewerking!E$53:E$87,Voorbewerking!B$53:B$87,Kostenallocatie!BB33,Voorbewerking!C$53:C$87,Kostenallocatie!BC33,Voorbewerking!D$53:D$87,Kostenallocatie!BD33)</f>
        <v>300</v>
      </c>
      <c r="BF33" s="1">
        <f>SUMIFS(AY$2:AY$14,AM$2:AM$14,BB33,AN$2:AN$14,BC33)</f>
        <v>228.27210396649426</v>
      </c>
      <c r="BG33" s="1">
        <f>+BE33*BF33</f>
        <v>68481.631189948283</v>
      </c>
      <c r="BI33" s="2">
        <f>SUMIF(Verdeelsleutels!$A$20:$A$40,Kostenallocatie!$BB33,Verdeelsleutels!C$20:C$40)*BO$24</f>
        <v>1609361.0140482236</v>
      </c>
      <c r="BJ33" s="2">
        <f>SUMIF(Verdeelsleutels!$A$20:$A$40,Kostenallocatie!$BB33,Verdeelsleutels!D$20:D$40)*BP$24</f>
        <v>1690012.8401244686</v>
      </c>
      <c r="BK33" s="2">
        <f>SUMIF(Verdeelsleutels!$A$20:$A$40,Kostenallocatie!$BB33,Verdeelsleutels!E$20:E$40)*BQ$24</f>
        <v>0</v>
      </c>
      <c r="BL33" s="4">
        <f t="shared" si="26"/>
        <v>3299373.8541726922</v>
      </c>
      <c r="BO33" s="2">
        <f t="shared" si="25"/>
        <v>33403.813052633544</v>
      </c>
      <c r="BP33" s="2">
        <f t="shared" si="25"/>
        <v>35077.818137314731</v>
      </c>
      <c r="BQ33" s="2">
        <f t="shared" si="25"/>
        <v>0</v>
      </c>
      <c r="BR33" s="3">
        <f t="shared" si="27"/>
        <v>0</v>
      </c>
      <c r="BS33" s="3"/>
    </row>
    <row r="34" spans="38:71" x14ac:dyDescent="0.25">
      <c r="AT34" s="4"/>
      <c r="BB34" t="s">
        <v>21</v>
      </c>
      <c r="BC34" t="s">
        <v>35</v>
      </c>
      <c r="BD34" t="s">
        <v>49</v>
      </c>
      <c r="BE34" s="2">
        <f>SUMIFS(Voorbewerking!E$53:E$87,Voorbewerking!B$53:B$87,Kostenallocatie!BB34,Voorbewerking!C$53:C$87,Kostenallocatie!BC34,Voorbewerking!D$53:D$87,Kostenallocatie!BD34)</f>
        <v>300</v>
      </c>
      <c r="BF34" s="1">
        <f>SUMIFS(AY$2:AY$14,AM$2:AM$14,BB34,AN$2:AN$14,BC34)</f>
        <v>204.43631436314365</v>
      </c>
      <c r="BG34" s="1">
        <f>+BE34*BF34</f>
        <v>61330.894308943098</v>
      </c>
      <c r="BI34" s="2">
        <f>SUMIF(Verdeelsleutels!$A$20:$A$40,Kostenallocatie!$BB34,Verdeelsleutels!C$20:C$40)*BO$24</f>
        <v>1609361.0140482236</v>
      </c>
      <c r="BJ34" s="2">
        <f>SUMIF(Verdeelsleutels!$A$20:$A$40,Kostenallocatie!$BB34,Verdeelsleutels!D$20:D$40)*BP$24</f>
        <v>1690012.8401244686</v>
      </c>
      <c r="BK34" s="2">
        <f>SUMIF(Verdeelsleutels!$A$20:$A$40,Kostenallocatie!$BB34,Verdeelsleutels!E$20:E$40)*BQ$24</f>
        <v>0</v>
      </c>
      <c r="BL34" s="4">
        <f t="shared" si="26"/>
        <v>3299373.8541726922</v>
      </c>
      <c r="BO34" s="2">
        <f t="shared" si="25"/>
        <v>29915.843011453668</v>
      </c>
      <c r="BP34" s="2">
        <f t="shared" si="25"/>
        <v>31415.051297489426</v>
      </c>
      <c r="BQ34" s="2">
        <f t="shared" si="25"/>
        <v>0</v>
      </c>
      <c r="BR34" s="3">
        <f t="shared" si="27"/>
        <v>0</v>
      </c>
      <c r="BS34" s="3"/>
    </row>
    <row r="35" spans="38:71" x14ac:dyDescent="0.25">
      <c r="AL35" s="13" t="s">
        <v>150</v>
      </c>
      <c r="AN35" t="s">
        <v>61</v>
      </c>
      <c r="AO35" t="s">
        <v>89</v>
      </c>
      <c r="AT35" s="2"/>
      <c r="BB35" t="s">
        <v>21</v>
      </c>
      <c r="BD35" t="s">
        <v>145</v>
      </c>
      <c r="BG35" s="4">
        <f>+AO32</f>
        <v>60011</v>
      </c>
      <c r="BI35" s="2">
        <f>SUMIF(Verdeelsleutels!$A$20:$A$40,Kostenallocatie!$BB35,Verdeelsleutels!C$20:C$40)*BO$24</f>
        <v>1609361.0140482236</v>
      </c>
      <c r="BJ35" s="2">
        <f>SUMIF(Verdeelsleutels!$A$20:$A$40,Kostenallocatie!$BB35,Verdeelsleutels!D$20:D$40)*BP$24</f>
        <v>1690012.8401244686</v>
      </c>
      <c r="BK35" s="2">
        <f>SUMIF(Verdeelsleutels!$A$20:$A$40,Kostenallocatie!$BB35,Verdeelsleutels!E$20:E$40)*BQ$24</f>
        <v>0</v>
      </c>
      <c r="BL35" s="4">
        <f t="shared" si="26"/>
        <v>3299373.8541726922</v>
      </c>
      <c r="BO35" s="2">
        <f t="shared" si="25"/>
        <v>29272.027991585368</v>
      </c>
      <c r="BP35" s="2">
        <f t="shared" si="25"/>
        <v>30738.972008414628</v>
      </c>
      <c r="BQ35" s="2">
        <f t="shared" si="25"/>
        <v>0</v>
      </c>
      <c r="BR35" s="3">
        <f t="shared" si="27"/>
        <v>0</v>
      </c>
      <c r="BS35" s="3"/>
    </row>
    <row r="36" spans="38:71" x14ac:dyDescent="0.25">
      <c r="AN36" t="s">
        <v>66</v>
      </c>
      <c r="AO36" s="4">
        <f>+AD3</f>
        <v>1298368.0709534369</v>
      </c>
      <c r="BB36" s="16"/>
      <c r="BC36" s="16"/>
      <c r="BD36" s="16" t="s">
        <v>144</v>
      </c>
      <c r="BE36" s="16"/>
      <c r="BF36" s="16"/>
      <c r="BG36" s="25">
        <f>SUM(BG28:BG35)</f>
        <v>747471.30723994982</v>
      </c>
      <c r="BO36" s="18">
        <f>SUM(BO28:BO35)</f>
        <v>290869.23278574005</v>
      </c>
      <c r="BP36" s="18">
        <f t="shared" ref="BP36:BR36" si="28">SUM(BP28:BP35)</f>
        <v>305445.90922364913</v>
      </c>
      <c r="BQ36" s="18">
        <f t="shared" si="28"/>
        <v>151156.16523056067</v>
      </c>
      <c r="BR36" s="18">
        <f t="shared" si="28"/>
        <v>0</v>
      </c>
      <c r="BS36" s="18"/>
    </row>
    <row r="37" spans="38:71" x14ac:dyDescent="0.25">
      <c r="AN37" t="s">
        <v>67</v>
      </c>
      <c r="AO37" s="4">
        <f t="shared" ref="AO37:AO39" si="29">+AD4</f>
        <v>721315.59497413156</v>
      </c>
    </row>
    <row r="38" spans="38:71" x14ac:dyDescent="0.25">
      <c r="AN38" t="s">
        <v>68</v>
      </c>
      <c r="AO38" s="4">
        <f t="shared" si="29"/>
        <v>1442631.1899482631</v>
      </c>
      <c r="BO38" t="s">
        <v>117</v>
      </c>
    </row>
    <row r="39" spans="38:71" x14ac:dyDescent="0.25">
      <c r="AN39" t="s">
        <v>69</v>
      </c>
      <c r="AO39" s="4">
        <f t="shared" si="29"/>
        <v>504920.91648189205</v>
      </c>
      <c r="BO39" t="s">
        <v>110</v>
      </c>
      <c r="BP39" t="s">
        <v>111</v>
      </c>
      <c r="BQ39" t="s">
        <v>112</v>
      </c>
    </row>
    <row r="40" spans="38:71" x14ac:dyDescent="0.25">
      <c r="AN40" s="16" t="s">
        <v>151</v>
      </c>
      <c r="AO40" s="27">
        <f>SUM(AO36:AO39)</f>
        <v>3967235.7723577237</v>
      </c>
      <c r="AQ40" s="4"/>
      <c r="BO40" s="2">
        <f>+Omzet!F2</f>
        <v>4500000</v>
      </c>
      <c r="BP40" s="2">
        <f>+Omzet!F3</f>
        <v>4000000</v>
      </c>
      <c r="BQ40" s="2">
        <f>+Omzet!F4</f>
        <v>2500000</v>
      </c>
    </row>
    <row r="43" spans="38:71" x14ac:dyDescent="0.25">
      <c r="AL43" s="13" t="s">
        <v>152</v>
      </c>
      <c r="AN43" s="16" t="s">
        <v>144</v>
      </c>
      <c r="AO43" s="27">
        <f>+AW7+AW14+AO25+AO32+AO40</f>
        <v>9800000</v>
      </c>
    </row>
  </sheetData>
  <sortState xmlns:xlrd2="http://schemas.microsoft.com/office/spreadsheetml/2017/richdata2" ref="BB109:BD135">
    <sortCondition ref="BB109:BB135"/>
    <sortCondition ref="BC109:BC13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014144CE49F428B07A4C900CD08E9" ma:contentTypeVersion="3" ma:contentTypeDescription="Een nieuw document maken." ma:contentTypeScope="" ma:versionID="cadd209697eb61cb54ca90703d4b6ced">
  <xsd:schema xmlns:xsd="http://www.w3.org/2001/XMLSchema" xmlns:xs="http://www.w3.org/2001/XMLSchema" xmlns:p="http://schemas.microsoft.com/office/2006/metadata/properties" xmlns:ns2="13309651-10ff-4057-8f39-0e5c0fa0142d" targetNamespace="http://schemas.microsoft.com/office/2006/metadata/properties" ma:root="true" ma:fieldsID="79e964cfde5bb8e3648f4bee678d9939" ns2:_="">
    <xsd:import namespace="13309651-10ff-4057-8f39-0e5c0fa014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09651-10ff-4057-8f39-0e5c0fa014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3DC6FC-308F-4C55-9CFE-3C8DF03EBA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03845A-5914-4F54-A12B-345F1CD691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3003F3-BD98-43F8-8B09-1BC912F935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309651-10ff-4057-8f39-0e5c0fa01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Voorbewerking</vt:lpstr>
      <vt:lpstr>Verdeelsleutels</vt:lpstr>
      <vt:lpstr>Omzet</vt:lpstr>
      <vt:lpstr>Kostenallocatie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Steenbergen, Daan van</dc:creator>
  <cp:keywords/>
  <dc:description/>
  <cp:lastModifiedBy>Eijk, Jeroen van der</cp:lastModifiedBy>
  <cp:revision/>
  <dcterms:created xsi:type="dcterms:W3CDTF">2026-09-07T06:44:14Z</dcterms:created>
  <dcterms:modified xsi:type="dcterms:W3CDTF">2026-09-29T07:16:30Z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0x01010080A014144CE49F428B07A4C900CD08E9</vt:lpwstr>
  </property>
</Properties>
</file>