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drawings/drawing5.xml" ContentType="application/vnd.openxmlformats-officedocument.drawing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drawings/drawing7.xml" ContentType="application/vnd.openxmlformats-officedocument.drawing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Aon Aanbestedingsdesk\Begeleiding Europese Aanbestedingen\Brandverzekering\Waterschap\Waterschap Limburg\2026\"/>
    </mc:Choice>
  </mc:AlternateContent>
  <xr:revisionPtr revIDLastSave="0" documentId="8_{459F6B13-FEB1-4CD5-8CB0-4DA1F6B910EF}" xr6:coauthVersionLast="47" xr6:coauthVersionMax="47" xr10:uidLastSave="{00000000-0000-0000-0000-000000000000}"/>
  <bookViews>
    <workbookView xWindow="-108" yWindow="-108" windowWidth="23256" windowHeight="13896" activeTab="1" xr2:uid="{61735FB4-A4DE-42E1-9588-60CFD9B13F09}"/>
  </bookViews>
  <sheets>
    <sheet name="Overzicht" sheetId="5" r:id="rId1"/>
    <sheet name="Specificatie" sheetId="1" r:id="rId2"/>
    <sheet name="Taxaties" sheetId="8" state="hidden" r:id="rId3"/>
    <sheet name="Mutaties" sheetId="7" state="hidden" r:id="rId4"/>
    <sheet name="Verrekening Jaarpremie" sheetId="2" state="hidden" r:id="rId5"/>
    <sheet name="Periodepremies" sheetId="9" state="hidden" r:id="rId6"/>
    <sheet name="Verrekening Pro Rata-CAD" sheetId="3" state="hidden" r:id="rId7"/>
    <sheet name="Data" sheetId="4" state="hidden" r:id="rId8"/>
  </sheets>
  <definedNames>
    <definedName name="_xlnm._FilterDatabase" localSheetId="1" hidden="1">Specificatie!$A$1:$Y$14</definedName>
    <definedName name="_xlnm._FilterDatabase" localSheetId="2" hidden="1">Taxaties!$A$7:$G$86</definedName>
    <definedName name="_xlnm.Print_Area" localSheetId="3">Mutaties!$A$1:$AK$99</definedName>
    <definedName name="_xlnm.Print_Area" localSheetId="5">Periodepremies!$A$1:$O$28</definedName>
    <definedName name="_xlnm.Print_Area" localSheetId="1">Specificatie!$A$1:$Y$292</definedName>
    <definedName name="_xlnm.Print_Area" localSheetId="4">'Verrekening Jaarpremie'!$A$1:$F$25</definedName>
    <definedName name="Bouwaard">Data!$G$6:$G$10</definedName>
    <definedName name="CAD">Data!$I$6:$I$7</definedName>
    <definedName name="courtage">'Verrekening Jaarpremie'!#REF!</definedName>
    <definedName name="Dagen">Table4[[#Headers],[Dagen]]</definedName>
    <definedName name="dagen_per_jaar">Table4[[#Headers],[Dagen per jaar]]</definedName>
    <definedName name="fin_sub">Table1[Financiele sub]</definedName>
    <definedName name="Interest">Data!$E$6:$E$21</definedName>
    <definedName name="Ja">Data!$E$24:$E$26</definedName>
    <definedName name="Landcode">Table6[Afkorting]</definedName>
    <definedName name="Landen">Table6[Land]</definedName>
    <definedName name="mut_datum">Table4[Mutatiedatum]</definedName>
    <definedName name="mut_soort">Table13[Soort mutatie]</definedName>
    <definedName name="Nee">Data!$G$24:$G$25</definedName>
    <definedName name="Relatie">Table1[Relatie]</definedName>
    <definedName name="Relatienummer">Table1[Relatienummer]</definedName>
    <definedName name="Taxatie">Data!$I$13:$I$15</definedName>
    <definedName name="verz_aandeel">Table14[Aandeel]</definedName>
    <definedName name="verz_maxrow">MAX(ROW(Verzekeraar))</definedName>
    <definedName name="verz_relatienummer">Table14[Relatienummer]</definedName>
    <definedName name="Verzekeraar">Table14[Verzekeraar]</definedName>
  </definedNames>
  <calcPr calcId="191028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3" i="1" l="1"/>
  <c r="W18" i="1"/>
  <c r="U18" i="1" s="1"/>
  <c r="B18" i="1"/>
  <c r="W17" i="1"/>
  <c r="U17" i="1" s="1"/>
  <c r="B17" i="1"/>
  <c r="W16" i="1"/>
  <c r="B16" i="1"/>
  <c r="W15" i="1"/>
  <c r="U15" i="1" s="1"/>
  <c r="B15" i="1"/>
  <c r="B19" i="1"/>
  <c r="W19" i="1"/>
  <c r="U19" i="1" s="1"/>
  <c r="S19" i="1" s="1"/>
  <c r="B20" i="1"/>
  <c r="W20" i="1"/>
  <c r="U20" i="1" s="1"/>
  <c r="B21" i="1"/>
  <c r="W21" i="1"/>
  <c r="U21" i="1" s="1"/>
  <c r="B22" i="1"/>
  <c r="W22" i="1"/>
  <c r="U22" i="1" s="1"/>
  <c r="B23" i="1"/>
  <c r="W23" i="1"/>
  <c r="U23" i="1" s="1"/>
  <c r="S23" i="1" s="1"/>
  <c r="B24" i="1"/>
  <c r="W24" i="1"/>
  <c r="U24" i="1" s="1"/>
  <c r="T24" i="1" s="1"/>
  <c r="B25" i="1"/>
  <c r="W25" i="1"/>
  <c r="U25" i="1" s="1"/>
  <c r="B26" i="1"/>
  <c r="W26" i="1"/>
  <c r="U26" i="1" s="1"/>
  <c r="T26" i="1" s="1"/>
  <c r="B27" i="1"/>
  <c r="W27" i="1"/>
  <c r="U27" i="1" s="1"/>
  <c r="B28" i="1"/>
  <c r="W28" i="1"/>
  <c r="U28" i="1" s="1"/>
  <c r="B29" i="1"/>
  <c r="W29" i="1"/>
  <c r="U29" i="1" s="1"/>
  <c r="B30" i="1"/>
  <c r="W30" i="1"/>
  <c r="U30" i="1" s="1"/>
  <c r="T30" i="1" s="1"/>
  <c r="B31" i="1"/>
  <c r="W31" i="1"/>
  <c r="U31" i="1" s="1"/>
  <c r="B32" i="1"/>
  <c r="W32" i="1"/>
  <c r="U32" i="1" s="1"/>
  <c r="B33" i="1"/>
  <c r="W33" i="1"/>
  <c r="U33" i="1" s="1"/>
  <c r="S33" i="1" s="1"/>
  <c r="B34" i="1"/>
  <c r="W34" i="1"/>
  <c r="U34" i="1" s="1"/>
  <c r="B35" i="1"/>
  <c r="W35" i="1"/>
  <c r="U35" i="1" s="1"/>
  <c r="B36" i="1"/>
  <c r="W36" i="1"/>
  <c r="U36" i="1" s="1"/>
  <c r="B37" i="1"/>
  <c r="W37" i="1"/>
  <c r="U37" i="1" s="1"/>
  <c r="S37" i="1" s="1"/>
  <c r="B38" i="1"/>
  <c r="W38" i="1"/>
  <c r="U38" i="1" s="1"/>
  <c r="B39" i="1"/>
  <c r="W39" i="1"/>
  <c r="U39" i="1" s="1"/>
  <c r="S39" i="1" s="1"/>
  <c r="B40" i="1"/>
  <c r="W40" i="1"/>
  <c r="U40" i="1" s="1"/>
  <c r="B41" i="1"/>
  <c r="W41" i="1"/>
  <c r="U41" i="1" s="1"/>
  <c r="B42" i="1"/>
  <c r="W42" i="1"/>
  <c r="U42" i="1" s="1"/>
  <c r="B43" i="1"/>
  <c r="W43" i="1"/>
  <c r="U43" i="1" s="1"/>
  <c r="S43" i="1" s="1"/>
  <c r="B44" i="1"/>
  <c r="W44" i="1"/>
  <c r="U44" i="1" s="1"/>
  <c r="T44" i="1" s="1"/>
  <c r="B45" i="1"/>
  <c r="W45" i="1"/>
  <c r="U45" i="1" s="1"/>
  <c r="S45" i="1" s="1"/>
  <c r="B46" i="1"/>
  <c r="W46" i="1"/>
  <c r="U46" i="1" s="1"/>
  <c r="B47" i="1"/>
  <c r="W47" i="1"/>
  <c r="U47" i="1" s="1"/>
  <c r="B48" i="1"/>
  <c r="W48" i="1"/>
  <c r="U48" i="1" s="1"/>
  <c r="B49" i="1"/>
  <c r="W49" i="1"/>
  <c r="U49" i="1" s="1"/>
  <c r="S49" i="1" s="1"/>
  <c r="B50" i="1"/>
  <c r="W50" i="1"/>
  <c r="U50" i="1" s="1"/>
  <c r="B51" i="1"/>
  <c r="W51" i="1"/>
  <c r="U51" i="1" s="1"/>
  <c r="S51" i="1" s="1"/>
  <c r="B52" i="1"/>
  <c r="W52" i="1"/>
  <c r="U52" i="1" s="1"/>
  <c r="T52" i="1" s="1"/>
  <c r="B53" i="1"/>
  <c r="W53" i="1"/>
  <c r="U53" i="1" s="1"/>
  <c r="B54" i="1"/>
  <c r="W54" i="1"/>
  <c r="U54" i="1" s="1"/>
  <c r="T54" i="1" s="1"/>
  <c r="B55" i="1"/>
  <c r="W55" i="1"/>
  <c r="U55" i="1" s="1"/>
  <c r="B56" i="1"/>
  <c r="W56" i="1"/>
  <c r="U56" i="1" s="1"/>
  <c r="T56" i="1" s="1"/>
  <c r="B57" i="1"/>
  <c r="W57" i="1"/>
  <c r="U57" i="1" s="1"/>
  <c r="S57" i="1" s="1"/>
  <c r="B58" i="1"/>
  <c r="W58" i="1"/>
  <c r="U58" i="1" s="1"/>
  <c r="T58" i="1" s="1"/>
  <c r="B59" i="1"/>
  <c r="W59" i="1"/>
  <c r="U59" i="1" s="1"/>
  <c r="T59" i="1" s="1"/>
  <c r="B60" i="1"/>
  <c r="W60" i="1"/>
  <c r="U60" i="1" s="1"/>
  <c r="B61" i="1"/>
  <c r="W61" i="1"/>
  <c r="U61" i="1" s="1"/>
  <c r="S61" i="1" s="1"/>
  <c r="B62" i="1"/>
  <c r="W62" i="1"/>
  <c r="U62" i="1" s="1"/>
  <c r="B63" i="1"/>
  <c r="W63" i="1"/>
  <c r="U63" i="1" s="1"/>
  <c r="S63" i="1" s="1"/>
  <c r="B64" i="1"/>
  <c r="W64" i="1"/>
  <c r="U64" i="1" s="1"/>
  <c r="T64" i="1" s="1"/>
  <c r="B65" i="1"/>
  <c r="W65" i="1"/>
  <c r="U65" i="1" s="1"/>
  <c r="S65" i="1" s="1"/>
  <c r="B66" i="1"/>
  <c r="W66" i="1"/>
  <c r="U66" i="1" s="1"/>
  <c r="B67" i="1"/>
  <c r="W67" i="1"/>
  <c r="U67" i="1" s="1"/>
  <c r="B68" i="1"/>
  <c r="W68" i="1"/>
  <c r="U68" i="1" s="1"/>
  <c r="B69" i="1"/>
  <c r="W69" i="1"/>
  <c r="U69" i="1" s="1"/>
  <c r="S69" i="1" s="1"/>
  <c r="B70" i="1"/>
  <c r="W70" i="1"/>
  <c r="U70" i="1" s="1"/>
  <c r="T70" i="1" s="1"/>
  <c r="B71" i="1"/>
  <c r="W71" i="1"/>
  <c r="U71" i="1" s="1"/>
  <c r="B72" i="1"/>
  <c r="W72" i="1"/>
  <c r="U72" i="1" s="1"/>
  <c r="B73" i="1"/>
  <c r="W73" i="1"/>
  <c r="U73" i="1" s="1"/>
  <c r="B74" i="1"/>
  <c r="W74" i="1"/>
  <c r="U74" i="1" s="1"/>
  <c r="T74" i="1" s="1"/>
  <c r="B75" i="1"/>
  <c r="W75" i="1"/>
  <c r="U75" i="1" s="1"/>
  <c r="B76" i="1"/>
  <c r="W76" i="1"/>
  <c r="U76" i="1" s="1"/>
  <c r="T76" i="1" s="1"/>
  <c r="B77" i="1"/>
  <c r="W77" i="1"/>
  <c r="U77" i="1" s="1"/>
  <c r="T77" i="1" s="1"/>
  <c r="B78" i="1"/>
  <c r="W78" i="1"/>
  <c r="U78" i="1" s="1"/>
  <c r="B79" i="1"/>
  <c r="W79" i="1"/>
  <c r="U79" i="1" s="1"/>
  <c r="B80" i="1"/>
  <c r="W80" i="1"/>
  <c r="U80" i="1" s="1"/>
  <c r="B81" i="1"/>
  <c r="W81" i="1"/>
  <c r="U81" i="1" s="1"/>
  <c r="B82" i="1"/>
  <c r="W82" i="1"/>
  <c r="U82" i="1" s="1"/>
  <c r="T82" i="1" s="1"/>
  <c r="B83" i="1"/>
  <c r="W83" i="1"/>
  <c r="U83" i="1" s="1"/>
  <c r="S83" i="1" s="1"/>
  <c r="B84" i="1"/>
  <c r="W84" i="1"/>
  <c r="U84" i="1" s="1"/>
  <c r="B85" i="1"/>
  <c r="W85" i="1"/>
  <c r="U85" i="1" s="1"/>
  <c r="B86" i="1"/>
  <c r="W86" i="1"/>
  <c r="U86" i="1" s="1"/>
  <c r="T86" i="1" s="1"/>
  <c r="B87" i="1"/>
  <c r="W87" i="1"/>
  <c r="U87" i="1" s="1"/>
  <c r="T87" i="1" s="1"/>
  <c r="B88" i="1"/>
  <c r="W88" i="1"/>
  <c r="U88" i="1" s="1"/>
  <c r="T88" i="1" s="1"/>
  <c r="B89" i="1"/>
  <c r="W89" i="1"/>
  <c r="U89" i="1" s="1"/>
  <c r="S89" i="1" s="1"/>
  <c r="B90" i="1"/>
  <c r="W90" i="1"/>
  <c r="U90" i="1" s="1"/>
  <c r="T90" i="1" s="1"/>
  <c r="B91" i="1"/>
  <c r="W91" i="1"/>
  <c r="U91" i="1" s="1"/>
  <c r="T91" i="1" s="1"/>
  <c r="B92" i="1"/>
  <c r="W92" i="1"/>
  <c r="U92" i="1" s="1"/>
  <c r="B93" i="1"/>
  <c r="W93" i="1"/>
  <c r="U93" i="1" s="1"/>
  <c r="S93" i="1" s="1"/>
  <c r="B94" i="1"/>
  <c r="W94" i="1"/>
  <c r="U94" i="1" s="1"/>
  <c r="B95" i="1"/>
  <c r="W95" i="1"/>
  <c r="U95" i="1" s="1"/>
  <c r="S95" i="1" s="1"/>
  <c r="B96" i="1"/>
  <c r="W96" i="1"/>
  <c r="U96" i="1" s="1"/>
  <c r="T96" i="1" s="1"/>
  <c r="B97" i="1"/>
  <c r="W97" i="1"/>
  <c r="U97" i="1" s="1"/>
  <c r="S97" i="1" s="1"/>
  <c r="B98" i="1"/>
  <c r="W98" i="1"/>
  <c r="U98" i="1" s="1"/>
  <c r="T98" i="1" s="1"/>
  <c r="B99" i="1"/>
  <c r="W99" i="1"/>
  <c r="U99" i="1" s="1"/>
  <c r="B100" i="1"/>
  <c r="W100" i="1"/>
  <c r="U100" i="1" s="1"/>
  <c r="B101" i="1"/>
  <c r="W101" i="1"/>
  <c r="U101" i="1" s="1"/>
  <c r="S101" i="1" s="1"/>
  <c r="B102" i="1"/>
  <c r="W102" i="1"/>
  <c r="U102" i="1" s="1"/>
  <c r="T102" i="1" s="1"/>
  <c r="B103" i="1"/>
  <c r="W103" i="1"/>
  <c r="U103" i="1" s="1"/>
  <c r="B104" i="1"/>
  <c r="W104" i="1"/>
  <c r="U104" i="1" s="1"/>
  <c r="B105" i="1"/>
  <c r="W105" i="1"/>
  <c r="U105" i="1" s="1"/>
  <c r="T105" i="1" s="1"/>
  <c r="B106" i="1"/>
  <c r="W106" i="1"/>
  <c r="U106" i="1" s="1"/>
  <c r="T106" i="1" s="1"/>
  <c r="B107" i="1"/>
  <c r="W107" i="1"/>
  <c r="U107" i="1" s="1"/>
  <c r="S107" i="1" s="1"/>
  <c r="B108" i="1"/>
  <c r="W108" i="1"/>
  <c r="U108" i="1" s="1"/>
  <c r="T108" i="1" s="1"/>
  <c r="B109" i="1"/>
  <c r="W109" i="1"/>
  <c r="U109" i="1" s="1"/>
  <c r="T109" i="1" s="1"/>
  <c r="B110" i="1"/>
  <c r="W110" i="1"/>
  <c r="U110" i="1" s="1"/>
  <c r="T110" i="1" s="1"/>
  <c r="B111" i="1"/>
  <c r="W111" i="1"/>
  <c r="U111" i="1" s="1"/>
  <c r="S111" i="1" s="1"/>
  <c r="B112" i="1"/>
  <c r="W112" i="1"/>
  <c r="U112" i="1" s="1"/>
  <c r="B113" i="1"/>
  <c r="W113" i="1"/>
  <c r="U113" i="1" s="1"/>
  <c r="B114" i="1"/>
  <c r="W114" i="1"/>
  <c r="U114" i="1" s="1"/>
  <c r="B115" i="1"/>
  <c r="W115" i="1"/>
  <c r="U115" i="1" s="1"/>
  <c r="B116" i="1"/>
  <c r="W116" i="1"/>
  <c r="U116" i="1" s="1"/>
  <c r="T116" i="1" s="1"/>
  <c r="B117" i="1"/>
  <c r="W117" i="1"/>
  <c r="U117" i="1" s="1"/>
  <c r="B118" i="1"/>
  <c r="W118" i="1"/>
  <c r="U118" i="1" s="1"/>
  <c r="T118" i="1" s="1"/>
  <c r="B119" i="1"/>
  <c r="W119" i="1"/>
  <c r="U119" i="1" s="1"/>
  <c r="S119" i="1" s="1"/>
  <c r="B120" i="1"/>
  <c r="W120" i="1"/>
  <c r="U120" i="1" s="1"/>
  <c r="B121" i="1"/>
  <c r="W121" i="1"/>
  <c r="U121" i="1" s="1"/>
  <c r="S121" i="1" s="1"/>
  <c r="B122" i="1"/>
  <c r="W122" i="1"/>
  <c r="U122" i="1" s="1"/>
  <c r="B123" i="1"/>
  <c r="W123" i="1"/>
  <c r="U123" i="1" s="1"/>
  <c r="B124" i="1"/>
  <c r="W124" i="1"/>
  <c r="U124" i="1" s="1"/>
  <c r="T124" i="1" s="1"/>
  <c r="B125" i="1"/>
  <c r="W125" i="1"/>
  <c r="U125" i="1" s="1"/>
  <c r="S125" i="1" s="1"/>
  <c r="B126" i="1"/>
  <c r="W126" i="1"/>
  <c r="U126" i="1" s="1"/>
  <c r="B127" i="1"/>
  <c r="W127" i="1"/>
  <c r="U127" i="1" s="1"/>
  <c r="B128" i="1"/>
  <c r="W128" i="1"/>
  <c r="U128" i="1" s="1"/>
  <c r="T128" i="1" s="1"/>
  <c r="B129" i="1"/>
  <c r="W129" i="1"/>
  <c r="U129" i="1" s="1"/>
  <c r="S129" i="1" s="1"/>
  <c r="B130" i="1"/>
  <c r="W130" i="1"/>
  <c r="U130" i="1" s="1"/>
  <c r="T130" i="1" s="1"/>
  <c r="B131" i="1"/>
  <c r="W131" i="1"/>
  <c r="U131" i="1" s="1"/>
  <c r="S131" i="1" s="1"/>
  <c r="B132" i="1"/>
  <c r="W132" i="1"/>
  <c r="U132" i="1" s="1"/>
  <c r="B133" i="1"/>
  <c r="W133" i="1"/>
  <c r="U133" i="1" s="1"/>
  <c r="T133" i="1" s="1"/>
  <c r="B134" i="1"/>
  <c r="W134" i="1"/>
  <c r="U134" i="1" s="1"/>
  <c r="T134" i="1" s="1"/>
  <c r="B135" i="1"/>
  <c r="W135" i="1"/>
  <c r="U135" i="1" s="1"/>
  <c r="B136" i="1"/>
  <c r="W136" i="1"/>
  <c r="U136" i="1" s="1"/>
  <c r="B137" i="1"/>
  <c r="W137" i="1"/>
  <c r="U137" i="1" s="1"/>
  <c r="B138" i="1"/>
  <c r="W138" i="1"/>
  <c r="U138" i="1" s="1"/>
  <c r="B139" i="1"/>
  <c r="W139" i="1"/>
  <c r="U139" i="1" s="1"/>
  <c r="T139" i="1" s="1"/>
  <c r="B140" i="1"/>
  <c r="W140" i="1"/>
  <c r="U140" i="1" s="1"/>
  <c r="B141" i="1"/>
  <c r="W141" i="1"/>
  <c r="U141" i="1" s="1"/>
  <c r="B142" i="1"/>
  <c r="W142" i="1"/>
  <c r="U142" i="1" s="1"/>
  <c r="B143" i="1"/>
  <c r="W143" i="1"/>
  <c r="U143" i="1" s="1"/>
  <c r="B144" i="1"/>
  <c r="W144" i="1"/>
  <c r="U144" i="1" s="1"/>
  <c r="B145" i="1"/>
  <c r="W145" i="1"/>
  <c r="U145" i="1" s="1"/>
  <c r="S145" i="1" s="1"/>
  <c r="B146" i="1"/>
  <c r="W146" i="1"/>
  <c r="U146" i="1" s="1"/>
  <c r="B147" i="1"/>
  <c r="W147" i="1"/>
  <c r="U147" i="1" s="1"/>
  <c r="S147" i="1" s="1"/>
  <c r="B148" i="1"/>
  <c r="W148" i="1"/>
  <c r="U148" i="1" s="1"/>
  <c r="T148" i="1" s="1"/>
  <c r="B149" i="1"/>
  <c r="W149" i="1"/>
  <c r="U149" i="1" s="1"/>
  <c r="B150" i="1"/>
  <c r="W150" i="1"/>
  <c r="U150" i="1" s="1"/>
  <c r="B151" i="1"/>
  <c r="W151" i="1"/>
  <c r="U151" i="1" s="1"/>
  <c r="B152" i="1"/>
  <c r="W152" i="1"/>
  <c r="U152" i="1" s="1"/>
  <c r="B153" i="1"/>
  <c r="W153" i="1"/>
  <c r="U153" i="1" s="1"/>
  <c r="S153" i="1" s="1"/>
  <c r="B154" i="1"/>
  <c r="W154" i="1"/>
  <c r="U154" i="1" s="1"/>
  <c r="B155" i="1"/>
  <c r="W155" i="1"/>
  <c r="U155" i="1" s="1"/>
  <c r="T155" i="1" s="1"/>
  <c r="B156" i="1"/>
  <c r="W156" i="1"/>
  <c r="U156" i="1" s="1"/>
  <c r="T156" i="1" s="1"/>
  <c r="B157" i="1"/>
  <c r="W157" i="1"/>
  <c r="U157" i="1" s="1"/>
  <c r="S157" i="1" s="1"/>
  <c r="B158" i="1"/>
  <c r="W158" i="1"/>
  <c r="U158" i="1" s="1"/>
  <c r="B159" i="1"/>
  <c r="W159" i="1"/>
  <c r="U159" i="1" s="1"/>
  <c r="B160" i="1"/>
  <c r="W160" i="1"/>
  <c r="U160" i="1" s="1"/>
  <c r="T160" i="1" s="1"/>
  <c r="B161" i="1"/>
  <c r="W161" i="1"/>
  <c r="U161" i="1" s="1"/>
  <c r="T161" i="1" s="1"/>
  <c r="B162" i="1"/>
  <c r="W162" i="1"/>
  <c r="U162" i="1" s="1"/>
  <c r="T162" i="1" s="1"/>
  <c r="B163" i="1"/>
  <c r="W163" i="1"/>
  <c r="U163" i="1" s="1"/>
  <c r="B164" i="1"/>
  <c r="W164" i="1"/>
  <c r="U164" i="1" s="1"/>
  <c r="B165" i="1"/>
  <c r="W165" i="1"/>
  <c r="U165" i="1" s="1"/>
  <c r="S165" i="1" s="1"/>
  <c r="B166" i="1"/>
  <c r="W166" i="1"/>
  <c r="U166" i="1" s="1"/>
  <c r="B167" i="1"/>
  <c r="W167" i="1"/>
  <c r="U167" i="1" s="1"/>
  <c r="S167" i="1" s="1"/>
  <c r="B168" i="1"/>
  <c r="W168" i="1"/>
  <c r="U168" i="1" s="1"/>
  <c r="B169" i="1"/>
  <c r="W169" i="1"/>
  <c r="U169" i="1" s="1"/>
  <c r="T169" i="1" s="1"/>
  <c r="B170" i="1"/>
  <c r="W170" i="1"/>
  <c r="U170" i="1" s="1"/>
  <c r="T170" i="1" s="1"/>
  <c r="B171" i="1"/>
  <c r="W171" i="1"/>
  <c r="U171" i="1" s="1"/>
  <c r="B172" i="1"/>
  <c r="W172" i="1"/>
  <c r="U172" i="1" s="1"/>
  <c r="B173" i="1"/>
  <c r="W173" i="1"/>
  <c r="U173" i="1" s="1"/>
  <c r="B174" i="1"/>
  <c r="W174" i="1"/>
  <c r="U174" i="1" s="1"/>
  <c r="B175" i="1"/>
  <c r="W175" i="1"/>
  <c r="U175" i="1" s="1"/>
  <c r="B176" i="1"/>
  <c r="W176" i="1"/>
  <c r="U176" i="1" s="1"/>
  <c r="B177" i="1"/>
  <c r="W177" i="1"/>
  <c r="U177" i="1" s="1"/>
  <c r="B178" i="1"/>
  <c r="W178" i="1"/>
  <c r="U178" i="1" s="1"/>
  <c r="T178" i="1" s="1"/>
  <c r="B179" i="1"/>
  <c r="W179" i="1"/>
  <c r="U179" i="1" s="1"/>
  <c r="S179" i="1" s="1"/>
  <c r="B180" i="1"/>
  <c r="W180" i="1"/>
  <c r="U180" i="1" s="1"/>
  <c r="B181" i="1"/>
  <c r="W181" i="1"/>
  <c r="U181" i="1" s="1"/>
  <c r="T181" i="1" s="1"/>
  <c r="B182" i="1"/>
  <c r="W182" i="1"/>
  <c r="U182" i="1" s="1"/>
  <c r="B183" i="1"/>
  <c r="W183" i="1"/>
  <c r="U183" i="1" s="1"/>
  <c r="S183" i="1" s="1"/>
  <c r="B184" i="1"/>
  <c r="W184" i="1"/>
  <c r="U184" i="1" s="1"/>
  <c r="S184" i="1" s="1"/>
  <c r="B185" i="1"/>
  <c r="W185" i="1"/>
  <c r="U185" i="1" s="1"/>
  <c r="T185" i="1" s="1"/>
  <c r="B186" i="1"/>
  <c r="W186" i="1"/>
  <c r="U186" i="1" s="1"/>
  <c r="B187" i="1"/>
  <c r="W187" i="1"/>
  <c r="U187" i="1" s="1"/>
  <c r="B188" i="1"/>
  <c r="W188" i="1"/>
  <c r="U188" i="1" s="1"/>
  <c r="S188" i="1" s="1"/>
  <c r="B189" i="1"/>
  <c r="W189" i="1"/>
  <c r="U189" i="1" s="1"/>
  <c r="T189" i="1" s="1"/>
  <c r="B190" i="1"/>
  <c r="W190" i="1"/>
  <c r="U190" i="1" s="1"/>
  <c r="S190" i="1" s="1"/>
  <c r="B191" i="1"/>
  <c r="W191" i="1"/>
  <c r="U191" i="1" s="1"/>
  <c r="T191" i="1" s="1"/>
  <c r="B192" i="1"/>
  <c r="W192" i="1"/>
  <c r="U192" i="1" s="1"/>
  <c r="T192" i="1" s="1"/>
  <c r="B193" i="1"/>
  <c r="W193" i="1"/>
  <c r="U193" i="1" s="1"/>
  <c r="S193" i="1" s="1"/>
  <c r="B194" i="1"/>
  <c r="W194" i="1"/>
  <c r="U194" i="1" s="1"/>
  <c r="S194" i="1" s="1"/>
  <c r="B195" i="1"/>
  <c r="W195" i="1"/>
  <c r="U195" i="1" s="1"/>
  <c r="T195" i="1" s="1"/>
  <c r="B196" i="1"/>
  <c r="W196" i="1"/>
  <c r="U196" i="1" s="1"/>
  <c r="B197" i="1"/>
  <c r="W197" i="1"/>
  <c r="U197" i="1" s="1"/>
  <c r="T197" i="1" s="1"/>
  <c r="B198" i="1"/>
  <c r="W198" i="1"/>
  <c r="U198" i="1" s="1"/>
  <c r="S198" i="1" s="1"/>
  <c r="B199" i="1"/>
  <c r="W199" i="1"/>
  <c r="U199" i="1" s="1"/>
  <c r="B200" i="1"/>
  <c r="W200" i="1"/>
  <c r="U200" i="1" s="1"/>
  <c r="S200" i="1" s="1"/>
  <c r="B201" i="1"/>
  <c r="W201" i="1"/>
  <c r="U201" i="1" s="1"/>
  <c r="B202" i="1"/>
  <c r="W202" i="1"/>
  <c r="U202" i="1" s="1"/>
  <c r="B203" i="1"/>
  <c r="W203" i="1"/>
  <c r="U203" i="1" s="1"/>
  <c r="B204" i="1"/>
  <c r="W204" i="1"/>
  <c r="U204" i="1" s="1"/>
  <c r="B205" i="1"/>
  <c r="W205" i="1"/>
  <c r="U205" i="1" s="1"/>
  <c r="B206" i="1"/>
  <c r="W206" i="1"/>
  <c r="U206" i="1" s="1"/>
  <c r="T206" i="1" s="1"/>
  <c r="B207" i="1"/>
  <c r="W207" i="1"/>
  <c r="U207" i="1" s="1"/>
  <c r="S207" i="1" s="1"/>
  <c r="B208" i="1"/>
  <c r="W208" i="1"/>
  <c r="U208" i="1" s="1"/>
  <c r="B209" i="1"/>
  <c r="W209" i="1"/>
  <c r="U209" i="1" s="1"/>
  <c r="B210" i="1"/>
  <c r="W210" i="1"/>
  <c r="U210" i="1" s="1"/>
  <c r="T210" i="1" s="1"/>
  <c r="B211" i="1"/>
  <c r="W211" i="1"/>
  <c r="U211" i="1" s="1"/>
  <c r="S211" i="1" s="1"/>
  <c r="B212" i="1"/>
  <c r="W212" i="1"/>
  <c r="U212" i="1" s="1"/>
  <c r="B213" i="1"/>
  <c r="W213" i="1"/>
  <c r="U213" i="1" s="1"/>
  <c r="B214" i="1"/>
  <c r="W214" i="1"/>
  <c r="U214" i="1" s="1"/>
  <c r="B215" i="1"/>
  <c r="W215" i="1"/>
  <c r="U215" i="1" s="1"/>
  <c r="B216" i="1"/>
  <c r="W216" i="1"/>
  <c r="U216" i="1" s="1"/>
  <c r="B217" i="1"/>
  <c r="W217" i="1"/>
  <c r="U217" i="1" s="1"/>
  <c r="B218" i="1"/>
  <c r="W218" i="1"/>
  <c r="U218" i="1" s="1"/>
  <c r="B219" i="1"/>
  <c r="W219" i="1"/>
  <c r="U219" i="1" s="1"/>
  <c r="S219" i="1" s="1"/>
  <c r="B220" i="1"/>
  <c r="W220" i="1"/>
  <c r="U220" i="1" s="1"/>
  <c r="B221" i="1"/>
  <c r="W221" i="1"/>
  <c r="U221" i="1" s="1"/>
  <c r="T221" i="1" s="1"/>
  <c r="B222" i="1"/>
  <c r="W222" i="1"/>
  <c r="U222" i="1" s="1"/>
  <c r="S222" i="1" s="1"/>
  <c r="B223" i="1"/>
  <c r="W223" i="1"/>
  <c r="U223" i="1" s="1"/>
  <c r="B224" i="1"/>
  <c r="W224" i="1"/>
  <c r="U224" i="1" s="1"/>
  <c r="T224" i="1" s="1"/>
  <c r="B225" i="1"/>
  <c r="W225" i="1"/>
  <c r="U225" i="1" s="1"/>
  <c r="B226" i="1"/>
  <c r="W226" i="1"/>
  <c r="U226" i="1" s="1"/>
  <c r="S226" i="1" s="1"/>
  <c r="B227" i="1"/>
  <c r="W227" i="1"/>
  <c r="U227" i="1" s="1"/>
  <c r="B228" i="1"/>
  <c r="W228" i="1"/>
  <c r="U228" i="1" s="1"/>
  <c r="B229" i="1"/>
  <c r="W229" i="1"/>
  <c r="U229" i="1" s="1"/>
  <c r="B230" i="1"/>
  <c r="W230" i="1"/>
  <c r="U230" i="1" s="1"/>
  <c r="B231" i="1"/>
  <c r="W231" i="1"/>
  <c r="U231" i="1" s="1"/>
  <c r="B232" i="1"/>
  <c r="W232" i="1"/>
  <c r="U232" i="1" s="1"/>
  <c r="T232" i="1" s="1"/>
  <c r="B233" i="1"/>
  <c r="W233" i="1"/>
  <c r="U233" i="1" s="1"/>
  <c r="T233" i="1" s="1"/>
  <c r="B234" i="1"/>
  <c r="W234" i="1"/>
  <c r="U234" i="1" s="1"/>
  <c r="S234" i="1" s="1"/>
  <c r="B235" i="1"/>
  <c r="W235" i="1"/>
  <c r="U235" i="1" s="1"/>
  <c r="S235" i="1" s="1"/>
  <c r="B236" i="1"/>
  <c r="W236" i="1"/>
  <c r="U236" i="1" s="1"/>
  <c r="S236" i="1" s="1"/>
  <c r="B237" i="1"/>
  <c r="W237" i="1"/>
  <c r="U237" i="1" s="1"/>
  <c r="T237" i="1" s="1"/>
  <c r="B238" i="1"/>
  <c r="W238" i="1"/>
  <c r="U238" i="1" s="1"/>
  <c r="B239" i="1"/>
  <c r="W239" i="1"/>
  <c r="U239" i="1" s="1"/>
  <c r="T239" i="1" s="1"/>
  <c r="B240" i="1"/>
  <c r="W240" i="1"/>
  <c r="U240" i="1" s="1"/>
  <c r="B241" i="1"/>
  <c r="W241" i="1"/>
  <c r="U241" i="1" s="1"/>
  <c r="S241" i="1" s="1"/>
  <c r="B242" i="1"/>
  <c r="W242" i="1"/>
  <c r="U242" i="1" s="1"/>
  <c r="S242" i="1" s="1"/>
  <c r="B243" i="1"/>
  <c r="W243" i="1"/>
  <c r="U243" i="1" s="1"/>
  <c r="B244" i="1"/>
  <c r="W244" i="1"/>
  <c r="U244" i="1" s="1"/>
  <c r="B245" i="1"/>
  <c r="W245" i="1"/>
  <c r="U245" i="1" s="1"/>
  <c r="B246" i="1"/>
  <c r="W246" i="1"/>
  <c r="U246" i="1" s="1"/>
  <c r="B247" i="1"/>
  <c r="W247" i="1"/>
  <c r="U247" i="1" s="1"/>
  <c r="T247" i="1" s="1"/>
  <c r="B248" i="1"/>
  <c r="W248" i="1"/>
  <c r="U248" i="1" s="1"/>
  <c r="B249" i="1"/>
  <c r="W249" i="1"/>
  <c r="U249" i="1" s="1"/>
  <c r="S249" i="1" s="1"/>
  <c r="B250" i="1"/>
  <c r="W250" i="1"/>
  <c r="U250" i="1" s="1"/>
  <c r="B251" i="1"/>
  <c r="W251" i="1"/>
  <c r="U251" i="1" s="1"/>
  <c r="B252" i="1"/>
  <c r="W252" i="1"/>
  <c r="U252" i="1" s="1"/>
  <c r="S252" i="1" s="1"/>
  <c r="B253" i="1"/>
  <c r="W253" i="1"/>
  <c r="U253" i="1" s="1"/>
  <c r="B254" i="1"/>
  <c r="W254" i="1"/>
  <c r="U254" i="1" s="1"/>
  <c r="B255" i="1"/>
  <c r="W255" i="1"/>
  <c r="U255" i="1" s="1"/>
  <c r="B256" i="1"/>
  <c r="W256" i="1"/>
  <c r="U256" i="1" s="1"/>
  <c r="B257" i="1"/>
  <c r="W257" i="1"/>
  <c r="U257" i="1" s="1"/>
  <c r="S257" i="1" s="1"/>
  <c r="B258" i="1"/>
  <c r="W258" i="1"/>
  <c r="U258" i="1" s="1"/>
  <c r="B259" i="1"/>
  <c r="W259" i="1"/>
  <c r="U259" i="1" s="1"/>
  <c r="T259" i="1" s="1"/>
  <c r="B260" i="1"/>
  <c r="W260" i="1"/>
  <c r="U260" i="1" s="1"/>
  <c r="T260" i="1" s="1"/>
  <c r="B261" i="1"/>
  <c r="W261" i="1"/>
  <c r="U261" i="1" s="1"/>
  <c r="S261" i="1" s="1"/>
  <c r="B262" i="1"/>
  <c r="W262" i="1"/>
  <c r="U262" i="1" s="1"/>
  <c r="B263" i="1"/>
  <c r="W263" i="1"/>
  <c r="U263" i="1" s="1"/>
  <c r="B264" i="1"/>
  <c r="W264" i="1"/>
  <c r="U264" i="1" s="1"/>
  <c r="B265" i="1"/>
  <c r="W265" i="1"/>
  <c r="U265" i="1" s="1"/>
  <c r="B266" i="1"/>
  <c r="W266" i="1"/>
  <c r="U266" i="1" s="1"/>
  <c r="B267" i="1"/>
  <c r="W267" i="1"/>
  <c r="U267" i="1" s="1"/>
  <c r="S267" i="1" s="1"/>
  <c r="B268" i="1"/>
  <c r="W268" i="1"/>
  <c r="U268" i="1" s="1"/>
  <c r="B269" i="1"/>
  <c r="W269" i="1"/>
  <c r="U269" i="1" s="1"/>
  <c r="S269" i="1" s="1"/>
  <c r="B270" i="1"/>
  <c r="W270" i="1"/>
  <c r="U270" i="1" s="1"/>
  <c r="S270" i="1" s="1"/>
  <c r="B271" i="1"/>
  <c r="W271" i="1"/>
  <c r="U271" i="1" s="1"/>
  <c r="B272" i="1"/>
  <c r="W272" i="1"/>
  <c r="U272" i="1" s="1"/>
  <c r="B273" i="1"/>
  <c r="W273" i="1"/>
  <c r="U273" i="1" s="1"/>
  <c r="B274" i="1"/>
  <c r="W274" i="1"/>
  <c r="U274" i="1" s="1"/>
  <c r="B275" i="1"/>
  <c r="W275" i="1"/>
  <c r="U275" i="1" s="1"/>
  <c r="T275" i="1" s="1"/>
  <c r="B276" i="1"/>
  <c r="W276" i="1"/>
  <c r="U276" i="1" s="1"/>
  <c r="B277" i="1"/>
  <c r="W277" i="1"/>
  <c r="U277" i="1" s="1"/>
  <c r="S277" i="1" s="1"/>
  <c r="B278" i="1"/>
  <c r="W278" i="1"/>
  <c r="U278" i="1" s="1"/>
  <c r="B279" i="1"/>
  <c r="W279" i="1"/>
  <c r="U279" i="1" s="1"/>
  <c r="B280" i="1"/>
  <c r="W280" i="1"/>
  <c r="U280" i="1" s="1"/>
  <c r="S280" i="1" s="1"/>
  <c r="B281" i="1"/>
  <c r="W281" i="1"/>
  <c r="U281" i="1" s="1"/>
  <c r="B282" i="1"/>
  <c r="W282" i="1"/>
  <c r="U282" i="1" s="1"/>
  <c r="B283" i="1"/>
  <c r="W283" i="1"/>
  <c r="U283" i="1" s="1"/>
  <c r="B284" i="1"/>
  <c r="W284" i="1"/>
  <c r="U284" i="1" s="1"/>
  <c r="B285" i="1"/>
  <c r="W285" i="1"/>
  <c r="U285" i="1" s="1"/>
  <c r="S285" i="1" s="1"/>
  <c r="B286" i="1"/>
  <c r="W286" i="1"/>
  <c r="U286" i="1" s="1"/>
  <c r="B287" i="1"/>
  <c r="W287" i="1"/>
  <c r="U287" i="1" s="1"/>
  <c r="T287" i="1" s="1"/>
  <c r="B288" i="1"/>
  <c r="W288" i="1"/>
  <c r="U288" i="1" s="1"/>
  <c r="T288" i="1" s="1"/>
  <c r="B289" i="1"/>
  <c r="W289" i="1"/>
  <c r="U289" i="1" s="1"/>
  <c r="B290" i="1"/>
  <c r="W290" i="1"/>
  <c r="U290" i="1" s="1"/>
  <c r="S290" i="1" s="1"/>
  <c r="B291" i="1"/>
  <c r="W291" i="1"/>
  <c r="U291" i="1" s="1"/>
  <c r="S291" i="1" s="1"/>
  <c r="P10" i="7"/>
  <c r="E25" i="2"/>
  <c r="F13" i="7"/>
  <c r="H13" i="7" s="1"/>
  <c r="F14" i="7"/>
  <c r="H14" i="7" s="1"/>
  <c r="F15" i="7"/>
  <c r="H15" i="7" s="1"/>
  <c r="F16" i="7"/>
  <c r="H16" i="7" s="1"/>
  <c r="F17" i="7"/>
  <c r="H17" i="7" s="1"/>
  <c r="F18" i="7"/>
  <c r="H18" i="7" s="1"/>
  <c r="F19" i="7"/>
  <c r="H19" i="7" s="1"/>
  <c r="F20" i="7"/>
  <c r="H20" i="7" s="1"/>
  <c r="F21" i="7"/>
  <c r="H21" i="7" s="1"/>
  <c r="F22" i="7"/>
  <c r="H22" i="7" s="1"/>
  <c r="F23" i="7"/>
  <c r="H23" i="7" s="1"/>
  <c r="F24" i="7"/>
  <c r="H24" i="7" s="1"/>
  <c r="F25" i="7"/>
  <c r="H25" i="7" s="1"/>
  <c r="F26" i="7"/>
  <c r="H26" i="7" s="1"/>
  <c r="F27" i="7"/>
  <c r="H27" i="7" s="1"/>
  <c r="F28" i="7"/>
  <c r="H28" i="7" s="1"/>
  <c r="F29" i="7"/>
  <c r="H29" i="7" s="1"/>
  <c r="F30" i="7"/>
  <c r="H30" i="7" s="1"/>
  <c r="F31" i="7"/>
  <c r="H31" i="7" s="1"/>
  <c r="F32" i="7"/>
  <c r="H32" i="7" s="1"/>
  <c r="F33" i="7"/>
  <c r="H33" i="7" s="1"/>
  <c r="F34" i="7"/>
  <c r="H34" i="7" s="1"/>
  <c r="F35" i="7"/>
  <c r="H35" i="7" s="1"/>
  <c r="F36" i="7"/>
  <c r="H36" i="7" s="1"/>
  <c r="F37" i="7"/>
  <c r="H37" i="7" s="1"/>
  <c r="F38" i="7"/>
  <c r="H38" i="7" s="1"/>
  <c r="F39" i="7"/>
  <c r="H39" i="7" s="1"/>
  <c r="F40" i="7"/>
  <c r="H40" i="7" s="1"/>
  <c r="F41" i="7"/>
  <c r="H41" i="7" s="1"/>
  <c r="F42" i="7"/>
  <c r="H42" i="7" s="1"/>
  <c r="F43" i="7"/>
  <c r="H43" i="7" s="1"/>
  <c r="F44" i="7"/>
  <c r="H44" i="7" s="1"/>
  <c r="F45" i="7"/>
  <c r="H45" i="7" s="1"/>
  <c r="F46" i="7"/>
  <c r="H46" i="7" s="1"/>
  <c r="F47" i="7"/>
  <c r="H47" i="7" s="1"/>
  <c r="F48" i="7"/>
  <c r="H48" i="7" s="1"/>
  <c r="F49" i="7"/>
  <c r="H49" i="7" s="1"/>
  <c r="F50" i="7"/>
  <c r="H50" i="7" s="1"/>
  <c r="F51" i="7"/>
  <c r="H51" i="7" s="1"/>
  <c r="F52" i="7"/>
  <c r="H52" i="7" s="1"/>
  <c r="F53" i="7"/>
  <c r="H53" i="7" s="1"/>
  <c r="F54" i="7"/>
  <c r="H54" i="7" s="1"/>
  <c r="F55" i="7"/>
  <c r="H55" i="7" s="1"/>
  <c r="F56" i="7"/>
  <c r="H56" i="7" s="1"/>
  <c r="F57" i="7"/>
  <c r="H57" i="7" s="1"/>
  <c r="F58" i="7"/>
  <c r="H58" i="7" s="1"/>
  <c r="F59" i="7"/>
  <c r="H59" i="7" s="1"/>
  <c r="F60" i="7"/>
  <c r="H60" i="7" s="1"/>
  <c r="F61" i="7"/>
  <c r="H61" i="7" s="1"/>
  <c r="F62" i="7"/>
  <c r="H62" i="7" s="1"/>
  <c r="F63" i="7"/>
  <c r="H63" i="7" s="1"/>
  <c r="F64" i="7"/>
  <c r="H64" i="7" s="1"/>
  <c r="F65" i="7"/>
  <c r="H65" i="7" s="1"/>
  <c r="F66" i="7"/>
  <c r="H66" i="7" s="1"/>
  <c r="F67" i="7"/>
  <c r="H67" i="7" s="1"/>
  <c r="F68" i="7"/>
  <c r="H68" i="7" s="1"/>
  <c r="F69" i="7"/>
  <c r="H69" i="7" s="1"/>
  <c r="F70" i="7"/>
  <c r="H70" i="7" s="1"/>
  <c r="F71" i="7"/>
  <c r="H71" i="7" s="1"/>
  <c r="F72" i="7"/>
  <c r="H72" i="7" s="1"/>
  <c r="F73" i="7"/>
  <c r="H73" i="7" s="1"/>
  <c r="F74" i="7"/>
  <c r="H74" i="7" s="1"/>
  <c r="F75" i="7"/>
  <c r="H75" i="7" s="1"/>
  <c r="F76" i="7"/>
  <c r="H76" i="7" s="1"/>
  <c r="F77" i="7"/>
  <c r="H77" i="7" s="1"/>
  <c r="F78" i="7"/>
  <c r="H78" i="7" s="1"/>
  <c r="F79" i="7"/>
  <c r="H79" i="7" s="1"/>
  <c r="F80" i="7"/>
  <c r="H80" i="7" s="1"/>
  <c r="F81" i="7"/>
  <c r="H81" i="7" s="1"/>
  <c r="F82" i="7"/>
  <c r="H82" i="7" s="1"/>
  <c r="F83" i="7"/>
  <c r="H83" i="7" s="1"/>
  <c r="F84" i="7"/>
  <c r="H84" i="7" s="1"/>
  <c r="F85" i="7"/>
  <c r="H85" i="7" s="1"/>
  <c r="F86" i="7"/>
  <c r="H86" i="7" s="1"/>
  <c r="F87" i="7"/>
  <c r="H87" i="7" s="1"/>
  <c r="F88" i="7"/>
  <c r="H88" i="7" s="1"/>
  <c r="F89" i="7"/>
  <c r="H89" i="7" s="1"/>
  <c r="F90" i="7"/>
  <c r="H90" i="7" s="1"/>
  <c r="F91" i="7"/>
  <c r="H91" i="7" s="1"/>
  <c r="F92" i="7"/>
  <c r="H92" i="7" s="1"/>
  <c r="F93" i="7"/>
  <c r="H93" i="7" s="1"/>
  <c r="F94" i="7"/>
  <c r="H94" i="7" s="1"/>
  <c r="F95" i="7"/>
  <c r="H95" i="7" s="1"/>
  <c r="F96" i="7"/>
  <c r="H96" i="7" s="1"/>
  <c r="F97" i="7"/>
  <c r="H97" i="7" s="1"/>
  <c r="F98" i="7"/>
  <c r="H98" i="7" s="1"/>
  <c r="C87" i="8"/>
  <c r="C88" i="8"/>
  <c r="C89" i="8"/>
  <c r="C90" i="8"/>
  <c r="C91" i="8"/>
  <c r="C92" i="8"/>
  <c r="C93" i="8"/>
  <c r="C94" i="8"/>
  <c r="C95" i="8"/>
  <c r="C96" i="8"/>
  <c r="C97" i="8"/>
  <c r="C98" i="8"/>
  <c r="C99" i="8"/>
  <c r="C100" i="8"/>
  <c r="C101" i="8"/>
  <c r="C102" i="8"/>
  <c r="C103" i="8"/>
  <c r="C104" i="8"/>
  <c r="C105" i="8"/>
  <c r="C106" i="8"/>
  <c r="C107" i="8"/>
  <c r="C108" i="8"/>
  <c r="C109" i="8"/>
  <c r="C110" i="8"/>
  <c r="C111" i="8"/>
  <c r="C112" i="8"/>
  <c r="C113" i="8"/>
  <c r="C114" i="8"/>
  <c r="C115" i="8"/>
  <c r="C116" i="8"/>
  <c r="C117" i="8"/>
  <c r="C118" i="8"/>
  <c r="C119" i="8"/>
  <c r="C120" i="8"/>
  <c r="C121" i="8"/>
  <c r="C122" i="8"/>
  <c r="C123" i="8"/>
  <c r="C124" i="8"/>
  <c r="C125" i="8"/>
  <c r="C126" i="8"/>
  <c r="C127" i="8"/>
  <c r="C128" i="8"/>
  <c r="C129" i="8"/>
  <c r="C130" i="8"/>
  <c r="C131" i="8"/>
  <c r="C132" i="8"/>
  <c r="C133" i="8"/>
  <c r="C134" i="8"/>
  <c r="C135" i="8"/>
  <c r="C136" i="8"/>
  <c r="C137" i="8"/>
  <c r="C138" i="8"/>
  <c r="C139" i="8"/>
  <c r="C140" i="8"/>
  <c r="C141" i="8"/>
  <c r="C142" i="8"/>
  <c r="C143" i="8"/>
  <c r="C144" i="8"/>
  <c r="C145" i="8"/>
  <c r="C146" i="8"/>
  <c r="C147" i="8"/>
  <c r="C148" i="8"/>
  <c r="C149" i="8"/>
  <c r="C150" i="8"/>
  <c r="C151" i="8"/>
  <c r="C152" i="8"/>
  <c r="C153" i="8"/>
  <c r="C154" i="8"/>
  <c r="C155" i="8"/>
  <c r="C156" i="8"/>
  <c r="C157" i="8"/>
  <c r="C158" i="8"/>
  <c r="C159" i="8"/>
  <c r="C160" i="8"/>
  <c r="C161" i="8"/>
  <c r="C162" i="8"/>
  <c r="C163" i="8"/>
  <c r="C164" i="8"/>
  <c r="C165" i="8"/>
  <c r="C166" i="8"/>
  <c r="C167" i="8"/>
  <c r="C168" i="8"/>
  <c r="C169" i="8"/>
  <c r="C170" i="8"/>
  <c r="C171" i="8"/>
  <c r="C172" i="8"/>
  <c r="C173" i="8"/>
  <c r="C174" i="8"/>
  <c r="C175" i="8"/>
  <c r="C176" i="8"/>
  <c r="C177" i="8"/>
  <c r="C178" i="8"/>
  <c r="C179" i="8"/>
  <c r="C180" i="8"/>
  <c r="C181" i="8"/>
  <c r="C182" i="8"/>
  <c r="C183" i="8"/>
  <c r="C184" i="8"/>
  <c r="C185" i="8"/>
  <c r="C186" i="8"/>
  <c r="C187" i="8"/>
  <c r="C188" i="8"/>
  <c r="C189" i="8"/>
  <c r="C190" i="8"/>
  <c r="C191" i="8"/>
  <c r="C192" i="8"/>
  <c r="C193" i="8"/>
  <c r="C194" i="8"/>
  <c r="C195" i="8"/>
  <c r="C196" i="8"/>
  <c r="C197" i="8"/>
  <c r="C198" i="8"/>
  <c r="C199" i="8"/>
  <c r="C200" i="8"/>
  <c r="C201" i="8"/>
  <c r="C202" i="8"/>
  <c r="C203" i="8"/>
  <c r="C204" i="8"/>
  <c r="C205" i="8"/>
  <c r="C206" i="8"/>
  <c r="C207" i="8"/>
  <c r="C208" i="8"/>
  <c r="C209" i="8"/>
  <c r="C210" i="8"/>
  <c r="C211" i="8"/>
  <c r="C212" i="8"/>
  <c r="C213" i="8"/>
  <c r="C214" i="8"/>
  <c r="C215" i="8"/>
  <c r="C216" i="8"/>
  <c r="C217" i="8"/>
  <c r="C218" i="8"/>
  <c r="C219" i="8"/>
  <c r="C220" i="8"/>
  <c r="C221" i="8"/>
  <c r="C222" i="8"/>
  <c r="C223" i="8"/>
  <c r="C224" i="8"/>
  <c r="C225" i="8"/>
  <c r="C226" i="8"/>
  <c r="C227" i="8"/>
  <c r="C228" i="8"/>
  <c r="C229" i="8"/>
  <c r="C230" i="8"/>
  <c r="C231" i="8"/>
  <c r="C232" i="8"/>
  <c r="C233" i="8"/>
  <c r="C234" i="8"/>
  <c r="C235" i="8"/>
  <c r="C236" i="8"/>
  <c r="C237" i="8"/>
  <c r="C238" i="8"/>
  <c r="C239" i="8"/>
  <c r="C240" i="8"/>
  <c r="C241" i="8"/>
  <c r="C242" i="8"/>
  <c r="C243" i="8"/>
  <c r="C244" i="8"/>
  <c r="C245" i="8"/>
  <c r="C246" i="8"/>
  <c r="C247" i="8"/>
  <c r="C248" i="8"/>
  <c r="C249" i="8"/>
  <c r="C250" i="8"/>
  <c r="C251" i="8"/>
  <c r="C252" i="8"/>
  <c r="C253" i="8"/>
  <c r="C254" i="8"/>
  <c r="C255" i="8"/>
  <c r="C256" i="8"/>
  <c r="C257" i="8"/>
  <c r="C258" i="8"/>
  <c r="C259" i="8"/>
  <c r="C260" i="8"/>
  <c r="C261" i="8"/>
  <c r="C262" i="8"/>
  <c r="C263" i="8"/>
  <c r="C264" i="8"/>
  <c r="C265" i="8"/>
  <c r="C266" i="8"/>
  <c r="C267" i="8"/>
  <c r="C268" i="8"/>
  <c r="C269" i="8"/>
  <c r="C270" i="8"/>
  <c r="C271" i="8"/>
  <c r="C272" i="8"/>
  <c r="C273" i="8"/>
  <c r="C274" i="8"/>
  <c r="C275" i="8"/>
  <c r="C276" i="8"/>
  <c r="C277" i="8"/>
  <c r="C278" i="8"/>
  <c r="C279" i="8"/>
  <c r="C280" i="8"/>
  <c r="C281" i="8"/>
  <c r="C282" i="8"/>
  <c r="C283" i="8"/>
  <c r="C284" i="8"/>
  <c r="C285" i="8"/>
  <c r="C286" i="8"/>
  <c r="C287" i="8"/>
  <c r="C288" i="8"/>
  <c r="C289" i="8"/>
  <c r="C290" i="8"/>
  <c r="C291" i="8"/>
  <c r="C292" i="8"/>
  <c r="C293" i="8"/>
  <c r="C294" i="8"/>
  <c r="C295" i="8"/>
  <c r="C296" i="8"/>
  <c r="C297" i="8"/>
  <c r="C298" i="8"/>
  <c r="C299" i="8"/>
  <c r="C300" i="8"/>
  <c r="C301" i="8"/>
  <c r="C302" i="8"/>
  <c r="C303" i="8"/>
  <c r="C304" i="8"/>
  <c r="C305" i="8"/>
  <c r="C306" i="8"/>
  <c r="C307" i="8"/>
  <c r="C308" i="8"/>
  <c r="C309" i="8"/>
  <c r="C310" i="8"/>
  <c r="C311" i="8"/>
  <c r="C312" i="8"/>
  <c r="C313" i="8"/>
  <c r="C314" i="8"/>
  <c r="C315" i="8"/>
  <c r="C316" i="8"/>
  <c r="C317" i="8"/>
  <c r="C318" i="8"/>
  <c r="C319" i="8"/>
  <c r="C320" i="8"/>
  <c r="C321" i="8"/>
  <c r="C322" i="8"/>
  <c r="C323" i="8"/>
  <c r="C324" i="8"/>
  <c r="C325" i="8"/>
  <c r="C326" i="8"/>
  <c r="C327" i="8"/>
  <c r="C328" i="8"/>
  <c r="C329" i="8"/>
  <c r="C330" i="8"/>
  <c r="C331" i="8"/>
  <c r="C332" i="8"/>
  <c r="C333" i="8"/>
  <c r="C334" i="8"/>
  <c r="C335" i="8"/>
  <c r="C336" i="8"/>
  <c r="C337" i="8"/>
  <c r="C338" i="8"/>
  <c r="C339" i="8"/>
  <c r="C340" i="8"/>
  <c r="C341" i="8"/>
  <c r="C342" i="8"/>
  <c r="C343" i="8"/>
  <c r="C344" i="8"/>
  <c r="C345" i="8"/>
  <c r="C346" i="8"/>
  <c r="C347" i="8"/>
  <c r="C348" i="8"/>
  <c r="C349" i="8"/>
  <c r="C350" i="8"/>
  <c r="C351" i="8"/>
  <c r="C352" i="8"/>
  <c r="C353" i="8"/>
  <c r="C354" i="8"/>
  <c r="C355" i="8"/>
  <c r="C356" i="8"/>
  <c r="C357" i="8"/>
  <c r="C358" i="8"/>
  <c r="C359" i="8"/>
  <c r="C360" i="8"/>
  <c r="C361" i="8"/>
  <c r="C362" i="8"/>
  <c r="C363" i="8"/>
  <c r="C364" i="8"/>
  <c r="C365" i="8"/>
  <c r="C366" i="8"/>
  <c r="C367" i="8"/>
  <c r="C368" i="8"/>
  <c r="C369" i="8"/>
  <c r="C370" i="8"/>
  <c r="C371" i="8"/>
  <c r="C372" i="8"/>
  <c r="C373" i="8"/>
  <c r="C374" i="8"/>
  <c r="C375" i="8"/>
  <c r="C376" i="8"/>
  <c r="C377" i="8"/>
  <c r="C378" i="8"/>
  <c r="C379" i="8"/>
  <c r="C380" i="8"/>
  <c r="C381" i="8"/>
  <c r="C382" i="8"/>
  <c r="C383" i="8"/>
  <c r="C384" i="8"/>
  <c r="C385" i="8"/>
  <c r="C386" i="8"/>
  <c r="C387" i="8"/>
  <c r="C388" i="8"/>
  <c r="C389" i="8"/>
  <c r="C390" i="8"/>
  <c r="C391" i="8"/>
  <c r="C392" i="8"/>
  <c r="C393" i="8"/>
  <c r="C394" i="8"/>
  <c r="C395" i="8"/>
  <c r="C396" i="8"/>
  <c r="C397" i="8"/>
  <c r="C398" i="8"/>
  <c r="C399" i="8"/>
  <c r="C400" i="8"/>
  <c r="C401" i="8"/>
  <c r="C402" i="8"/>
  <c r="C403" i="8"/>
  <c r="C404" i="8"/>
  <c r="C405" i="8"/>
  <c r="C406" i="8"/>
  <c r="C407" i="8"/>
  <c r="C408" i="8"/>
  <c r="C409" i="8"/>
  <c r="C410" i="8"/>
  <c r="C411" i="8"/>
  <c r="C412" i="8"/>
  <c r="C413" i="8"/>
  <c r="C414" i="8"/>
  <c r="C415" i="8"/>
  <c r="C416" i="8"/>
  <c r="C417" i="8"/>
  <c r="C418" i="8"/>
  <c r="C419" i="8"/>
  <c r="C420" i="8"/>
  <c r="C421" i="8"/>
  <c r="C422" i="8"/>
  <c r="C423" i="8"/>
  <c r="C424" i="8"/>
  <c r="C425" i="8"/>
  <c r="C426" i="8"/>
  <c r="C427" i="8"/>
  <c r="C428" i="8"/>
  <c r="C429" i="8"/>
  <c r="C430" i="8"/>
  <c r="C431" i="8"/>
  <c r="C432" i="8"/>
  <c r="C433" i="8"/>
  <c r="C434" i="8"/>
  <c r="C435" i="8"/>
  <c r="C436" i="8"/>
  <c r="C437" i="8"/>
  <c r="C438" i="8"/>
  <c r="C439" i="8"/>
  <c r="C440" i="8"/>
  <c r="C441" i="8"/>
  <c r="C442" i="8"/>
  <c r="C443" i="8"/>
  <c r="C444" i="8"/>
  <c r="C445" i="8"/>
  <c r="C446" i="8"/>
  <c r="C447" i="8"/>
  <c r="C448" i="8"/>
  <c r="C449" i="8"/>
  <c r="C450" i="8"/>
  <c r="C451" i="8"/>
  <c r="C452" i="8"/>
  <c r="C453" i="8"/>
  <c r="C454" i="8"/>
  <c r="C455" i="8"/>
  <c r="C456" i="8"/>
  <c r="C457" i="8"/>
  <c r="C458" i="8"/>
  <c r="C459" i="8"/>
  <c r="C460" i="8"/>
  <c r="C461" i="8"/>
  <c r="C462" i="8"/>
  <c r="C463" i="8"/>
  <c r="C464" i="8"/>
  <c r="C465" i="8"/>
  <c r="C466" i="8"/>
  <c r="C467" i="8"/>
  <c r="C468" i="8"/>
  <c r="C469" i="8"/>
  <c r="C470" i="8"/>
  <c r="C471" i="8"/>
  <c r="C472" i="8"/>
  <c r="C473" i="8"/>
  <c r="C474" i="8"/>
  <c r="C475" i="8"/>
  <c r="C476" i="8"/>
  <c r="C477" i="8"/>
  <c r="C478" i="8"/>
  <c r="C479" i="8"/>
  <c r="C480" i="8"/>
  <c r="C481" i="8"/>
  <c r="C482" i="8"/>
  <c r="C483" i="8"/>
  <c r="C484" i="8"/>
  <c r="C485" i="8"/>
  <c r="C486" i="8"/>
  <c r="C487" i="8"/>
  <c r="C488" i="8"/>
  <c r="C489" i="8"/>
  <c r="C490" i="8"/>
  <c r="C491" i="8"/>
  <c r="C492" i="8"/>
  <c r="C493" i="8"/>
  <c r="C494" i="8"/>
  <c r="C495" i="8"/>
  <c r="C496" i="8"/>
  <c r="C497" i="8"/>
  <c r="C498" i="8"/>
  <c r="C499" i="8"/>
  <c r="C500" i="8"/>
  <c r="G8" i="8" a="1"/>
  <c r="G8" i="8" s="1"/>
  <c r="F8" i="8" a="1"/>
  <c r="F8" i="8" s="1"/>
  <c r="E8" i="8" a="1"/>
  <c r="E8" i="8" s="1"/>
  <c r="D8" i="8" a="1"/>
  <c r="D8" i="8" s="1"/>
  <c r="S16" i="1" l="1"/>
  <c r="T16" i="1"/>
  <c r="T15" i="1"/>
  <c r="S15" i="1"/>
  <c r="T17" i="1"/>
  <c r="S17" i="1"/>
  <c r="S18" i="1"/>
  <c r="T18" i="1"/>
  <c r="S139" i="1"/>
  <c r="T163" i="1"/>
  <c r="S163" i="1"/>
  <c r="T234" i="1"/>
  <c r="T211" i="1"/>
  <c r="S82" i="1"/>
  <c r="S178" i="1"/>
  <c r="T147" i="1"/>
  <c r="T201" i="1"/>
  <c r="S201" i="1"/>
  <c r="T248" i="1"/>
  <c r="S248" i="1"/>
  <c r="T144" i="1"/>
  <c r="S144" i="1"/>
  <c r="T281" i="1"/>
  <c r="S281" i="1"/>
  <c r="T213" i="1"/>
  <c r="S213" i="1"/>
  <c r="T137" i="1"/>
  <c r="S137" i="1"/>
  <c r="T208" i="1"/>
  <c r="S208" i="1"/>
  <c r="T85" i="1"/>
  <c r="S85" i="1"/>
  <c r="S255" i="1"/>
  <c r="T255" i="1"/>
  <c r="T240" i="1"/>
  <c r="S240" i="1"/>
  <c r="T103" i="1"/>
  <c r="S103" i="1"/>
  <c r="T253" i="1"/>
  <c r="S253" i="1"/>
  <c r="T174" i="1"/>
  <c r="S174" i="1"/>
  <c r="S279" i="1"/>
  <c r="T279" i="1"/>
  <c r="T180" i="1"/>
  <c r="S180" i="1"/>
  <c r="T115" i="1"/>
  <c r="S115" i="1"/>
  <c r="T50" i="1"/>
  <c r="S50" i="1"/>
  <c r="S273" i="1"/>
  <c r="T273" i="1"/>
  <c r="S31" i="1"/>
  <c r="T31" i="1"/>
  <c r="T245" i="1"/>
  <c r="S245" i="1"/>
  <c r="S75" i="1"/>
  <c r="T75" i="1"/>
  <c r="T36" i="1"/>
  <c r="S36" i="1"/>
  <c r="T271" i="1"/>
  <c r="S271" i="1"/>
  <c r="S29" i="1"/>
  <c r="T29" i="1"/>
  <c r="T22" i="1"/>
  <c r="S22" i="1"/>
  <c r="S113" i="1"/>
  <c r="T113" i="1"/>
  <c r="S289" i="1"/>
  <c r="T289" i="1"/>
  <c r="S251" i="1"/>
  <c r="T251" i="1"/>
  <c r="T263" i="1"/>
  <c r="S263" i="1"/>
  <c r="T243" i="1"/>
  <c r="S243" i="1"/>
  <c r="S159" i="1"/>
  <c r="T159" i="1"/>
  <c r="S228" i="1"/>
  <c r="T228" i="1"/>
  <c r="T266" i="1"/>
  <c r="S266" i="1"/>
  <c r="T265" i="1"/>
  <c r="S265" i="1"/>
  <c r="T172" i="1"/>
  <c r="S172" i="1"/>
  <c r="S283" i="1"/>
  <c r="T283" i="1"/>
  <c r="T276" i="1"/>
  <c r="S276" i="1"/>
  <c r="T209" i="1"/>
  <c r="S209" i="1"/>
  <c r="T196" i="1"/>
  <c r="S196" i="1"/>
  <c r="T60" i="1"/>
  <c r="S60" i="1"/>
  <c r="S88" i="1"/>
  <c r="T83" i="1"/>
  <c r="S58" i="1"/>
  <c r="S191" i="1"/>
  <c r="S52" i="1"/>
  <c r="S206" i="1"/>
  <c r="T222" i="1"/>
  <c r="S170" i="1"/>
  <c r="T101" i="1"/>
  <c r="S30" i="1"/>
  <c r="T51" i="1"/>
  <c r="T219" i="1"/>
  <c r="S169" i="1"/>
  <c r="S24" i="1"/>
  <c r="T291" i="1"/>
  <c r="S287" i="1"/>
  <c r="S259" i="1"/>
  <c r="S185" i="1"/>
  <c r="S44" i="1"/>
  <c r="T207" i="1"/>
  <c r="T131" i="1"/>
  <c r="T43" i="1"/>
  <c r="T129" i="1"/>
  <c r="T261" i="1"/>
  <c r="S239" i="1"/>
  <c r="S197" i="1"/>
  <c r="T69" i="1"/>
  <c r="S59" i="1"/>
  <c r="T23" i="1"/>
  <c r="S231" i="1"/>
  <c r="T231" i="1"/>
  <c r="S199" i="1"/>
  <c r="T199" i="1"/>
  <c r="T278" i="1"/>
  <c r="S278" i="1"/>
  <c r="S187" i="1"/>
  <c r="T187" i="1"/>
  <c r="S282" i="1"/>
  <c r="T282" i="1"/>
  <c r="T146" i="1"/>
  <c r="S146" i="1"/>
  <c r="T177" i="1"/>
  <c r="S177" i="1"/>
  <c r="T62" i="1"/>
  <c r="S62" i="1"/>
  <c r="T286" i="1"/>
  <c r="S286" i="1"/>
  <c r="T268" i="1"/>
  <c r="S268" i="1"/>
  <c r="S264" i="1"/>
  <c r="T264" i="1"/>
  <c r="S246" i="1"/>
  <c r="T246" i="1"/>
  <c r="S227" i="1"/>
  <c r="T227" i="1"/>
  <c r="S215" i="1"/>
  <c r="T215" i="1"/>
  <c r="T151" i="1"/>
  <c r="S151" i="1"/>
  <c r="S135" i="1"/>
  <c r="T135" i="1"/>
  <c r="T92" i="1"/>
  <c r="S92" i="1"/>
  <c r="S254" i="1"/>
  <c r="T254" i="1"/>
  <c r="T205" i="1"/>
  <c r="S205" i="1"/>
  <c r="S175" i="1"/>
  <c r="T175" i="1"/>
  <c r="T66" i="1"/>
  <c r="S66" i="1"/>
  <c r="S123" i="1"/>
  <c r="T123" i="1"/>
  <c r="T81" i="1"/>
  <c r="S81" i="1"/>
  <c r="T176" i="1"/>
  <c r="S176" i="1"/>
  <c r="S171" i="1"/>
  <c r="T171" i="1"/>
  <c r="T166" i="1"/>
  <c r="S166" i="1"/>
  <c r="T72" i="1"/>
  <c r="S72" i="1"/>
  <c r="T220" i="1"/>
  <c r="S220" i="1"/>
  <c r="S149" i="1"/>
  <c r="T149" i="1"/>
  <c r="S182" i="1"/>
  <c r="T182" i="1"/>
  <c r="S53" i="1"/>
  <c r="T53" i="1"/>
  <c r="T238" i="1"/>
  <c r="S238" i="1"/>
  <c r="S216" i="1"/>
  <c r="T216" i="1"/>
  <c r="T152" i="1"/>
  <c r="S152" i="1"/>
  <c r="S186" i="1"/>
  <c r="T186" i="1"/>
  <c r="S272" i="1"/>
  <c r="T272" i="1"/>
  <c r="S250" i="1"/>
  <c r="T250" i="1"/>
  <c r="S214" i="1"/>
  <c r="T214" i="1"/>
  <c r="T150" i="1"/>
  <c r="S150" i="1"/>
  <c r="S117" i="1"/>
  <c r="T117" i="1"/>
  <c r="T46" i="1"/>
  <c r="S46" i="1"/>
  <c r="S25" i="1"/>
  <c r="T25" i="1"/>
  <c r="S258" i="1"/>
  <c r="T258" i="1"/>
  <c r="T143" i="1"/>
  <c r="S143" i="1"/>
  <c r="S244" i="1"/>
  <c r="T244" i="1"/>
  <c r="S229" i="1"/>
  <c r="T229" i="1"/>
  <c r="S203" i="1"/>
  <c r="T203" i="1"/>
  <c r="T20" i="1"/>
  <c r="S20" i="1"/>
  <c r="S230" i="1"/>
  <c r="T230" i="1"/>
  <c r="T204" i="1"/>
  <c r="S204" i="1"/>
  <c r="S218" i="1"/>
  <c r="T218" i="1"/>
  <c r="T212" i="1"/>
  <c r="S212" i="1"/>
  <c r="T132" i="1"/>
  <c r="S132" i="1"/>
  <c r="T127" i="1"/>
  <c r="S127" i="1"/>
  <c r="S262" i="1"/>
  <c r="T262" i="1"/>
  <c r="S274" i="1"/>
  <c r="T274" i="1"/>
  <c r="T223" i="1"/>
  <c r="S223" i="1"/>
  <c r="S202" i="1"/>
  <c r="T202" i="1"/>
  <c r="T173" i="1"/>
  <c r="S173" i="1"/>
  <c r="S79" i="1"/>
  <c r="T79" i="1"/>
  <c r="S225" i="1"/>
  <c r="T225" i="1"/>
  <c r="S284" i="1"/>
  <c r="T284" i="1"/>
  <c r="T40" i="1"/>
  <c r="S40" i="1"/>
  <c r="T164" i="1"/>
  <c r="S164" i="1"/>
  <c r="T122" i="1"/>
  <c r="S122" i="1"/>
  <c r="T34" i="1"/>
  <c r="S34" i="1"/>
  <c r="S256" i="1"/>
  <c r="T256" i="1"/>
  <c r="T217" i="1"/>
  <c r="S217" i="1"/>
  <c r="T158" i="1"/>
  <c r="S158" i="1"/>
  <c r="S141" i="1"/>
  <c r="T141" i="1"/>
  <c r="T120" i="1"/>
  <c r="S120" i="1"/>
  <c r="T104" i="1"/>
  <c r="S104" i="1"/>
  <c r="T99" i="1"/>
  <c r="S99" i="1"/>
  <c r="T38" i="1"/>
  <c r="S38" i="1"/>
  <c r="T285" i="1"/>
  <c r="T270" i="1"/>
  <c r="T257" i="1"/>
  <c r="T242" i="1"/>
  <c r="S232" i="1"/>
  <c r="T194" i="1"/>
  <c r="S189" i="1"/>
  <c r="T184" i="1"/>
  <c r="T179" i="1"/>
  <c r="S161" i="1"/>
  <c r="T153" i="1"/>
  <c r="T142" i="1"/>
  <c r="S142" i="1"/>
  <c r="S134" i="1"/>
  <c r="S109" i="1"/>
  <c r="S106" i="1"/>
  <c r="T89" i="1"/>
  <c r="T68" i="1"/>
  <c r="S68" i="1"/>
  <c r="T45" i="1"/>
  <c r="S35" i="1"/>
  <c r="T35" i="1"/>
  <c r="T226" i="1"/>
  <c r="T183" i="1"/>
  <c r="S160" i="1"/>
  <c r="T112" i="1"/>
  <c r="S112" i="1"/>
  <c r="T84" i="1"/>
  <c r="S84" i="1"/>
  <c r="S237" i="1"/>
  <c r="T28" i="1"/>
  <c r="S28" i="1"/>
  <c r="T80" i="1"/>
  <c r="S80" i="1"/>
  <c r="T67" i="1"/>
  <c r="S67" i="1"/>
  <c r="T280" i="1"/>
  <c r="T267" i="1"/>
  <c r="T252" i="1"/>
  <c r="T188" i="1"/>
  <c r="S47" i="1"/>
  <c r="T47" i="1"/>
  <c r="T126" i="1"/>
  <c r="S126" i="1"/>
  <c r="T42" i="1"/>
  <c r="S42" i="1"/>
  <c r="S21" i="1"/>
  <c r="T21" i="1"/>
  <c r="T114" i="1"/>
  <c r="S114" i="1"/>
  <c r="T100" i="1"/>
  <c r="S100" i="1"/>
  <c r="T48" i="1"/>
  <c r="S48" i="1"/>
  <c r="S41" i="1"/>
  <c r="T41" i="1"/>
  <c r="S224" i="1"/>
  <c r="S181" i="1"/>
  <c r="S155" i="1"/>
  <c r="S128" i="1"/>
  <c r="T111" i="1"/>
  <c r="T97" i="1"/>
  <c r="T94" i="1"/>
  <c r="S94" i="1"/>
  <c r="S86" i="1"/>
  <c r="S77" i="1"/>
  <c r="T71" i="1"/>
  <c r="S71" i="1"/>
  <c r="S64" i="1"/>
  <c r="T61" i="1"/>
  <c r="S27" i="1"/>
  <c r="T27" i="1"/>
  <c r="T269" i="1"/>
  <c r="T241" i="1"/>
  <c r="T236" i="1"/>
  <c r="S221" i="1"/>
  <c r="T198" i="1"/>
  <c r="T193" i="1"/>
  <c r="T165" i="1"/>
  <c r="T157" i="1"/>
  <c r="S130" i="1"/>
  <c r="T119" i="1"/>
  <c r="S105" i="1"/>
  <c r="S91" i="1"/>
  <c r="S54" i="1"/>
  <c r="T138" i="1"/>
  <c r="S138" i="1"/>
  <c r="S116" i="1"/>
  <c r="S102" i="1"/>
  <c r="S96" i="1"/>
  <c r="S70" i="1"/>
  <c r="T57" i="1"/>
  <c r="T125" i="1"/>
  <c r="T154" i="1"/>
  <c r="S154" i="1"/>
  <c r="S73" i="1"/>
  <c r="T73" i="1"/>
  <c r="T290" i="1"/>
  <c r="S233" i="1"/>
  <c r="T200" i="1"/>
  <c r="T190" i="1"/>
  <c r="T167" i="1"/>
  <c r="S162" i="1"/>
  <c r="S110" i="1"/>
  <c r="T107" i="1"/>
  <c r="T93" i="1"/>
  <c r="S90" i="1"/>
  <c r="S76" i="1"/>
  <c r="S26" i="1"/>
  <c r="S288" i="1"/>
  <c r="T277" i="1"/>
  <c r="S275" i="1"/>
  <c r="S260" i="1"/>
  <c r="T249" i="1"/>
  <c r="S247" i="1"/>
  <c r="S210" i="1"/>
  <c r="S195" i="1"/>
  <c r="S124" i="1"/>
  <c r="T121" i="1"/>
  <c r="S118" i="1"/>
  <c r="S133" i="1"/>
  <c r="S108" i="1"/>
  <c r="T140" i="1"/>
  <c r="S140" i="1"/>
  <c r="T32" i="1"/>
  <c r="S32" i="1"/>
  <c r="T168" i="1"/>
  <c r="S168" i="1"/>
  <c r="T136" i="1"/>
  <c r="S136" i="1"/>
  <c r="S74" i="1"/>
  <c r="T37" i="1"/>
  <c r="T235" i="1"/>
  <c r="S192" i="1"/>
  <c r="S156" i="1"/>
  <c r="S148" i="1"/>
  <c r="T145" i="1"/>
  <c r="S98" i="1"/>
  <c r="T95" i="1"/>
  <c r="S87" i="1"/>
  <c r="T78" i="1"/>
  <c r="S78" i="1"/>
  <c r="T65" i="1"/>
  <c r="S56" i="1"/>
  <c r="T49" i="1"/>
  <c r="T63" i="1"/>
  <c r="T39" i="1"/>
  <c r="T19" i="1"/>
  <c r="S55" i="1"/>
  <c r="T55" i="1"/>
  <c r="T33" i="1"/>
  <c r="D15" i="2" l="1"/>
  <c r="K11" i="7"/>
  <c r="K12" i="7"/>
  <c r="K13" i="7"/>
  <c r="K14" i="7"/>
  <c r="K15" i="7"/>
  <c r="K16" i="7"/>
  <c r="K17" i="7"/>
  <c r="K18" i="7"/>
  <c r="K19" i="7"/>
  <c r="K20" i="7"/>
  <c r="K21" i="7"/>
  <c r="K22" i="7"/>
  <c r="K23" i="7"/>
  <c r="K24" i="7"/>
  <c r="K25" i="7"/>
  <c r="K26" i="7"/>
  <c r="K27" i="7"/>
  <c r="K28" i="7"/>
  <c r="K29" i="7"/>
  <c r="K30" i="7"/>
  <c r="K31" i="7"/>
  <c r="K32" i="7"/>
  <c r="K33" i="7"/>
  <c r="K34" i="7"/>
  <c r="K35" i="7"/>
  <c r="K36" i="7"/>
  <c r="K37" i="7"/>
  <c r="K38" i="7"/>
  <c r="K39" i="7"/>
  <c r="K40" i="7"/>
  <c r="K41" i="7"/>
  <c r="K42" i="7"/>
  <c r="K43" i="7"/>
  <c r="K44" i="7"/>
  <c r="K45" i="7"/>
  <c r="K46" i="7"/>
  <c r="K47" i="7"/>
  <c r="K48" i="7"/>
  <c r="K49" i="7"/>
  <c r="K50" i="7"/>
  <c r="K51" i="7"/>
  <c r="K52" i="7"/>
  <c r="K53" i="7"/>
  <c r="K54" i="7"/>
  <c r="K55" i="7"/>
  <c r="K56" i="7"/>
  <c r="K57" i="7"/>
  <c r="K58" i="7"/>
  <c r="K59" i="7"/>
  <c r="K60" i="7"/>
  <c r="K61" i="7"/>
  <c r="K62" i="7"/>
  <c r="K63" i="7"/>
  <c r="K64" i="7"/>
  <c r="K65" i="7"/>
  <c r="K66" i="7"/>
  <c r="K67" i="7"/>
  <c r="K68" i="7"/>
  <c r="K69" i="7"/>
  <c r="K70" i="7"/>
  <c r="K71" i="7"/>
  <c r="K72" i="7"/>
  <c r="K73" i="7"/>
  <c r="K74" i="7"/>
  <c r="K75" i="7"/>
  <c r="K76" i="7"/>
  <c r="K77" i="7"/>
  <c r="K78" i="7"/>
  <c r="K79" i="7"/>
  <c r="K80" i="7"/>
  <c r="K81" i="7"/>
  <c r="K82" i="7"/>
  <c r="K83" i="7"/>
  <c r="K84" i="7"/>
  <c r="K85" i="7"/>
  <c r="K86" i="7"/>
  <c r="K87" i="7"/>
  <c r="K88" i="7"/>
  <c r="K89" i="7"/>
  <c r="K90" i="7"/>
  <c r="K91" i="7"/>
  <c r="K92" i="7"/>
  <c r="K93" i="7"/>
  <c r="K94" i="7"/>
  <c r="K95" i="7"/>
  <c r="K96" i="7"/>
  <c r="K97" i="7"/>
  <c r="K98" i="7"/>
  <c r="K10" i="7"/>
  <c r="N28" i="9"/>
  <c r="F28" i="9"/>
  <c r="A8" i="8" l="1" a="1"/>
  <c r="A8" i="8" s="1"/>
  <c r="C8" i="8" s="1"/>
  <c r="B8" i="8" a="1"/>
  <c r="B8" i="8" s="1"/>
  <c r="C24" i="8" l="1"/>
  <c r="C40" i="8"/>
  <c r="C48" i="8"/>
  <c r="C56" i="8"/>
  <c r="C63" i="8"/>
  <c r="C64" i="8"/>
  <c r="C71" i="8"/>
  <c r="C72" i="8"/>
  <c r="C80" i="8"/>
  <c r="C34" i="8"/>
  <c r="C42" i="8"/>
  <c r="C50" i="8"/>
  <c r="C58" i="8"/>
  <c r="C74" i="8"/>
  <c r="C79" i="8"/>
  <c r="C82" i="8"/>
  <c r="C59" i="8"/>
  <c r="C60" i="8"/>
  <c r="C61" i="8"/>
  <c r="C62" i="8"/>
  <c r="C65" i="8"/>
  <c r="C66" i="8"/>
  <c r="C67" i="8"/>
  <c r="C68" i="8"/>
  <c r="C69" i="8"/>
  <c r="C70" i="8"/>
  <c r="C73" i="8"/>
  <c r="C75" i="8"/>
  <c r="C76" i="8"/>
  <c r="C77" i="8"/>
  <c r="C78" i="8"/>
  <c r="C81" i="8"/>
  <c r="C83" i="8"/>
  <c r="C84" i="8"/>
  <c r="C85" i="8"/>
  <c r="C86" i="8"/>
  <c r="C28" i="8"/>
  <c r="C29" i="8"/>
  <c r="C30" i="8"/>
  <c r="C31" i="8"/>
  <c r="C32" i="8"/>
  <c r="C33" i="8"/>
  <c r="C35" i="8"/>
  <c r="C36" i="8"/>
  <c r="C37" i="8"/>
  <c r="C38" i="8"/>
  <c r="C39" i="8"/>
  <c r="C41" i="8"/>
  <c r="C43" i="8"/>
  <c r="C44" i="8"/>
  <c r="C45" i="8"/>
  <c r="C46" i="8"/>
  <c r="C47" i="8"/>
  <c r="C49" i="8"/>
  <c r="C51" i="8"/>
  <c r="C52" i="8"/>
  <c r="C53" i="8"/>
  <c r="C54" i="8"/>
  <c r="C55" i="8"/>
  <c r="C57" i="8"/>
  <c r="C25" i="8"/>
  <c r="C26" i="8"/>
  <c r="C27" i="8"/>
  <c r="D17" i="3"/>
  <c r="D26" i="3"/>
  <c r="D25" i="3"/>
  <c r="D24" i="3"/>
  <c r="D23" i="3"/>
  <c r="D22" i="3"/>
  <c r="D21" i="3"/>
  <c r="D20" i="3"/>
  <c r="D19" i="3"/>
  <c r="D18" i="3"/>
  <c r="L27" i="9"/>
  <c r="L26" i="9"/>
  <c r="L25" i="9"/>
  <c r="L24" i="9"/>
  <c r="L23" i="9"/>
  <c r="L22" i="9"/>
  <c r="L21" i="9"/>
  <c r="L20" i="9"/>
  <c r="L19" i="9"/>
  <c r="L18" i="9"/>
  <c r="D27" i="9"/>
  <c r="D26" i="9"/>
  <c r="D25" i="9"/>
  <c r="D24" i="9"/>
  <c r="D23" i="9"/>
  <c r="D22" i="9"/>
  <c r="D21" i="9"/>
  <c r="D20" i="9"/>
  <c r="D19" i="9"/>
  <c r="D18" i="9"/>
  <c r="D24" i="2"/>
  <c r="D23" i="2"/>
  <c r="D22" i="2"/>
  <c r="D21" i="2"/>
  <c r="D20" i="2"/>
  <c r="D19" i="2"/>
  <c r="D18" i="2"/>
  <c r="D17" i="2"/>
  <c r="D16" i="2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46" i="7"/>
  <c r="D47" i="7"/>
  <c r="D48" i="7"/>
  <c r="D49" i="7"/>
  <c r="D50" i="7"/>
  <c r="D51" i="7"/>
  <c r="D52" i="7"/>
  <c r="D53" i="7"/>
  <c r="D54" i="7"/>
  <c r="D55" i="7"/>
  <c r="D56" i="7"/>
  <c r="D57" i="7"/>
  <c r="D58" i="7"/>
  <c r="D59" i="7"/>
  <c r="D60" i="7"/>
  <c r="D61" i="7"/>
  <c r="D62" i="7"/>
  <c r="D63" i="7"/>
  <c r="D64" i="7"/>
  <c r="D65" i="7"/>
  <c r="D66" i="7"/>
  <c r="D67" i="7"/>
  <c r="D68" i="7"/>
  <c r="D69" i="7"/>
  <c r="D70" i="7"/>
  <c r="D71" i="7"/>
  <c r="D72" i="7"/>
  <c r="D73" i="7"/>
  <c r="D74" i="7"/>
  <c r="D75" i="7"/>
  <c r="D76" i="7"/>
  <c r="D77" i="7"/>
  <c r="D78" i="7"/>
  <c r="D79" i="7"/>
  <c r="D80" i="7"/>
  <c r="D81" i="7"/>
  <c r="D82" i="7"/>
  <c r="D83" i="7"/>
  <c r="D84" i="7"/>
  <c r="D85" i="7"/>
  <c r="D86" i="7"/>
  <c r="D87" i="7"/>
  <c r="D88" i="7"/>
  <c r="D89" i="7"/>
  <c r="D90" i="7"/>
  <c r="D91" i="7"/>
  <c r="D92" i="7"/>
  <c r="D93" i="7"/>
  <c r="D94" i="7"/>
  <c r="D95" i="7"/>
  <c r="D96" i="7"/>
  <c r="D97" i="7"/>
  <c r="D98" i="7"/>
  <c r="D11" i="7"/>
  <c r="D10" i="7"/>
  <c r="AI8" i="7"/>
  <c r="AH8" i="7"/>
  <c r="AG8" i="7"/>
  <c r="AF8" i="7"/>
  <c r="AE8" i="7"/>
  <c r="AD8" i="7"/>
  <c r="AC8" i="7"/>
  <c r="AB8" i="7"/>
  <c r="AA8" i="7"/>
  <c r="Z8" i="7"/>
  <c r="Y8" i="7"/>
  <c r="X8" i="7"/>
  <c r="W8" i="7"/>
  <c r="V8" i="7"/>
  <c r="U8" i="7"/>
  <c r="T8" i="7"/>
  <c r="S8" i="7"/>
  <c r="R8" i="7"/>
  <c r="Q8" i="7"/>
  <c r="P8" i="7"/>
  <c r="A26" i="3"/>
  <c r="C26" i="3" s="1"/>
  <c r="A25" i="3"/>
  <c r="C25" i="3" s="1"/>
  <c r="A24" i="3"/>
  <c r="C24" i="3" s="1"/>
  <c r="A23" i="3"/>
  <c r="C23" i="3" s="1"/>
  <c r="A22" i="3"/>
  <c r="C22" i="3" s="1"/>
  <c r="A21" i="3"/>
  <c r="C21" i="3" s="1"/>
  <c r="A20" i="3"/>
  <c r="C20" i="3" s="1"/>
  <c r="A19" i="3"/>
  <c r="B19" i="3" s="1"/>
  <c r="A18" i="3"/>
  <c r="C18" i="3" s="1"/>
  <c r="A17" i="3"/>
  <c r="C17" i="3" s="1"/>
  <c r="A24" i="2"/>
  <c r="C24" i="2" s="1"/>
  <c r="A23" i="2"/>
  <c r="B23" i="2" s="1"/>
  <c r="A22" i="2"/>
  <c r="A21" i="2"/>
  <c r="C21" i="2" s="1"/>
  <c r="A20" i="2"/>
  <c r="B20" i="2" s="1"/>
  <c r="A19" i="2"/>
  <c r="B19" i="2" s="1"/>
  <c r="A18" i="2"/>
  <c r="C18" i="2" s="1"/>
  <c r="A17" i="2"/>
  <c r="C17" i="2" s="1"/>
  <c r="A16" i="2"/>
  <c r="C16" i="2" s="1"/>
  <c r="A15" i="2"/>
  <c r="C15" i="2" s="1"/>
  <c r="I27" i="9"/>
  <c r="K27" i="9" s="1"/>
  <c r="I26" i="9"/>
  <c r="K26" i="9" s="1"/>
  <c r="I25" i="9"/>
  <c r="K25" i="9" s="1"/>
  <c r="I24" i="9"/>
  <c r="K24" i="9" s="1"/>
  <c r="I23" i="9"/>
  <c r="K23" i="9" s="1"/>
  <c r="I22" i="9"/>
  <c r="J22" i="9" s="1"/>
  <c r="I21" i="9"/>
  <c r="K21" i="9" s="1"/>
  <c r="I20" i="9"/>
  <c r="J20" i="9" s="1"/>
  <c r="I19" i="9"/>
  <c r="K19" i="9" s="1"/>
  <c r="I18" i="9"/>
  <c r="J18" i="9" s="1"/>
  <c r="A27" i="9"/>
  <c r="C27" i="9" s="1"/>
  <c r="A26" i="9"/>
  <c r="C26" i="9" s="1"/>
  <c r="A25" i="9"/>
  <c r="C25" i="9" s="1"/>
  <c r="A24" i="9"/>
  <c r="C24" i="9" s="1"/>
  <c r="A23" i="9"/>
  <c r="B23" i="9" s="1"/>
  <c r="A22" i="9"/>
  <c r="C22" i="9" s="1"/>
  <c r="A21" i="9"/>
  <c r="C21" i="9" s="1"/>
  <c r="A20" i="9"/>
  <c r="C20" i="9" s="1"/>
  <c r="A19" i="9"/>
  <c r="C19" i="9" s="1"/>
  <c r="A18" i="9"/>
  <c r="B18" i="9" s="1"/>
  <c r="B22" i="2"/>
  <c r="C22" i="2"/>
  <c r="D25" i="2" l="1"/>
  <c r="B24" i="2"/>
  <c r="D28" i="9"/>
  <c r="D27" i="3"/>
  <c r="L28" i="9"/>
  <c r="B16" i="2"/>
  <c r="B18" i="2"/>
  <c r="B15" i="2"/>
  <c r="C20" i="2"/>
  <c r="B20" i="3"/>
  <c r="C19" i="3"/>
  <c r="C27" i="3" s="1"/>
  <c r="B21" i="3"/>
  <c r="B22" i="3"/>
  <c r="B25" i="3"/>
  <c r="B26" i="3"/>
  <c r="J25" i="9"/>
  <c r="K22" i="9"/>
  <c r="B21" i="2"/>
  <c r="B23" i="3"/>
  <c r="B24" i="3"/>
  <c r="C23" i="2"/>
  <c r="J19" i="9"/>
  <c r="B17" i="3"/>
  <c r="B18" i="3"/>
  <c r="B17" i="2"/>
  <c r="C19" i="2"/>
  <c r="B22" i="9"/>
  <c r="B19" i="9"/>
  <c r="B25" i="9"/>
  <c r="J23" i="9"/>
  <c r="J26" i="9"/>
  <c r="K20" i="9"/>
  <c r="K18" i="9"/>
  <c r="J21" i="9"/>
  <c r="J24" i="9"/>
  <c r="J27" i="9"/>
  <c r="B26" i="9"/>
  <c r="B20" i="9"/>
  <c r="C23" i="9"/>
  <c r="C18" i="9"/>
  <c r="B21" i="9"/>
  <c r="B24" i="9"/>
  <c r="B27" i="9"/>
  <c r="B10" i="2"/>
  <c r="J12" i="9"/>
  <c r="B12" i="9"/>
  <c r="D64" i="4"/>
  <c r="C25" i="2" l="1"/>
  <c r="C28" i="9"/>
  <c r="K28" i="9"/>
  <c r="J11" i="9"/>
  <c r="B11" i="9"/>
  <c r="A19" i="7"/>
  <c r="C19" i="7"/>
  <c r="O19" i="7" a="1"/>
  <c r="O19" i="7" s="1"/>
  <c r="P19" i="7"/>
  <c r="Q19" i="7"/>
  <c r="R19" i="7"/>
  <c r="S19" i="7"/>
  <c r="T19" i="7"/>
  <c r="U19" i="7"/>
  <c r="V19" i="7"/>
  <c r="W19" i="7"/>
  <c r="X19" i="7"/>
  <c r="Y19" i="7"/>
  <c r="A20" i="7"/>
  <c r="C20" i="7"/>
  <c r="O20" i="7" a="1"/>
  <c r="O20" i="7" s="1"/>
  <c r="P20" i="7"/>
  <c r="Q20" i="7"/>
  <c r="R20" i="7"/>
  <c r="S20" i="7"/>
  <c r="T20" i="7"/>
  <c r="U20" i="7"/>
  <c r="V20" i="7"/>
  <c r="W20" i="7"/>
  <c r="X20" i="7"/>
  <c r="Y20" i="7"/>
  <c r="A21" i="7"/>
  <c r="C21" i="7"/>
  <c r="O21" i="7" a="1"/>
  <c r="O21" i="7" s="1"/>
  <c r="P21" i="7"/>
  <c r="Q21" i="7"/>
  <c r="R21" i="7"/>
  <c r="S21" i="7"/>
  <c r="T21" i="7"/>
  <c r="U21" i="7"/>
  <c r="V21" i="7"/>
  <c r="W21" i="7"/>
  <c r="X21" i="7"/>
  <c r="Y21" i="7"/>
  <c r="A22" i="7"/>
  <c r="C22" i="7"/>
  <c r="O22" i="7" a="1"/>
  <c r="O22" i="7" s="1"/>
  <c r="P22" i="7"/>
  <c r="Q22" i="7"/>
  <c r="R22" i="7"/>
  <c r="S22" i="7"/>
  <c r="T22" i="7"/>
  <c r="U22" i="7"/>
  <c r="V22" i="7"/>
  <c r="W22" i="7"/>
  <c r="X22" i="7"/>
  <c r="Y22" i="7"/>
  <c r="A23" i="7"/>
  <c r="C23" i="7"/>
  <c r="O23" i="7" a="1"/>
  <c r="O23" i="7" s="1"/>
  <c r="P23" i="7"/>
  <c r="Q23" i="7"/>
  <c r="R23" i="7"/>
  <c r="S23" i="7"/>
  <c r="T23" i="7"/>
  <c r="U23" i="7"/>
  <c r="V23" i="7"/>
  <c r="W23" i="7"/>
  <c r="X23" i="7"/>
  <c r="Y23" i="7"/>
  <c r="A24" i="7"/>
  <c r="C24" i="7"/>
  <c r="O24" i="7" a="1"/>
  <c r="O24" i="7" s="1"/>
  <c r="P24" i="7"/>
  <c r="Q24" i="7"/>
  <c r="R24" i="7"/>
  <c r="S24" i="7"/>
  <c r="T24" i="7"/>
  <c r="U24" i="7"/>
  <c r="V24" i="7"/>
  <c r="W24" i="7"/>
  <c r="X24" i="7"/>
  <c r="Y24" i="7"/>
  <c r="A25" i="7"/>
  <c r="C25" i="7"/>
  <c r="O25" i="7" a="1"/>
  <c r="O25" i="7" s="1"/>
  <c r="P25" i="7"/>
  <c r="Q25" i="7"/>
  <c r="R25" i="7"/>
  <c r="S25" i="7"/>
  <c r="T25" i="7"/>
  <c r="U25" i="7"/>
  <c r="V25" i="7"/>
  <c r="W25" i="7"/>
  <c r="X25" i="7"/>
  <c r="Y25" i="7"/>
  <c r="A26" i="7"/>
  <c r="C26" i="7"/>
  <c r="O26" i="7" a="1"/>
  <c r="O26" i="7" s="1"/>
  <c r="P26" i="7"/>
  <c r="Q26" i="7"/>
  <c r="R26" i="7"/>
  <c r="S26" i="7"/>
  <c r="T26" i="7"/>
  <c r="U26" i="7"/>
  <c r="V26" i="7"/>
  <c r="W26" i="7"/>
  <c r="X26" i="7"/>
  <c r="Y26" i="7"/>
  <c r="A27" i="7"/>
  <c r="C27" i="7"/>
  <c r="O27" i="7" a="1"/>
  <c r="O27" i="7" s="1"/>
  <c r="P27" i="7"/>
  <c r="Q27" i="7"/>
  <c r="R27" i="7"/>
  <c r="S27" i="7"/>
  <c r="T27" i="7"/>
  <c r="U27" i="7"/>
  <c r="V27" i="7"/>
  <c r="W27" i="7"/>
  <c r="X27" i="7"/>
  <c r="Y27" i="7"/>
  <c r="A28" i="7"/>
  <c r="C28" i="7"/>
  <c r="O28" i="7" a="1"/>
  <c r="O28" i="7" s="1"/>
  <c r="P28" i="7"/>
  <c r="Q28" i="7"/>
  <c r="R28" i="7"/>
  <c r="S28" i="7"/>
  <c r="T28" i="7"/>
  <c r="U28" i="7"/>
  <c r="V28" i="7"/>
  <c r="W28" i="7"/>
  <c r="X28" i="7"/>
  <c r="Y28" i="7"/>
  <c r="A29" i="7"/>
  <c r="C29" i="7"/>
  <c r="O29" i="7" a="1"/>
  <c r="O29" i="7" s="1"/>
  <c r="P29" i="7"/>
  <c r="Q29" i="7"/>
  <c r="R29" i="7"/>
  <c r="S29" i="7"/>
  <c r="T29" i="7"/>
  <c r="U29" i="7"/>
  <c r="V29" i="7"/>
  <c r="W29" i="7"/>
  <c r="X29" i="7"/>
  <c r="Y29" i="7"/>
  <c r="A30" i="7"/>
  <c r="C30" i="7"/>
  <c r="O30" i="7" a="1"/>
  <c r="O30" i="7" s="1"/>
  <c r="P30" i="7"/>
  <c r="Q30" i="7"/>
  <c r="R30" i="7"/>
  <c r="S30" i="7"/>
  <c r="T30" i="7"/>
  <c r="U30" i="7"/>
  <c r="V30" i="7"/>
  <c r="W30" i="7"/>
  <c r="X30" i="7"/>
  <c r="Y30" i="7"/>
  <c r="A31" i="7"/>
  <c r="C31" i="7"/>
  <c r="O31" i="7" a="1"/>
  <c r="O31" i="7" s="1"/>
  <c r="P31" i="7"/>
  <c r="Q31" i="7"/>
  <c r="R31" i="7"/>
  <c r="S31" i="7"/>
  <c r="T31" i="7"/>
  <c r="U31" i="7"/>
  <c r="V31" i="7"/>
  <c r="W31" i="7"/>
  <c r="X31" i="7"/>
  <c r="Y31" i="7"/>
  <c r="A32" i="7"/>
  <c r="C32" i="7"/>
  <c r="O32" i="7" a="1"/>
  <c r="O32" i="7" s="1"/>
  <c r="P32" i="7"/>
  <c r="Q32" i="7"/>
  <c r="R32" i="7"/>
  <c r="S32" i="7"/>
  <c r="T32" i="7"/>
  <c r="U32" i="7"/>
  <c r="V32" i="7"/>
  <c r="W32" i="7"/>
  <c r="X32" i="7"/>
  <c r="Y32" i="7"/>
  <c r="A33" i="7"/>
  <c r="C33" i="7"/>
  <c r="O33" i="7" a="1"/>
  <c r="O33" i="7" s="1"/>
  <c r="P33" i="7"/>
  <c r="Q33" i="7"/>
  <c r="R33" i="7"/>
  <c r="S33" i="7"/>
  <c r="T33" i="7"/>
  <c r="U33" i="7"/>
  <c r="V33" i="7"/>
  <c r="W33" i="7"/>
  <c r="X33" i="7"/>
  <c r="Y33" i="7"/>
  <c r="A34" i="7"/>
  <c r="C34" i="7"/>
  <c r="O34" i="7" a="1"/>
  <c r="O34" i="7" s="1"/>
  <c r="P34" i="7"/>
  <c r="Q34" i="7"/>
  <c r="R34" i="7"/>
  <c r="S34" i="7"/>
  <c r="T34" i="7"/>
  <c r="U34" i="7"/>
  <c r="V34" i="7"/>
  <c r="W34" i="7"/>
  <c r="X34" i="7"/>
  <c r="Y34" i="7"/>
  <c r="A35" i="7"/>
  <c r="C35" i="7"/>
  <c r="O35" i="7" a="1"/>
  <c r="O35" i="7" s="1"/>
  <c r="P35" i="7"/>
  <c r="Q35" i="7"/>
  <c r="R35" i="7"/>
  <c r="S35" i="7"/>
  <c r="T35" i="7"/>
  <c r="U35" i="7"/>
  <c r="V35" i="7"/>
  <c r="W35" i="7"/>
  <c r="X35" i="7"/>
  <c r="Y35" i="7"/>
  <c r="A36" i="7"/>
  <c r="C36" i="7"/>
  <c r="O36" i="7" a="1"/>
  <c r="O36" i="7" s="1"/>
  <c r="P36" i="7"/>
  <c r="Q36" i="7"/>
  <c r="R36" i="7"/>
  <c r="S36" i="7"/>
  <c r="T36" i="7"/>
  <c r="U36" i="7"/>
  <c r="V36" i="7"/>
  <c r="W36" i="7"/>
  <c r="X36" i="7"/>
  <c r="Y36" i="7"/>
  <c r="A37" i="7"/>
  <c r="C37" i="7"/>
  <c r="O37" i="7" a="1"/>
  <c r="O37" i="7" s="1"/>
  <c r="P37" i="7"/>
  <c r="Q37" i="7"/>
  <c r="R37" i="7"/>
  <c r="S37" i="7"/>
  <c r="T37" i="7"/>
  <c r="U37" i="7"/>
  <c r="V37" i="7"/>
  <c r="W37" i="7"/>
  <c r="X37" i="7"/>
  <c r="Y37" i="7"/>
  <c r="A38" i="7"/>
  <c r="C38" i="7"/>
  <c r="O38" i="7" a="1"/>
  <c r="O38" i="7" s="1"/>
  <c r="P38" i="7"/>
  <c r="Q38" i="7"/>
  <c r="R38" i="7"/>
  <c r="S38" i="7"/>
  <c r="T38" i="7"/>
  <c r="U38" i="7"/>
  <c r="V38" i="7"/>
  <c r="W38" i="7"/>
  <c r="X38" i="7"/>
  <c r="Y38" i="7"/>
  <c r="A39" i="7"/>
  <c r="C39" i="7"/>
  <c r="O39" i="7" a="1"/>
  <c r="O39" i="7" s="1"/>
  <c r="P39" i="7"/>
  <c r="Q39" i="7"/>
  <c r="R39" i="7"/>
  <c r="S39" i="7"/>
  <c r="T39" i="7"/>
  <c r="U39" i="7"/>
  <c r="V39" i="7"/>
  <c r="W39" i="7"/>
  <c r="X39" i="7"/>
  <c r="Y39" i="7"/>
  <c r="A40" i="7"/>
  <c r="C40" i="7"/>
  <c r="O40" i="7" a="1"/>
  <c r="O40" i="7" s="1"/>
  <c r="P40" i="7"/>
  <c r="Q40" i="7"/>
  <c r="R40" i="7"/>
  <c r="S40" i="7"/>
  <c r="T40" i="7"/>
  <c r="U40" i="7"/>
  <c r="V40" i="7"/>
  <c r="W40" i="7"/>
  <c r="X40" i="7"/>
  <c r="Y40" i="7"/>
  <c r="A41" i="7"/>
  <c r="C41" i="7"/>
  <c r="O41" i="7" a="1"/>
  <c r="O41" i="7" s="1"/>
  <c r="P41" i="7"/>
  <c r="Q41" i="7"/>
  <c r="R41" i="7"/>
  <c r="S41" i="7"/>
  <c r="T41" i="7"/>
  <c r="U41" i="7"/>
  <c r="V41" i="7"/>
  <c r="W41" i="7"/>
  <c r="X41" i="7"/>
  <c r="Y41" i="7"/>
  <c r="A42" i="7"/>
  <c r="C42" i="7"/>
  <c r="O42" i="7" a="1"/>
  <c r="O42" i="7" s="1"/>
  <c r="P42" i="7"/>
  <c r="Q42" i="7"/>
  <c r="R42" i="7"/>
  <c r="S42" i="7"/>
  <c r="T42" i="7"/>
  <c r="U42" i="7"/>
  <c r="V42" i="7"/>
  <c r="W42" i="7"/>
  <c r="X42" i="7"/>
  <c r="Y42" i="7"/>
  <c r="A43" i="7"/>
  <c r="C43" i="7"/>
  <c r="O43" i="7" a="1"/>
  <c r="O43" i="7" s="1"/>
  <c r="P43" i="7"/>
  <c r="Q43" i="7"/>
  <c r="R43" i="7"/>
  <c r="S43" i="7"/>
  <c r="T43" i="7"/>
  <c r="U43" i="7"/>
  <c r="V43" i="7"/>
  <c r="W43" i="7"/>
  <c r="X43" i="7"/>
  <c r="Y43" i="7"/>
  <c r="A44" i="7"/>
  <c r="C44" i="7"/>
  <c r="O44" i="7" a="1"/>
  <c r="O44" i="7" s="1"/>
  <c r="P44" i="7"/>
  <c r="Q44" i="7"/>
  <c r="R44" i="7"/>
  <c r="S44" i="7"/>
  <c r="T44" i="7"/>
  <c r="U44" i="7"/>
  <c r="V44" i="7"/>
  <c r="W44" i="7"/>
  <c r="X44" i="7"/>
  <c r="Y44" i="7"/>
  <c r="A45" i="7"/>
  <c r="C45" i="7"/>
  <c r="O45" i="7" a="1"/>
  <c r="O45" i="7" s="1"/>
  <c r="P45" i="7"/>
  <c r="Q45" i="7"/>
  <c r="R45" i="7"/>
  <c r="S45" i="7"/>
  <c r="T45" i="7"/>
  <c r="U45" i="7"/>
  <c r="V45" i="7"/>
  <c r="W45" i="7"/>
  <c r="X45" i="7"/>
  <c r="Y45" i="7"/>
  <c r="A46" i="7"/>
  <c r="C46" i="7"/>
  <c r="O46" i="7" a="1"/>
  <c r="O46" i="7" s="1"/>
  <c r="P46" i="7"/>
  <c r="Q46" i="7"/>
  <c r="R46" i="7"/>
  <c r="S46" i="7"/>
  <c r="T46" i="7"/>
  <c r="U46" i="7"/>
  <c r="V46" i="7"/>
  <c r="W46" i="7"/>
  <c r="X46" i="7"/>
  <c r="Y46" i="7"/>
  <c r="A47" i="7"/>
  <c r="C47" i="7"/>
  <c r="O47" i="7" a="1"/>
  <c r="O47" i="7" s="1"/>
  <c r="P47" i="7"/>
  <c r="Q47" i="7"/>
  <c r="R47" i="7"/>
  <c r="S47" i="7"/>
  <c r="T47" i="7"/>
  <c r="U47" i="7"/>
  <c r="V47" i="7"/>
  <c r="W47" i="7"/>
  <c r="X47" i="7"/>
  <c r="Y47" i="7"/>
  <c r="A48" i="7"/>
  <c r="C48" i="7"/>
  <c r="O48" i="7" a="1"/>
  <c r="O48" i="7" s="1"/>
  <c r="P48" i="7"/>
  <c r="Q48" i="7"/>
  <c r="R48" i="7"/>
  <c r="S48" i="7"/>
  <c r="T48" i="7"/>
  <c r="U48" i="7"/>
  <c r="V48" i="7"/>
  <c r="W48" i="7"/>
  <c r="X48" i="7"/>
  <c r="Y48" i="7"/>
  <c r="A49" i="7"/>
  <c r="C49" i="7"/>
  <c r="O49" i="7" a="1"/>
  <c r="O49" i="7" s="1"/>
  <c r="P49" i="7"/>
  <c r="Q49" i="7"/>
  <c r="R49" i="7"/>
  <c r="S49" i="7"/>
  <c r="T49" i="7"/>
  <c r="U49" i="7"/>
  <c r="V49" i="7"/>
  <c r="W49" i="7"/>
  <c r="X49" i="7"/>
  <c r="Y49" i="7"/>
  <c r="A50" i="7"/>
  <c r="C50" i="7"/>
  <c r="O50" i="7" a="1"/>
  <c r="O50" i="7" s="1"/>
  <c r="P50" i="7"/>
  <c r="Q50" i="7"/>
  <c r="R50" i="7"/>
  <c r="S50" i="7"/>
  <c r="T50" i="7"/>
  <c r="U50" i="7"/>
  <c r="V50" i="7"/>
  <c r="W50" i="7"/>
  <c r="X50" i="7"/>
  <c r="Y50" i="7"/>
  <c r="A51" i="7"/>
  <c r="C51" i="7"/>
  <c r="O51" i="7" a="1"/>
  <c r="O51" i="7" s="1"/>
  <c r="P51" i="7"/>
  <c r="Q51" i="7"/>
  <c r="R51" i="7"/>
  <c r="S51" i="7"/>
  <c r="T51" i="7"/>
  <c r="U51" i="7"/>
  <c r="V51" i="7"/>
  <c r="W51" i="7"/>
  <c r="X51" i="7"/>
  <c r="Y51" i="7"/>
  <c r="A52" i="7"/>
  <c r="C52" i="7"/>
  <c r="O52" i="7" a="1"/>
  <c r="O52" i="7" s="1"/>
  <c r="P52" i="7"/>
  <c r="Q52" i="7"/>
  <c r="R52" i="7"/>
  <c r="S52" i="7"/>
  <c r="T52" i="7"/>
  <c r="U52" i="7"/>
  <c r="V52" i="7"/>
  <c r="W52" i="7"/>
  <c r="X52" i="7"/>
  <c r="Y52" i="7"/>
  <c r="A53" i="7"/>
  <c r="C53" i="7"/>
  <c r="O53" i="7" a="1"/>
  <c r="O53" i="7" s="1"/>
  <c r="P53" i="7"/>
  <c r="Q53" i="7"/>
  <c r="R53" i="7"/>
  <c r="S53" i="7"/>
  <c r="T53" i="7"/>
  <c r="U53" i="7"/>
  <c r="V53" i="7"/>
  <c r="W53" i="7"/>
  <c r="X53" i="7"/>
  <c r="Y53" i="7"/>
  <c r="A54" i="7"/>
  <c r="C54" i="7"/>
  <c r="O54" i="7" a="1"/>
  <c r="O54" i="7" s="1"/>
  <c r="P54" i="7"/>
  <c r="Q54" i="7"/>
  <c r="R54" i="7"/>
  <c r="S54" i="7"/>
  <c r="T54" i="7"/>
  <c r="U54" i="7"/>
  <c r="V54" i="7"/>
  <c r="W54" i="7"/>
  <c r="X54" i="7"/>
  <c r="Y54" i="7"/>
  <c r="A55" i="7"/>
  <c r="C55" i="7"/>
  <c r="O55" i="7" a="1"/>
  <c r="O55" i="7" s="1"/>
  <c r="P55" i="7"/>
  <c r="Q55" i="7"/>
  <c r="R55" i="7"/>
  <c r="S55" i="7"/>
  <c r="T55" i="7"/>
  <c r="U55" i="7"/>
  <c r="V55" i="7"/>
  <c r="W55" i="7"/>
  <c r="X55" i="7"/>
  <c r="Y55" i="7"/>
  <c r="A56" i="7"/>
  <c r="C56" i="7"/>
  <c r="O56" i="7" a="1"/>
  <c r="O56" i="7" s="1"/>
  <c r="P56" i="7"/>
  <c r="Q56" i="7"/>
  <c r="R56" i="7"/>
  <c r="S56" i="7"/>
  <c r="T56" i="7"/>
  <c r="U56" i="7"/>
  <c r="V56" i="7"/>
  <c r="W56" i="7"/>
  <c r="X56" i="7"/>
  <c r="Y56" i="7"/>
  <c r="A57" i="7"/>
  <c r="C57" i="7"/>
  <c r="O57" i="7" a="1"/>
  <c r="O57" i="7" s="1"/>
  <c r="P57" i="7"/>
  <c r="Q57" i="7"/>
  <c r="R57" i="7"/>
  <c r="S57" i="7"/>
  <c r="T57" i="7"/>
  <c r="U57" i="7"/>
  <c r="V57" i="7"/>
  <c r="W57" i="7"/>
  <c r="X57" i="7"/>
  <c r="Y57" i="7"/>
  <c r="A58" i="7"/>
  <c r="C58" i="7"/>
  <c r="O58" i="7" a="1"/>
  <c r="O58" i="7" s="1"/>
  <c r="P58" i="7"/>
  <c r="Q58" i="7"/>
  <c r="R58" i="7"/>
  <c r="S58" i="7"/>
  <c r="T58" i="7"/>
  <c r="U58" i="7"/>
  <c r="V58" i="7"/>
  <c r="W58" i="7"/>
  <c r="X58" i="7"/>
  <c r="Y58" i="7"/>
  <c r="A59" i="7"/>
  <c r="C59" i="7"/>
  <c r="O59" i="7" a="1"/>
  <c r="O59" i="7" s="1"/>
  <c r="P59" i="7"/>
  <c r="Q59" i="7"/>
  <c r="R59" i="7"/>
  <c r="S59" i="7"/>
  <c r="T59" i="7"/>
  <c r="U59" i="7"/>
  <c r="V59" i="7"/>
  <c r="W59" i="7"/>
  <c r="X59" i="7"/>
  <c r="Y59" i="7"/>
  <c r="A60" i="7"/>
  <c r="C60" i="7"/>
  <c r="O60" i="7" a="1"/>
  <c r="O60" i="7" s="1"/>
  <c r="P60" i="7"/>
  <c r="Q60" i="7"/>
  <c r="R60" i="7"/>
  <c r="S60" i="7"/>
  <c r="T60" i="7"/>
  <c r="U60" i="7"/>
  <c r="V60" i="7"/>
  <c r="W60" i="7"/>
  <c r="X60" i="7"/>
  <c r="Y60" i="7"/>
  <c r="A61" i="7"/>
  <c r="C61" i="7"/>
  <c r="O61" i="7" a="1"/>
  <c r="O61" i="7" s="1"/>
  <c r="P61" i="7"/>
  <c r="Q61" i="7"/>
  <c r="R61" i="7"/>
  <c r="S61" i="7"/>
  <c r="T61" i="7"/>
  <c r="U61" i="7"/>
  <c r="V61" i="7"/>
  <c r="W61" i="7"/>
  <c r="X61" i="7"/>
  <c r="Y61" i="7"/>
  <c r="A62" i="7"/>
  <c r="C62" i="7"/>
  <c r="O62" i="7" a="1"/>
  <c r="O62" i="7" s="1"/>
  <c r="P62" i="7"/>
  <c r="Q62" i="7"/>
  <c r="R62" i="7"/>
  <c r="S62" i="7"/>
  <c r="T62" i="7"/>
  <c r="U62" i="7"/>
  <c r="V62" i="7"/>
  <c r="W62" i="7"/>
  <c r="X62" i="7"/>
  <c r="Y62" i="7"/>
  <c r="A63" i="7"/>
  <c r="C63" i="7"/>
  <c r="O63" i="7" a="1"/>
  <c r="O63" i="7" s="1"/>
  <c r="P63" i="7"/>
  <c r="Q63" i="7"/>
  <c r="R63" i="7"/>
  <c r="S63" i="7"/>
  <c r="T63" i="7"/>
  <c r="U63" i="7"/>
  <c r="V63" i="7"/>
  <c r="W63" i="7"/>
  <c r="X63" i="7"/>
  <c r="Y63" i="7"/>
  <c r="A64" i="7"/>
  <c r="C64" i="7"/>
  <c r="O64" i="7" a="1"/>
  <c r="O64" i="7" s="1"/>
  <c r="P64" i="7"/>
  <c r="Q64" i="7"/>
  <c r="R64" i="7"/>
  <c r="S64" i="7"/>
  <c r="T64" i="7"/>
  <c r="U64" i="7"/>
  <c r="V64" i="7"/>
  <c r="W64" i="7"/>
  <c r="X64" i="7"/>
  <c r="Y64" i="7"/>
  <c r="A65" i="7"/>
  <c r="C65" i="7"/>
  <c r="O65" i="7" a="1"/>
  <c r="O65" i="7" s="1"/>
  <c r="P65" i="7"/>
  <c r="Q65" i="7"/>
  <c r="R65" i="7"/>
  <c r="S65" i="7"/>
  <c r="T65" i="7"/>
  <c r="U65" i="7"/>
  <c r="V65" i="7"/>
  <c r="W65" i="7"/>
  <c r="X65" i="7"/>
  <c r="Y65" i="7"/>
  <c r="A66" i="7"/>
  <c r="C66" i="7"/>
  <c r="O66" i="7" a="1"/>
  <c r="O66" i="7" s="1"/>
  <c r="P66" i="7"/>
  <c r="Q66" i="7"/>
  <c r="R66" i="7"/>
  <c r="S66" i="7"/>
  <c r="T66" i="7"/>
  <c r="U66" i="7"/>
  <c r="V66" i="7"/>
  <c r="W66" i="7"/>
  <c r="X66" i="7"/>
  <c r="Y66" i="7"/>
  <c r="A67" i="7"/>
  <c r="C67" i="7"/>
  <c r="O67" i="7" a="1"/>
  <c r="O67" i="7" s="1"/>
  <c r="P67" i="7"/>
  <c r="Q67" i="7"/>
  <c r="R67" i="7"/>
  <c r="S67" i="7"/>
  <c r="T67" i="7"/>
  <c r="U67" i="7"/>
  <c r="V67" i="7"/>
  <c r="W67" i="7"/>
  <c r="X67" i="7"/>
  <c r="Y67" i="7"/>
  <c r="A68" i="7"/>
  <c r="C68" i="7"/>
  <c r="O68" i="7" a="1"/>
  <c r="O68" i="7" s="1"/>
  <c r="P68" i="7"/>
  <c r="Q68" i="7"/>
  <c r="R68" i="7"/>
  <c r="S68" i="7"/>
  <c r="T68" i="7"/>
  <c r="U68" i="7"/>
  <c r="V68" i="7"/>
  <c r="W68" i="7"/>
  <c r="X68" i="7"/>
  <c r="Y68" i="7"/>
  <c r="A69" i="7"/>
  <c r="C69" i="7"/>
  <c r="O69" i="7" a="1"/>
  <c r="O69" i="7" s="1"/>
  <c r="P69" i="7"/>
  <c r="Q69" i="7"/>
  <c r="R69" i="7"/>
  <c r="S69" i="7"/>
  <c r="T69" i="7"/>
  <c r="U69" i="7"/>
  <c r="V69" i="7"/>
  <c r="W69" i="7"/>
  <c r="X69" i="7"/>
  <c r="Y69" i="7"/>
  <c r="A70" i="7"/>
  <c r="C70" i="7"/>
  <c r="O70" i="7" a="1"/>
  <c r="O70" i="7" s="1"/>
  <c r="P70" i="7"/>
  <c r="Q70" i="7"/>
  <c r="R70" i="7"/>
  <c r="S70" i="7"/>
  <c r="T70" i="7"/>
  <c r="U70" i="7"/>
  <c r="V70" i="7"/>
  <c r="W70" i="7"/>
  <c r="X70" i="7"/>
  <c r="Y70" i="7"/>
  <c r="A71" i="7"/>
  <c r="C71" i="7"/>
  <c r="O71" i="7" a="1"/>
  <c r="O71" i="7" s="1"/>
  <c r="P71" i="7"/>
  <c r="Q71" i="7"/>
  <c r="R71" i="7"/>
  <c r="S71" i="7"/>
  <c r="T71" i="7"/>
  <c r="U71" i="7"/>
  <c r="V71" i="7"/>
  <c r="W71" i="7"/>
  <c r="X71" i="7"/>
  <c r="Y71" i="7"/>
  <c r="A72" i="7"/>
  <c r="C72" i="7"/>
  <c r="O72" i="7" a="1"/>
  <c r="O72" i="7" s="1"/>
  <c r="P72" i="7"/>
  <c r="Q72" i="7"/>
  <c r="R72" i="7"/>
  <c r="S72" i="7"/>
  <c r="T72" i="7"/>
  <c r="U72" i="7"/>
  <c r="V72" i="7"/>
  <c r="W72" i="7"/>
  <c r="X72" i="7"/>
  <c r="Y72" i="7"/>
  <c r="A73" i="7"/>
  <c r="C73" i="7"/>
  <c r="O73" i="7" a="1"/>
  <c r="O73" i="7" s="1"/>
  <c r="P73" i="7"/>
  <c r="Q73" i="7"/>
  <c r="R73" i="7"/>
  <c r="S73" i="7"/>
  <c r="T73" i="7"/>
  <c r="U73" i="7"/>
  <c r="V73" i="7"/>
  <c r="W73" i="7"/>
  <c r="X73" i="7"/>
  <c r="Y73" i="7"/>
  <c r="A74" i="7"/>
  <c r="C74" i="7"/>
  <c r="O74" i="7" a="1"/>
  <c r="O74" i="7" s="1"/>
  <c r="P74" i="7"/>
  <c r="Q74" i="7"/>
  <c r="R74" i="7"/>
  <c r="S74" i="7"/>
  <c r="T74" i="7"/>
  <c r="U74" i="7"/>
  <c r="V74" i="7"/>
  <c r="W74" i="7"/>
  <c r="X74" i="7"/>
  <c r="Y74" i="7"/>
  <c r="A75" i="7"/>
  <c r="C75" i="7"/>
  <c r="O75" i="7" a="1"/>
  <c r="O75" i="7" s="1"/>
  <c r="P75" i="7"/>
  <c r="Q75" i="7"/>
  <c r="R75" i="7"/>
  <c r="S75" i="7"/>
  <c r="T75" i="7"/>
  <c r="U75" i="7"/>
  <c r="V75" i="7"/>
  <c r="W75" i="7"/>
  <c r="X75" i="7"/>
  <c r="Y75" i="7"/>
  <c r="A76" i="7"/>
  <c r="C76" i="7"/>
  <c r="O76" i="7" a="1"/>
  <c r="O76" i="7" s="1"/>
  <c r="P76" i="7"/>
  <c r="Q76" i="7"/>
  <c r="R76" i="7"/>
  <c r="S76" i="7"/>
  <c r="T76" i="7"/>
  <c r="U76" i="7"/>
  <c r="V76" i="7"/>
  <c r="W76" i="7"/>
  <c r="X76" i="7"/>
  <c r="Y76" i="7"/>
  <c r="A77" i="7"/>
  <c r="C77" i="7"/>
  <c r="O77" i="7" a="1"/>
  <c r="O77" i="7" s="1"/>
  <c r="P77" i="7"/>
  <c r="Q77" i="7"/>
  <c r="R77" i="7"/>
  <c r="S77" i="7"/>
  <c r="T77" i="7"/>
  <c r="U77" i="7"/>
  <c r="V77" i="7"/>
  <c r="W77" i="7"/>
  <c r="X77" i="7"/>
  <c r="Y77" i="7"/>
  <c r="A78" i="7"/>
  <c r="C78" i="7"/>
  <c r="O78" i="7" a="1"/>
  <c r="O78" i="7" s="1"/>
  <c r="P78" i="7"/>
  <c r="Q78" i="7"/>
  <c r="R78" i="7"/>
  <c r="S78" i="7"/>
  <c r="T78" i="7"/>
  <c r="U78" i="7"/>
  <c r="V78" i="7"/>
  <c r="W78" i="7"/>
  <c r="X78" i="7"/>
  <c r="Y78" i="7"/>
  <c r="A79" i="7"/>
  <c r="C79" i="7"/>
  <c r="O79" i="7" a="1"/>
  <c r="O79" i="7" s="1"/>
  <c r="P79" i="7"/>
  <c r="Q79" i="7"/>
  <c r="R79" i="7"/>
  <c r="S79" i="7"/>
  <c r="T79" i="7"/>
  <c r="U79" i="7"/>
  <c r="V79" i="7"/>
  <c r="W79" i="7"/>
  <c r="X79" i="7"/>
  <c r="Y79" i="7"/>
  <c r="A80" i="7"/>
  <c r="C80" i="7"/>
  <c r="O80" i="7" a="1"/>
  <c r="O80" i="7" s="1"/>
  <c r="P80" i="7"/>
  <c r="Q80" i="7"/>
  <c r="R80" i="7"/>
  <c r="S80" i="7"/>
  <c r="T80" i="7"/>
  <c r="U80" i="7"/>
  <c r="V80" i="7"/>
  <c r="W80" i="7"/>
  <c r="X80" i="7"/>
  <c r="Y80" i="7"/>
  <c r="A81" i="7"/>
  <c r="C81" i="7"/>
  <c r="O81" i="7" a="1"/>
  <c r="O81" i="7" s="1"/>
  <c r="P81" i="7"/>
  <c r="Q81" i="7"/>
  <c r="R81" i="7"/>
  <c r="S81" i="7"/>
  <c r="T81" i="7"/>
  <c r="U81" i="7"/>
  <c r="V81" i="7"/>
  <c r="W81" i="7"/>
  <c r="X81" i="7"/>
  <c r="Y81" i="7"/>
  <c r="A82" i="7"/>
  <c r="C82" i="7"/>
  <c r="O82" i="7" a="1"/>
  <c r="O82" i="7" s="1"/>
  <c r="P82" i="7"/>
  <c r="Q82" i="7"/>
  <c r="R82" i="7"/>
  <c r="S82" i="7"/>
  <c r="T82" i="7"/>
  <c r="U82" i="7"/>
  <c r="V82" i="7"/>
  <c r="W82" i="7"/>
  <c r="X82" i="7"/>
  <c r="Y82" i="7"/>
  <c r="A83" i="7"/>
  <c r="C83" i="7"/>
  <c r="O83" i="7" a="1"/>
  <c r="O83" i="7" s="1"/>
  <c r="P83" i="7"/>
  <c r="Q83" i="7"/>
  <c r="R83" i="7"/>
  <c r="S83" i="7"/>
  <c r="T83" i="7"/>
  <c r="U83" i="7"/>
  <c r="V83" i="7"/>
  <c r="W83" i="7"/>
  <c r="X83" i="7"/>
  <c r="Y83" i="7"/>
  <c r="A84" i="7"/>
  <c r="C84" i="7"/>
  <c r="O84" i="7" a="1"/>
  <c r="O84" i="7" s="1"/>
  <c r="P84" i="7"/>
  <c r="Q84" i="7"/>
  <c r="R84" i="7"/>
  <c r="S84" i="7"/>
  <c r="T84" i="7"/>
  <c r="U84" i="7"/>
  <c r="V84" i="7"/>
  <c r="W84" i="7"/>
  <c r="X84" i="7"/>
  <c r="Y84" i="7"/>
  <c r="A85" i="7"/>
  <c r="C85" i="7"/>
  <c r="O85" i="7" a="1"/>
  <c r="O85" i="7" s="1"/>
  <c r="P85" i="7"/>
  <c r="Q85" i="7"/>
  <c r="R85" i="7"/>
  <c r="S85" i="7"/>
  <c r="T85" i="7"/>
  <c r="U85" i="7"/>
  <c r="V85" i="7"/>
  <c r="W85" i="7"/>
  <c r="X85" i="7"/>
  <c r="Y85" i="7"/>
  <c r="A86" i="7"/>
  <c r="C86" i="7"/>
  <c r="O86" i="7" a="1"/>
  <c r="O86" i="7" s="1"/>
  <c r="P86" i="7"/>
  <c r="Q86" i="7"/>
  <c r="R86" i="7"/>
  <c r="S86" i="7"/>
  <c r="T86" i="7"/>
  <c r="U86" i="7"/>
  <c r="V86" i="7"/>
  <c r="W86" i="7"/>
  <c r="X86" i="7"/>
  <c r="Y86" i="7"/>
  <c r="A87" i="7"/>
  <c r="C87" i="7"/>
  <c r="O87" i="7" a="1"/>
  <c r="O87" i="7" s="1"/>
  <c r="P87" i="7"/>
  <c r="Q87" i="7"/>
  <c r="R87" i="7"/>
  <c r="S87" i="7"/>
  <c r="T87" i="7"/>
  <c r="U87" i="7"/>
  <c r="V87" i="7"/>
  <c r="W87" i="7"/>
  <c r="X87" i="7"/>
  <c r="Y87" i="7"/>
  <c r="A88" i="7"/>
  <c r="C88" i="7"/>
  <c r="O88" i="7" a="1"/>
  <c r="O88" i="7" s="1"/>
  <c r="P88" i="7"/>
  <c r="Q88" i="7"/>
  <c r="R88" i="7"/>
  <c r="S88" i="7"/>
  <c r="T88" i="7"/>
  <c r="U88" i="7"/>
  <c r="V88" i="7"/>
  <c r="W88" i="7"/>
  <c r="X88" i="7"/>
  <c r="Y88" i="7"/>
  <c r="A89" i="7"/>
  <c r="C89" i="7"/>
  <c r="O89" i="7" a="1"/>
  <c r="O89" i="7" s="1"/>
  <c r="P89" i="7"/>
  <c r="Q89" i="7"/>
  <c r="R89" i="7"/>
  <c r="S89" i="7"/>
  <c r="T89" i="7"/>
  <c r="U89" i="7"/>
  <c r="V89" i="7"/>
  <c r="W89" i="7"/>
  <c r="X89" i="7"/>
  <c r="Y89" i="7"/>
  <c r="A90" i="7"/>
  <c r="C90" i="7"/>
  <c r="O90" i="7" a="1"/>
  <c r="O90" i="7" s="1"/>
  <c r="P90" i="7"/>
  <c r="Q90" i="7"/>
  <c r="R90" i="7"/>
  <c r="S90" i="7"/>
  <c r="T90" i="7"/>
  <c r="U90" i="7"/>
  <c r="V90" i="7"/>
  <c r="W90" i="7"/>
  <c r="X90" i="7"/>
  <c r="Y90" i="7"/>
  <c r="A91" i="7"/>
  <c r="C91" i="7"/>
  <c r="O91" i="7" a="1"/>
  <c r="O91" i="7" s="1"/>
  <c r="P91" i="7"/>
  <c r="Q91" i="7"/>
  <c r="R91" i="7"/>
  <c r="S91" i="7"/>
  <c r="T91" i="7"/>
  <c r="U91" i="7"/>
  <c r="V91" i="7"/>
  <c r="W91" i="7"/>
  <c r="X91" i="7"/>
  <c r="Y91" i="7"/>
  <c r="A92" i="7"/>
  <c r="C92" i="7"/>
  <c r="O92" i="7" a="1"/>
  <c r="O92" i="7" s="1"/>
  <c r="P92" i="7"/>
  <c r="Q92" i="7"/>
  <c r="R92" i="7"/>
  <c r="S92" i="7"/>
  <c r="T92" i="7"/>
  <c r="U92" i="7"/>
  <c r="V92" i="7"/>
  <c r="W92" i="7"/>
  <c r="X92" i="7"/>
  <c r="Y92" i="7"/>
  <c r="A93" i="7"/>
  <c r="C93" i="7"/>
  <c r="O93" i="7" a="1"/>
  <c r="O93" i="7" s="1"/>
  <c r="P93" i="7"/>
  <c r="Q93" i="7"/>
  <c r="R93" i="7"/>
  <c r="S93" i="7"/>
  <c r="T93" i="7"/>
  <c r="U93" i="7"/>
  <c r="V93" i="7"/>
  <c r="W93" i="7"/>
  <c r="X93" i="7"/>
  <c r="Y93" i="7"/>
  <c r="A94" i="7"/>
  <c r="C94" i="7"/>
  <c r="O94" i="7" a="1"/>
  <c r="O94" i="7" s="1"/>
  <c r="P94" i="7"/>
  <c r="Q94" i="7"/>
  <c r="R94" i="7"/>
  <c r="S94" i="7"/>
  <c r="T94" i="7"/>
  <c r="U94" i="7"/>
  <c r="V94" i="7"/>
  <c r="W94" i="7"/>
  <c r="X94" i="7"/>
  <c r="Y94" i="7"/>
  <c r="A95" i="7"/>
  <c r="C95" i="7"/>
  <c r="O95" i="7" a="1"/>
  <c r="O95" i="7" s="1"/>
  <c r="P95" i="7"/>
  <c r="Q95" i="7"/>
  <c r="R95" i="7"/>
  <c r="S95" i="7"/>
  <c r="T95" i="7"/>
  <c r="U95" i="7"/>
  <c r="V95" i="7"/>
  <c r="W95" i="7"/>
  <c r="X95" i="7"/>
  <c r="Y95" i="7"/>
  <c r="A96" i="7"/>
  <c r="C96" i="7"/>
  <c r="O96" i="7" a="1"/>
  <c r="O96" i="7" s="1"/>
  <c r="P96" i="7"/>
  <c r="Q96" i="7"/>
  <c r="R96" i="7"/>
  <c r="S96" i="7"/>
  <c r="T96" i="7"/>
  <c r="U96" i="7"/>
  <c r="V96" i="7"/>
  <c r="W96" i="7"/>
  <c r="X96" i="7"/>
  <c r="Y96" i="7"/>
  <c r="A97" i="7"/>
  <c r="C97" i="7"/>
  <c r="O97" i="7" a="1"/>
  <c r="O97" i="7" s="1"/>
  <c r="P97" i="7"/>
  <c r="Q97" i="7"/>
  <c r="R97" i="7"/>
  <c r="S97" i="7"/>
  <c r="T97" i="7"/>
  <c r="U97" i="7"/>
  <c r="V97" i="7"/>
  <c r="W97" i="7"/>
  <c r="X97" i="7"/>
  <c r="Y97" i="7"/>
  <c r="A98" i="7"/>
  <c r="C98" i="7"/>
  <c r="O98" i="7" a="1"/>
  <c r="O98" i="7" s="1"/>
  <c r="P98" i="7"/>
  <c r="Q98" i="7"/>
  <c r="R98" i="7"/>
  <c r="S98" i="7"/>
  <c r="T98" i="7"/>
  <c r="U98" i="7"/>
  <c r="V98" i="7"/>
  <c r="W98" i="7"/>
  <c r="X98" i="7"/>
  <c r="Y98" i="7"/>
  <c r="C15" i="8"/>
  <c r="C16" i="8"/>
  <c r="C17" i="8"/>
  <c r="C18" i="8"/>
  <c r="C19" i="8"/>
  <c r="C20" i="8"/>
  <c r="C21" i="8"/>
  <c r="C22" i="8"/>
  <c r="C23" i="8"/>
  <c r="C9" i="8"/>
  <c r="C10" i="8"/>
  <c r="C11" i="8"/>
  <c r="C12" i="8"/>
  <c r="C13" i="8"/>
  <c r="C14" i="8"/>
  <c r="U11" i="7"/>
  <c r="V11" i="7"/>
  <c r="W11" i="7"/>
  <c r="X11" i="7"/>
  <c r="Y11" i="7"/>
  <c r="U12" i="7"/>
  <c r="V12" i="7"/>
  <c r="W12" i="7"/>
  <c r="X12" i="7"/>
  <c r="Y12" i="7"/>
  <c r="U13" i="7"/>
  <c r="V13" i="7"/>
  <c r="W13" i="7"/>
  <c r="X13" i="7"/>
  <c r="Y13" i="7"/>
  <c r="U14" i="7"/>
  <c r="V14" i="7"/>
  <c r="W14" i="7"/>
  <c r="X14" i="7"/>
  <c r="Y14" i="7"/>
  <c r="U15" i="7"/>
  <c r="V15" i="7"/>
  <c r="W15" i="7"/>
  <c r="X15" i="7"/>
  <c r="Y15" i="7"/>
  <c r="U16" i="7"/>
  <c r="V16" i="7"/>
  <c r="W16" i="7"/>
  <c r="X16" i="7"/>
  <c r="Y16" i="7"/>
  <c r="U17" i="7"/>
  <c r="V17" i="7"/>
  <c r="W17" i="7"/>
  <c r="X17" i="7"/>
  <c r="Y17" i="7"/>
  <c r="U18" i="7"/>
  <c r="V18" i="7"/>
  <c r="W18" i="7"/>
  <c r="X18" i="7"/>
  <c r="Y18" i="7"/>
  <c r="Y10" i="7"/>
  <c r="X10" i="7"/>
  <c r="W10" i="7"/>
  <c r="V10" i="7"/>
  <c r="U10" i="7"/>
  <c r="Q11" i="7" l="1"/>
  <c r="R11" i="7"/>
  <c r="S11" i="7"/>
  <c r="T11" i="7"/>
  <c r="Q12" i="7"/>
  <c r="R12" i="7"/>
  <c r="S12" i="7"/>
  <c r="T12" i="7"/>
  <c r="Q13" i="7"/>
  <c r="R13" i="7"/>
  <c r="S13" i="7"/>
  <c r="T13" i="7"/>
  <c r="Q14" i="7"/>
  <c r="R14" i="7"/>
  <c r="S14" i="7"/>
  <c r="T14" i="7"/>
  <c r="Q15" i="7"/>
  <c r="R15" i="7"/>
  <c r="S15" i="7"/>
  <c r="T15" i="7"/>
  <c r="Q16" i="7"/>
  <c r="R16" i="7"/>
  <c r="S16" i="7"/>
  <c r="T16" i="7"/>
  <c r="Q17" i="7"/>
  <c r="R17" i="7"/>
  <c r="S17" i="7"/>
  <c r="T17" i="7"/>
  <c r="Q18" i="7"/>
  <c r="R18" i="7"/>
  <c r="S18" i="7"/>
  <c r="T18" i="7"/>
  <c r="T10" i="7"/>
  <c r="S10" i="7"/>
  <c r="R10" i="7"/>
  <c r="Q10" i="7"/>
  <c r="P11" i="7"/>
  <c r="P12" i="7"/>
  <c r="P13" i="7"/>
  <c r="P14" i="7"/>
  <c r="P15" i="7"/>
  <c r="P16" i="7"/>
  <c r="P17" i="7"/>
  <c r="P18" i="7"/>
  <c r="O13" i="7" a="1"/>
  <c r="O13" i="7" s="1"/>
  <c r="O14" i="7" a="1"/>
  <c r="O14" i="7" s="1"/>
  <c r="O15" i="7" a="1"/>
  <c r="O15" i="7" s="1"/>
  <c r="O16" i="7" a="1"/>
  <c r="O16" i="7" s="1"/>
  <c r="O17" i="7" a="1"/>
  <c r="O17" i="7" s="1"/>
  <c r="O18" i="7" a="1"/>
  <c r="O18" i="7" s="1"/>
  <c r="C11" i="7"/>
  <c r="C12" i="7"/>
  <c r="C13" i="7"/>
  <c r="C14" i="7"/>
  <c r="C15" i="7"/>
  <c r="C16" i="7"/>
  <c r="C17" i="7"/>
  <c r="C18" i="7"/>
  <c r="C10" i="7"/>
  <c r="A10" i="7"/>
  <c r="A11" i="7"/>
  <c r="A12" i="7"/>
  <c r="A14" i="7"/>
  <c r="A15" i="7"/>
  <c r="A16" i="7"/>
  <c r="A17" i="7"/>
  <c r="A18" i="7"/>
  <c r="A13" i="7"/>
  <c r="Z70" i="7" l="1"/>
  <c r="AD70" i="7"/>
  <c r="AE70" i="7"/>
  <c r="AF70" i="7"/>
  <c r="AG70" i="7"/>
  <c r="AI70" i="7"/>
  <c r="AG93" i="7"/>
  <c r="Z93" i="7"/>
  <c r="AH93" i="7"/>
  <c r="AA93" i="7"/>
  <c r="AI93" i="7"/>
  <c r="AB93" i="7"/>
  <c r="AC93" i="7"/>
  <c r="AE93" i="7"/>
  <c r="AD93" i="7"/>
  <c r="AF93" i="7"/>
  <c r="AF56" i="7"/>
  <c r="AG56" i="7"/>
  <c r="Z56" i="7"/>
  <c r="AH56" i="7"/>
  <c r="AA56" i="7"/>
  <c r="AI56" i="7"/>
  <c r="AB56" i="7"/>
  <c r="AC56" i="7"/>
  <c r="AD56" i="7"/>
  <c r="AE56" i="7"/>
  <c r="AE82" i="7"/>
  <c r="AF82" i="7"/>
  <c r="AC82" i="7"/>
  <c r="AG82" i="7"/>
  <c r="AD82" i="7"/>
  <c r="Z82" i="7"/>
  <c r="AH82" i="7"/>
  <c r="AA82" i="7"/>
  <c r="AI82" i="7"/>
  <c r="AB82" i="7"/>
  <c r="AA84" i="7"/>
  <c r="AI84" i="7"/>
  <c r="AB84" i="7"/>
  <c r="AG84" i="7"/>
  <c r="AC84" i="7"/>
  <c r="AD84" i="7"/>
  <c r="Z84" i="7"/>
  <c r="AE84" i="7"/>
  <c r="AF84" i="7"/>
  <c r="AH84" i="7"/>
  <c r="AG89" i="7"/>
  <c r="Z89" i="7"/>
  <c r="AH89" i="7"/>
  <c r="AA89" i="7"/>
  <c r="AI89" i="7"/>
  <c r="AB89" i="7"/>
  <c r="AF89" i="7"/>
  <c r="AC89" i="7"/>
  <c r="AD89" i="7"/>
  <c r="AE89" i="7"/>
  <c r="AE86" i="7"/>
  <c r="AD86" i="7"/>
  <c r="AF86" i="7"/>
  <c r="AG86" i="7"/>
  <c r="Z86" i="7"/>
  <c r="AH86" i="7"/>
  <c r="AA86" i="7"/>
  <c r="AI86" i="7"/>
  <c r="AB86" i="7"/>
  <c r="AC86" i="7"/>
  <c r="AB30" i="7"/>
  <c r="AC30" i="7"/>
  <c r="AD30" i="7"/>
  <c r="AE30" i="7"/>
  <c r="AF30" i="7"/>
  <c r="AG30" i="7"/>
  <c r="Z30" i="7"/>
  <c r="AH30" i="7"/>
  <c r="AI30" i="7"/>
  <c r="AA30" i="7"/>
  <c r="AF64" i="7"/>
  <c r="AG64" i="7"/>
  <c r="Z64" i="7"/>
  <c r="AH64" i="7"/>
  <c r="AA64" i="7"/>
  <c r="AI64" i="7"/>
  <c r="AB64" i="7"/>
  <c r="AC64" i="7"/>
  <c r="AD64" i="7"/>
  <c r="AE64" i="7"/>
  <c r="AC87" i="7"/>
  <c r="AA87" i="7"/>
  <c r="AB87" i="7"/>
  <c r="AD87" i="7"/>
  <c r="AE87" i="7"/>
  <c r="AF87" i="7"/>
  <c r="AG87" i="7"/>
  <c r="AI87" i="7"/>
  <c r="Z87" i="7"/>
  <c r="AH87" i="7"/>
  <c r="AG97" i="7"/>
  <c r="Z97" i="7"/>
  <c r="AH97" i="7"/>
  <c r="AA97" i="7"/>
  <c r="AI97" i="7"/>
  <c r="AE97" i="7"/>
  <c r="AB97" i="7"/>
  <c r="AC97" i="7"/>
  <c r="AF97" i="7"/>
  <c r="AD97" i="7"/>
  <c r="AF24" i="7"/>
  <c r="AG24" i="7"/>
  <c r="Z24" i="7"/>
  <c r="AH24" i="7"/>
  <c r="AA24" i="7"/>
  <c r="AI24" i="7"/>
  <c r="AB24" i="7"/>
  <c r="AC24" i="7"/>
  <c r="AD24" i="7"/>
  <c r="AE24" i="7"/>
  <c r="AF60" i="7"/>
  <c r="AG60" i="7"/>
  <c r="Z60" i="7"/>
  <c r="AH60" i="7"/>
  <c r="AA60" i="7"/>
  <c r="AI60" i="7"/>
  <c r="AB60" i="7"/>
  <c r="AC60" i="7"/>
  <c r="AD60" i="7"/>
  <c r="AE60" i="7"/>
  <c r="AB54" i="7"/>
  <c r="AC54" i="7"/>
  <c r="AD54" i="7"/>
  <c r="AE54" i="7"/>
  <c r="AF54" i="7"/>
  <c r="AG54" i="7"/>
  <c r="Z54" i="7"/>
  <c r="AH54" i="7"/>
  <c r="AI54" i="7"/>
  <c r="AA54" i="7"/>
  <c r="X292" i="1"/>
  <c r="R292" i="1"/>
  <c r="G99" i="7"/>
  <c r="AC70" i="7" l="1"/>
  <c r="AA70" i="7"/>
  <c r="AH70" i="7"/>
  <c r="AB70" i="7"/>
  <c r="Z39" i="7"/>
  <c r="AH39" i="7"/>
  <c r="AA39" i="7"/>
  <c r="AI39" i="7"/>
  <c r="AB39" i="7"/>
  <c r="AC39" i="7"/>
  <c r="AD39" i="7"/>
  <c r="AE39" i="7"/>
  <c r="AF39" i="7"/>
  <c r="AG39" i="7"/>
  <c r="AC91" i="7"/>
  <c r="AA91" i="7"/>
  <c r="AB91" i="7"/>
  <c r="AD91" i="7"/>
  <c r="AI91" i="7"/>
  <c r="AE91" i="7"/>
  <c r="AF91" i="7"/>
  <c r="AG91" i="7"/>
  <c r="Z91" i="7"/>
  <c r="AH91" i="7"/>
  <c r="AD45" i="7"/>
  <c r="AE45" i="7"/>
  <c r="AF45" i="7"/>
  <c r="AG45" i="7"/>
  <c r="Z45" i="7"/>
  <c r="AH45" i="7"/>
  <c r="AA45" i="7"/>
  <c r="AI45" i="7"/>
  <c r="AB45" i="7"/>
  <c r="AC45" i="7"/>
  <c r="Z59" i="7"/>
  <c r="AH59" i="7"/>
  <c r="AA59" i="7"/>
  <c r="AI59" i="7"/>
  <c r="AB59" i="7"/>
  <c r="AC59" i="7"/>
  <c r="AD59" i="7"/>
  <c r="AE59" i="7"/>
  <c r="AF59" i="7"/>
  <c r="AG59" i="7"/>
  <c r="AB42" i="7"/>
  <c r="AC42" i="7"/>
  <c r="AD42" i="7"/>
  <c r="AE42" i="7"/>
  <c r="AF42" i="7"/>
  <c r="AG42" i="7"/>
  <c r="Z42" i="7"/>
  <c r="AH42" i="7"/>
  <c r="AA42" i="7"/>
  <c r="AI42" i="7"/>
  <c r="AF44" i="7"/>
  <c r="AG44" i="7"/>
  <c r="Z44" i="7"/>
  <c r="AH44" i="7"/>
  <c r="AA44" i="7"/>
  <c r="AI44" i="7"/>
  <c r="AB44" i="7"/>
  <c r="AC44" i="7"/>
  <c r="AD44" i="7"/>
  <c r="AE44" i="7"/>
  <c r="AD37" i="7"/>
  <c r="AE37" i="7"/>
  <c r="AF37" i="7"/>
  <c r="AG37" i="7"/>
  <c r="Z37" i="7"/>
  <c r="AH37" i="7"/>
  <c r="AA37" i="7"/>
  <c r="AI37" i="7"/>
  <c r="AB37" i="7"/>
  <c r="AC37" i="7"/>
  <c r="AB34" i="7"/>
  <c r="AC34" i="7"/>
  <c r="AD34" i="7"/>
  <c r="AE34" i="7"/>
  <c r="AF34" i="7"/>
  <c r="AG34" i="7"/>
  <c r="Z34" i="7"/>
  <c r="AH34" i="7"/>
  <c r="AA34" i="7"/>
  <c r="AI34" i="7"/>
  <c r="Z67" i="7"/>
  <c r="AH67" i="7"/>
  <c r="AA67" i="7"/>
  <c r="AI67" i="7"/>
  <c r="AB67" i="7"/>
  <c r="AC67" i="7"/>
  <c r="AD67" i="7"/>
  <c r="AE67" i="7"/>
  <c r="AF67" i="7"/>
  <c r="AG67" i="7"/>
  <c r="AE98" i="7"/>
  <c r="AF98" i="7"/>
  <c r="AG98" i="7"/>
  <c r="AD98" i="7"/>
  <c r="Z98" i="7"/>
  <c r="AH98" i="7"/>
  <c r="AA98" i="7"/>
  <c r="AI98" i="7"/>
  <c r="AB98" i="7"/>
  <c r="AC98" i="7"/>
  <c r="AA80" i="7"/>
  <c r="AI80" i="7"/>
  <c r="Z80" i="7"/>
  <c r="AB80" i="7"/>
  <c r="AC80" i="7"/>
  <c r="AH80" i="7"/>
  <c r="AD80" i="7"/>
  <c r="AG80" i="7"/>
  <c r="AE80" i="7"/>
  <c r="AF80" i="7"/>
  <c r="AB78" i="7"/>
  <c r="AC78" i="7"/>
  <c r="AD78" i="7"/>
  <c r="AE78" i="7"/>
  <c r="AF78" i="7"/>
  <c r="AG78" i="7"/>
  <c r="Z78" i="7"/>
  <c r="AH78" i="7"/>
  <c r="AA78" i="7"/>
  <c r="AI78" i="7"/>
  <c r="AF20" i="7"/>
  <c r="AG20" i="7"/>
  <c r="Z20" i="7"/>
  <c r="AH20" i="7"/>
  <c r="AA20" i="7"/>
  <c r="AI20" i="7"/>
  <c r="AB20" i="7"/>
  <c r="AC20" i="7"/>
  <c r="AD20" i="7"/>
  <c r="AE20" i="7"/>
  <c r="AD61" i="7"/>
  <c r="AE61" i="7"/>
  <c r="AF61" i="7"/>
  <c r="AG61" i="7"/>
  <c r="Z61" i="7"/>
  <c r="AH61" i="7"/>
  <c r="AA61" i="7"/>
  <c r="AI61" i="7"/>
  <c r="AB61" i="7"/>
  <c r="AC61" i="7"/>
  <c r="AF76" i="7"/>
  <c r="AG76" i="7"/>
  <c r="Z76" i="7"/>
  <c r="AH76" i="7"/>
  <c r="AA76" i="7"/>
  <c r="AI76" i="7"/>
  <c r="AB76" i="7"/>
  <c r="AC76" i="7"/>
  <c r="AD76" i="7"/>
  <c r="AE76" i="7"/>
  <c r="AB38" i="7"/>
  <c r="AC38" i="7"/>
  <c r="AD38" i="7"/>
  <c r="AE38" i="7"/>
  <c r="AF38" i="7"/>
  <c r="AG38" i="7"/>
  <c r="Z38" i="7"/>
  <c r="AH38" i="7"/>
  <c r="AA38" i="7"/>
  <c r="AI38" i="7"/>
  <c r="AF68" i="7"/>
  <c r="AG68" i="7"/>
  <c r="Z68" i="7"/>
  <c r="AH68" i="7"/>
  <c r="AA68" i="7"/>
  <c r="AI68" i="7"/>
  <c r="AB68" i="7"/>
  <c r="AC68" i="7"/>
  <c r="AD68" i="7"/>
  <c r="AE68" i="7"/>
  <c r="AF36" i="7"/>
  <c r="AG36" i="7"/>
  <c r="Z36" i="7"/>
  <c r="AH36" i="7"/>
  <c r="AA36" i="7"/>
  <c r="AI36" i="7"/>
  <c r="AB36" i="7"/>
  <c r="AC36" i="7"/>
  <c r="AD36" i="7"/>
  <c r="AE36" i="7"/>
  <c r="Z19" i="7"/>
  <c r="AH19" i="7"/>
  <c r="AA19" i="7"/>
  <c r="AI19" i="7"/>
  <c r="AB19" i="7"/>
  <c r="AC19" i="7"/>
  <c r="AD19" i="7"/>
  <c r="AE19" i="7"/>
  <c r="AF19" i="7"/>
  <c r="AG19" i="7"/>
  <c r="AG81" i="7"/>
  <c r="Z81" i="7"/>
  <c r="AH81" i="7"/>
  <c r="AA81" i="7"/>
  <c r="AI81" i="7"/>
  <c r="AB81" i="7"/>
  <c r="AC81" i="7"/>
  <c r="AF81" i="7"/>
  <c r="AD81" i="7"/>
  <c r="AE81" i="7"/>
  <c r="AF40" i="7"/>
  <c r="AG40" i="7"/>
  <c r="Z40" i="7"/>
  <c r="AH40" i="7"/>
  <c r="AA40" i="7"/>
  <c r="AI40" i="7"/>
  <c r="AB40" i="7"/>
  <c r="AC40" i="7"/>
  <c r="AD40" i="7"/>
  <c r="AE40" i="7"/>
  <c r="AD29" i="7"/>
  <c r="AE29" i="7"/>
  <c r="AF29" i="7"/>
  <c r="AG29" i="7"/>
  <c r="Z29" i="7"/>
  <c r="AH29" i="7"/>
  <c r="AA29" i="7"/>
  <c r="AI29" i="7"/>
  <c r="AB29" i="7"/>
  <c r="AC29" i="7"/>
  <c r="AA88" i="7"/>
  <c r="AI88" i="7"/>
  <c r="AB88" i="7"/>
  <c r="AG88" i="7"/>
  <c r="AC88" i="7"/>
  <c r="AH88" i="7"/>
  <c r="AD88" i="7"/>
  <c r="AE88" i="7"/>
  <c r="Z88" i="7"/>
  <c r="AF88" i="7"/>
  <c r="AA96" i="7"/>
  <c r="AI96" i="7"/>
  <c r="AB96" i="7"/>
  <c r="AC96" i="7"/>
  <c r="Z96" i="7"/>
  <c r="AD96" i="7"/>
  <c r="AG96" i="7"/>
  <c r="AE96" i="7"/>
  <c r="AF96" i="7"/>
  <c r="AH96" i="7"/>
  <c r="AF72" i="7"/>
  <c r="AG72" i="7"/>
  <c r="Z72" i="7"/>
  <c r="AH72" i="7"/>
  <c r="AA72" i="7"/>
  <c r="AI72" i="7"/>
  <c r="AB72" i="7"/>
  <c r="AC72" i="7"/>
  <c r="AD72" i="7"/>
  <c r="AE72" i="7"/>
  <c r="AB74" i="7"/>
  <c r="AC74" i="7"/>
  <c r="AD74" i="7"/>
  <c r="AE74" i="7"/>
  <c r="AF74" i="7"/>
  <c r="AG74" i="7"/>
  <c r="Z74" i="7"/>
  <c r="AH74" i="7"/>
  <c r="AA74" i="7"/>
  <c r="AI74" i="7"/>
  <c r="AE90" i="7"/>
  <c r="AF90" i="7"/>
  <c r="AG90" i="7"/>
  <c r="Z90" i="7"/>
  <c r="AH90" i="7"/>
  <c r="AC90" i="7"/>
  <c r="AA90" i="7"/>
  <c r="AI90" i="7"/>
  <c r="AB90" i="7"/>
  <c r="AD90" i="7"/>
  <c r="AB50" i="7"/>
  <c r="AC50" i="7"/>
  <c r="AD50" i="7"/>
  <c r="AE50" i="7"/>
  <c r="AF50" i="7"/>
  <c r="AG50" i="7"/>
  <c r="Z50" i="7"/>
  <c r="AH50" i="7"/>
  <c r="AA50" i="7"/>
  <c r="AI50" i="7"/>
  <c r="AD65" i="7"/>
  <c r="AE65" i="7"/>
  <c r="AF65" i="7"/>
  <c r="AG65" i="7"/>
  <c r="Z65" i="7"/>
  <c r="AH65" i="7"/>
  <c r="AA65" i="7"/>
  <c r="AI65" i="7"/>
  <c r="AB65" i="7"/>
  <c r="AC65" i="7"/>
  <c r="AB26" i="7"/>
  <c r="AC26" i="7"/>
  <c r="AD26" i="7"/>
  <c r="AE26" i="7"/>
  <c r="AF26" i="7"/>
  <c r="AG26" i="7"/>
  <c r="Z26" i="7"/>
  <c r="AH26" i="7"/>
  <c r="AA26" i="7"/>
  <c r="AI26" i="7"/>
  <c r="AD25" i="7"/>
  <c r="AE25" i="7"/>
  <c r="AF25" i="7"/>
  <c r="AG25" i="7"/>
  <c r="Z25" i="7"/>
  <c r="AH25" i="7"/>
  <c r="AA25" i="7"/>
  <c r="AI25" i="7"/>
  <c r="AB25" i="7"/>
  <c r="AC25" i="7"/>
  <c r="Z75" i="7"/>
  <c r="AH75" i="7"/>
  <c r="AA75" i="7"/>
  <c r="AI75" i="7"/>
  <c r="AB75" i="7"/>
  <c r="AC75" i="7"/>
  <c r="AD75" i="7"/>
  <c r="AE75" i="7"/>
  <c r="AF75" i="7"/>
  <c r="AG75" i="7"/>
  <c r="AC95" i="7"/>
  <c r="AI95" i="7"/>
  <c r="AB95" i="7"/>
  <c r="AD95" i="7"/>
  <c r="AA95" i="7"/>
  <c r="AE95" i="7"/>
  <c r="AF95" i="7"/>
  <c r="AG95" i="7"/>
  <c r="Z95" i="7"/>
  <c r="AH95" i="7"/>
  <c r="AD21" i="7"/>
  <c r="AE21" i="7"/>
  <c r="AF21" i="7"/>
  <c r="AG21" i="7"/>
  <c r="Z21" i="7"/>
  <c r="AH21" i="7"/>
  <c r="AA21" i="7"/>
  <c r="AI21" i="7"/>
  <c r="AB21" i="7"/>
  <c r="AC21" i="7"/>
  <c r="AD69" i="7"/>
  <c r="AE69" i="7"/>
  <c r="AF69" i="7"/>
  <c r="AG69" i="7"/>
  <c r="Z69" i="7"/>
  <c r="AH69" i="7"/>
  <c r="AA69" i="7"/>
  <c r="AI69" i="7"/>
  <c r="AB69" i="7"/>
  <c r="AC69" i="7"/>
  <c r="Z71" i="7"/>
  <c r="AH71" i="7"/>
  <c r="AA71" i="7"/>
  <c r="AI71" i="7"/>
  <c r="AB71" i="7"/>
  <c r="AC71" i="7"/>
  <c r="AD71" i="7"/>
  <c r="AE71" i="7"/>
  <c r="AF71" i="7"/>
  <c r="AG71" i="7"/>
  <c r="AD57" i="7"/>
  <c r="AE57" i="7"/>
  <c r="AF57" i="7"/>
  <c r="AG57" i="7"/>
  <c r="Z57" i="7"/>
  <c r="AH57" i="7"/>
  <c r="AA57" i="7"/>
  <c r="AI57" i="7"/>
  <c r="AB57" i="7"/>
  <c r="AC57" i="7"/>
  <c r="AD49" i="7"/>
  <c r="AE49" i="7"/>
  <c r="AF49" i="7"/>
  <c r="AG49" i="7"/>
  <c r="Z49" i="7"/>
  <c r="AH49" i="7"/>
  <c r="AA49" i="7"/>
  <c r="AI49" i="7"/>
  <c r="AB49" i="7"/>
  <c r="AC49" i="7"/>
  <c r="AB58" i="7"/>
  <c r="AC58" i="7"/>
  <c r="AD58" i="7"/>
  <c r="AE58" i="7"/>
  <c r="AF58" i="7"/>
  <c r="AG58" i="7"/>
  <c r="Z58" i="7"/>
  <c r="AH58" i="7"/>
  <c r="AA58" i="7"/>
  <c r="AI58" i="7"/>
  <c r="AF32" i="7"/>
  <c r="AG32" i="7"/>
  <c r="Z32" i="7"/>
  <c r="AH32" i="7"/>
  <c r="AA32" i="7"/>
  <c r="AI32" i="7"/>
  <c r="AB32" i="7"/>
  <c r="AC32" i="7"/>
  <c r="AD32" i="7"/>
  <c r="AE32" i="7"/>
  <c r="AF28" i="7"/>
  <c r="AG28" i="7"/>
  <c r="Z28" i="7"/>
  <c r="AH28" i="7"/>
  <c r="AA28" i="7"/>
  <c r="AI28" i="7"/>
  <c r="AB28" i="7"/>
  <c r="AC28" i="7"/>
  <c r="AD28" i="7"/>
  <c r="AE28" i="7"/>
  <c r="Z51" i="7"/>
  <c r="AH51" i="7"/>
  <c r="AA51" i="7"/>
  <c r="AI51" i="7"/>
  <c r="AB51" i="7"/>
  <c r="AC51" i="7"/>
  <c r="AD51" i="7"/>
  <c r="AE51" i="7"/>
  <c r="AF51" i="7"/>
  <c r="AG51" i="7"/>
  <c r="AD53" i="7"/>
  <c r="AE53" i="7"/>
  <c r="AF53" i="7"/>
  <c r="AG53" i="7"/>
  <c r="Z53" i="7"/>
  <c r="AH53" i="7"/>
  <c r="AA53" i="7"/>
  <c r="AI53" i="7"/>
  <c r="AB53" i="7"/>
  <c r="AC53" i="7"/>
  <c r="Z31" i="7"/>
  <c r="AH31" i="7"/>
  <c r="AA31" i="7"/>
  <c r="AI31" i="7"/>
  <c r="AB31" i="7"/>
  <c r="AC31" i="7"/>
  <c r="AD31" i="7"/>
  <c r="AE31" i="7"/>
  <c r="AF31" i="7"/>
  <c r="AG31" i="7"/>
  <c r="Z63" i="7"/>
  <c r="AH63" i="7"/>
  <c r="AA63" i="7"/>
  <c r="AI63" i="7"/>
  <c r="AB63" i="7"/>
  <c r="AC63" i="7"/>
  <c r="AD63" i="7"/>
  <c r="AE63" i="7"/>
  <c r="AF63" i="7"/>
  <c r="AG63" i="7"/>
  <c r="Z55" i="7"/>
  <c r="AH55" i="7"/>
  <c r="AA55" i="7"/>
  <c r="AI55" i="7"/>
  <c r="AB55" i="7"/>
  <c r="AC55" i="7"/>
  <c r="AD55" i="7"/>
  <c r="AE55" i="7"/>
  <c r="AF55" i="7"/>
  <c r="AG55" i="7"/>
  <c r="AC79" i="7"/>
  <c r="AD79" i="7"/>
  <c r="AA79" i="7"/>
  <c r="AE79" i="7"/>
  <c r="AF79" i="7"/>
  <c r="AG79" i="7"/>
  <c r="AI79" i="7"/>
  <c r="Z79" i="7"/>
  <c r="AH79" i="7"/>
  <c r="AB79" i="7"/>
  <c r="Z23" i="7"/>
  <c r="AH23" i="7"/>
  <c r="AA23" i="7"/>
  <c r="AI23" i="7"/>
  <c r="AB23" i="7"/>
  <c r="AC23" i="7"/>
  <c r="AD23" i="7"/>
  <c r="AE23" i="7"/>
  <c r="AF23" i="7"/>
  <c r="AG23" i="7"/>
  <c r="Z47" i="7"/>
  <c r="AH47" i="7"/>
  <c r="AA47" i="7"/>
  <c r="AI47" i="7"/>
  <c r="AB47" i="7"/>
  <c r="AC47" i="7"/>
  <c r="AD47" i="7"/>
  <c r="AE47" i="7"/>
  <c r="AF47" i="7"/>
  <c r="AG47" i="7"/>
  <c r="Z27" i="7"/>
  <c r="AH27" i="7"/>
  <c r="AA27" i="7"/>
  <c r="AI27" i="7"/>
  <c r="AB27" i="7"/>
  <c r="AC27" i="7"/>
  <c r="AD27" i="7"/>
  <c r="AE27" i="7"/>
  <c r="AF27" i="7"/>
  <c r="AG27" i="7"/>
  <c r="AD73" i="7"/>
  <c r="AE73" i="7"/>
  <c r="AF73" i="7"/>
  <c r="AG73" i="7"/>
  <c r="Z73" i="7"/>
  <c r="AH73" i="7"/>
  <c r="AA73" i="7"/>
  <c r="AI73" i="7"/>
  <c r="AB73" i="7"/>
  <c r="AC73" i="7"/>
  <c r="AG85" i="7"/>
  <c r="Z85" i="7"/>
  <c r="AH85" i="7"/>
  <c r="AA85" i="7"/>
  <c r="AI85" i="7"/>
  <c r="AF85" i="7"/>
  <c r="AB85" i="7"/>
  <c r="AE85" i="7"/>
  <c r="AC85" i="7"/>
  <c r="AD85" i="7"/>
  <c r="AB46" i="7"/>
  <c r="AC46" i="7"/>
  <c r="AD46" i="7"/>
  <c r="AE46" i="7"/>
  <c r="AF46" i="7"/>
  <c r="AG46" i="7"/>
  <c r="Z46" i="7"/>
  <c r="AH46" i="7"/>
  <c r="AA46" i="7"/>
  <c r="AI46" i="7"/>
  <c r="AF48" i="7"/>
  <c r="AG48" i="7"/>
  <c r="Z48" i="7"/>
  <c r="AH48" i="7"/>
  <c r="AA48" i="7"/>
  <c r="AI48" i="7"/>
  <c r="AB48" i="7"/>
  <c r="AC48" i="7"/>
  <c r="AD48" i="7"/>
  <c r="AE48" i="7"/>
  <c r="AB62" i="7"/>
  <c r="AC62" i="7"/>
  <c r="AD62" i="7"/>
  <c r="AE62" i="7"/>
  <c r="AF62" i="7"/>
  <c r="AG62" i="7"/>
  <c r="Z62" i="7"/>
  <c r="AH62" i="7"/>
  <c r="AI62" i="7"/>
  <c r="AA62" i="7"/>
  <c r="AD33" i="7"/>
  <c r="AE33" i="7"/>
  <c r="AF33" i="7"/>
  <c r="AG33" i="7"/>
  <c r="Z33" i="7"/>
  <c r="AH33" i="7"/>
  <c r="AA33" i="7"/>
  <c r="AI33" i="7"/>
  <c r="AB33" i="7"/>
  <c r="AC33" i="7"/>
  <c r="Z35" i="7"/>
  <c r="AH35" i="7"/>
  <c r="AA35" i="7"/>
  <c r="AI35" i="7"/>
  <c r="AB35" i="7"/>
  <c r="AC35" i="7"/>
  <c r="AD35" i="7"/>
  <c r="AE35" i="7"/>
  <c r="AF35" i="7"/>
  <c r="AG35" i="7"/>
  <c r="AB22" i="7"/>
  <c r="AC22" i="7"/>
  <c r="AD22" i="7"/>
  <c r="AE22" i="7"/>
  <c r="AF22" i="7"/>
  <c r="AG22" i="7"/>
  <c r="Z22" i="7"/>
  <c r="AH22" i="7"/>
  <c r="AA22" i="7"/>
  <c r="AI22" i="7"/>
  <c r="Z43" i="7"/>
  <c r="AH43" i="7"/>
  <c r="AA43" i="7"/>
  <c r="AI43" i="7"/>
  <c r="AB43" i="7"/>
  <c r="AC43" i="7"/>
  <c r="AD43" i="7"/>
  <c r="AE43" i="7"/>
  <c r="AF43" i="7"/>
  <c r="AG43" i="7"/>
  <c r="AD77" i="7"/>
  <c r="AE77" i="7"/>
  <c r="AF77" i="7"/>
  <c r="AG77" i="7"/>
  <c r="Z77" i="7"/>
  <c r="AH77" i="7"/>
  <c r="AA77" i="7"/>
  <c r="AI77" i="7"/>
  <c r="AB77" i="7"/>
  <c r="AC77" i="7"/>
  <c r="AE94" i="7"/>
  <c r="AF94" i="7"/>
  <c r="AG94" i="7"/>
  <c r="Z94" i="7"/>
  <c r="AH94" i="7"/>
  <c r="AD94" i="7"/>
  <c r="AA94" i="7"/>
  <c r="AI94" i="7"/>
  <c r="AB94" i="7"/>
  <c r="AC94" i="7"/>
  <c r="AC83" i="7"/>
  <c r="AA83" i="7"/>
  <c r="AB83" i="7"/>
  <c r="AD83" i="7"/>
  <c r="AE83" i="7"/>
  <c r="AF83" i="7"/>
  <c r="AG83" i="7"/>
  <c r="Z83" i="7"/>
  <c r="AH83" i="7"/>
  <c r="AI83" i="7"/>
  <c r="AD41" i="7"/>
  <c r="AE41" i="7"/>
  <c r="AF41" i="7"/>
  <c r="AG41" i="7"/>
  <c r="Z41" i="7"/>
  <c r="AH41" i="7"/>
  <c r="AA41" i="7"/>
  <c r="AI41" i="7"/>
  <c r="AB41" i="7"/>
  <c r="AC41" i="7"/>
  <c r="AF52" i="7"/>
  <c r="AG52" i="7"/>
  <c r="Z52" i="7"/>
  <c r="AH52" i="7"/>
  <c r="AA52" i="7"/>
  <c r="AI52" i="7"/>
  <c r="AB52" i="7"/>
  <c r="AC52" i="7"/>
  <c r="AD52" i="7"/>
  <c r="AE52" i="7"/>
  <c r="AB66" i="7"/>
  <c r="AC66" i="7"/>
  <c r="AD66" i="7"/>
  <c r="AE66" i="7"/>
  <c r="AF66" i="7"/>
  <c r="AG66" i="7"/>
  <c r="Z66" i="7"/>
  <c r="AH66" i="7"/>
  <c r="AA66" i="7"/>
  <c r="AI66" i="7"/>
  <c r="AA92" i="7"/>
  <c r="AI92" i="7"/>
  <c r="AB92" i="7"/>
  <c r="AC92" i="7"/>
  <c r="Z92" i="7"/>
  <c r="AD92" i="7"/>
  <c r="AE92" i="7"/>
  <c r="AH92" i="7"/>
  <c r="AF92" i="7"/>
  <c r="AG92" i="7"/>
  <c r="AJ93" i="7"/>
  <c r="AK93" i="7" s="1" a="1"/>
  <c r="AK93" i="7" s="1"/>
  <c r="AJ54" i="7"/>
  <c r="AK54" i="7" s="1" a="1"/>
  <c r="AK54" i="7" s="1"/>
  <c r="AJ84" i="7"/>
  <c r="AK84" i="7" s="1" a="1"/>
  <c r="AK84" i="7" s="1"/>
  <c r="AJ82" i="7"/>
  <c r="AK82" i="7" s="1" a="1"/>
  <c r="AK82" i="7" s="1"/>
  <c r="AJ97" i="7"/>
  <c r="AK97" i="7" s="1" a="1"/>
  <c r="AK97" i="7" s="1"/>
  <c r="AJ30" i="7"/>
  <c r="AK30" i="7" s="1" a="1"/>
  <c r="AK30" i="7" s="1"/>
  <c r="AJ56" i="7"/>
  <c r="AK56" i="7" s="1" a="1"/>
  <c r="AK56" i="7" s="1"/>
  <c r="AJ89" i="7"/>
  <c r="AK89" i="7" s="1" a="1"/>
  <c r="AK89" i="7" s="1"/>
  <c r="AJ64" i="7"/>
  <c r="AK64" i="7" s="1" a="1"/>
  <c r="AK64" i="7" s="1"/>
  <c r="AJ86" i="7"/>
  <c r="AK86" i="7" s="1" a="1"/>
  <c r="AK86" i="7" s="1"/>
  <c r="AJ60" i="7"/>
  <c r="AK60" i="7" s="1" a="1"/>
  <c r="AK60" i="7" s="1"/>
  <c r="AJ24" i="7"/>
  <c r="AK24" i="7" s="1" a="1"/>
  <c r="AK24" i="7" s="1"/>
  <c r="AJ87" i="7"/>
  <c r="AK87" i="7" s="1" a="1"/>
  <c r="AK87" i="7" s="1"/>
  <c r="B9" i="2"/>
  <c r="AJ70" i="7" l="1"/>
  <c r="AK70" i="7" s="1" a="1"/>
  <c r="AK70" i="7" s="1"/>
  <c r="AJ39" i="7"/>
  <c r="AK39" i="7" s="1" a="1"/>
  <c r="AK39" i="7" s="1"/>
  <c r="AJ76" i="7"/>
  <c r="AK76" i="7" s="1" a="1"/>
  <c r="AK76" i="7" s="1"/>
  <c r="AJ67" i="7"/>
  <c r="AK67" i="7" s="1" a="1"/>
  <c r="AK67" i="7" s="1"/>
  <c r="AJ91" i="7"/>
  <c r="AK91" i="7" s="1" a="1"/>
  <c r="AK91" i="7" s="1"/>
  <c r="AJ26" i="7"/>
  <c r="AK26" i="7" s="1" a="1"/>
  <c r="AK26" i="7" s="1"/>
  <c r="AJ92" i="7"/>
  <c r="AK92" i="7" s="1" a="1"/>
  <c r="AK92" i="7" s="1"/>
  <c r="AJ66" i="7"/>
  <c r="AK66" i="7" s="1" a="1"/>
  <c r="AK66" i="7" s="1"/>
  <c r="AJ52" i="7"/>
  <c r="AK52" i="7" s="1" a="1"/>
  <c r="AK52" i="7" s="1"/>
  <c r="AJ22" i="7"/>
  <c r="AK22" i="7" s="1" a="1"/>
  <c r="AK22" i="7" s="1"/>
  <c r="AJ62" i="7"/>
  <c r="AK62" i="7" s="1" a="1"/>
  <c r="AK62" i="7" s="1"/>
  <c r="AJ48" i="7"/>
  <c r="AK48" i="7" s="1" a="1"/>
  <c r="AK48" i="7" s="1"/>
  <c r="AJ46" i="7"/>
  <c r="AK46" i="7" s="1" a="1"/>
  <c r="AK46" i="7" s="1"/>
  <c r="AJ58" i="7"/>
  <c r="AK58" i="7" s="1" a="1"/>
  <c r="AK58" i="7" s="1"/>
  <c r="AJ49" i="7"/>
  <c r="AK49" i="7" s="1" a="1"/>
  <c r="AK49" i="7" s="1"/>
  <c r="AJ57" i="7"/>
  <c r="AK57" i="7" s="1" a="1"/>
  <c r="AK57" i="7" s="1"/>
  <c r="AJ65" i="7"/>
  <c r="AK65" i="7" s="1" a="1"/>
  <c r="AK65" i="7" s="1"/>
  <c r="AJ74" i="7"/>
  <c r="AK74" i="7" s="1" a="1"/>
  <c r="AK74" i="7" s="1"/>
  <c r="AJ85" i="7"/>
  <c r="AK85" i="7" s="1" a="1"/>
  <c r="AK85" i="7" s="1"/>
  <c r="AJ79" i="7"/>
  <c r="AK79" i="7" s="1" a="1"/>
  <c r="AK79" i="7" s="1"/>
  <c r="AJ28" i="7"/>
  <c r="AK28" i="7" s="1" a="1"/>
  <c r="AK28" i="7" s="1"/>
  <c r="AJ32" i="7"/>
  <c r="AK32" i="7" s="1" a="1"/>
  <c r="AK32" i="7" s="1"/>
  <c r="AJ50" i="7"/>
  <c r="AK50" i="7" s="1" a="1"/>
  <c r="AK50" i="7" s="1"/>
  <c r="AJ90" i="7"/>
  <c r="AK90" i="7" s="1" a="1"/>
  <c r="AK90" i="7" s="1"/>
  <c r="AJ36" i="7"/>
  <c r="AK36" i="7" s="1" a="1"/>
  <c r="AK36" i="7" s="1"/>
  <c r="AJ68" i="7"/>
  <c r="AK68" i="7" s="1" a="1"/>
  <c r="AK68" i="7" s="1"/>
  <c r="AJ20" i="7"/>
  <c r="AK20" i="7" s="1" a="1"/>
  <c r="AK20" i="7" s="1"/>
  <c r="AJ78" i="7"/>
  <c r="AK78" i="7" s="1" a="1"/>
  <c r="AK78" i="7" s="1"/>
  <c r="AJ80" i="7"/>
  <c r="AK80" i="7" s="1" a="1"/>
  <c r="AK80" i="7" s="1"/>
  <c r="AJ34" i="7"/>
  <c r="AK34" i="7" s="1" a="1"/>
  <c r="AK34" i="7" s="1"/>
  <c r="AJ37" i="7"/>
  <c r="AK37" i="7" s="1" a="1"/>
  <c r="AK37" i="7" s="1"/>
  <c r="AJ96" i="7"/>
  <c r="AK96" i="7" s="1" a="1"/>
  <c r="AK96" i="7" s="1"/>
  <c r="AJ98" i="7"/>
  <c r="AK98" i="7" s="1" a="1"/>
  <c r="AK98" i="7" s="1"/>
  <c r="AJ41" i="7"/>
  <c r="AK41" i="7" s="1" a="1"/>
  <c r="AK41" i="7" s="1"/>
  <c r="AJ95" i="7"/>
  <c r="AK95" i="7" s="1" a="1"/>
  <c r="AK95" i="7" s="1"/>
  <c r="AJ72" i="7"/>
  <c r="AK72" i="7" s="1" a="1"/>
  <c r="AK72" i="7" s="1"/>
  <c r="AJ42" i="7"/>
  <c r="AK42" i="7" s="1" a="1"/>
  <c r="AK42" i="7" s="1"/>
  <c r="AJ94" i="7"/>
  <c r="AK94" i="7" s="1" a="1"/>
  <c r="AK94" i="7" s="1"/>
  <c r="AJ73" i="7"/>
  <c r="AK73" i="7" s="1" a="1"/>
  <c r="AK73" i="7" s="1"/>
  <c r="AJ19" i="7"/>
  <c r="AK19" i="7" s="1" a="1"/>
  <c r="AK19" i="7" s="1"/>
  <c r="AJ31" i="7"/>
  <c r="AK31" i="7" s="1" a="1"/>
  <c r="AK31" i="7" s="1"/>
  <c r="AJ35" i="7"/>
  <c r="AK35" i="7" s="1" a="1"/>
  <c r="AK35" i="7" s="1"/>
  <c r="AJ44" i="7"/>
  <c r="AK44" i="7" s="1" a="1"/>
  <c r="AK44" i="7" s="1"/>
  <c r="AJ27" i="7"/>
  <c r="AK27" i="7" s="1" a="1"/>
  <c r="AK27" i="7" s="1"/>
  <c r="AJ83" i="7"/>
  <c r="AK83" i="7" s="1" a="1"/>
  <c r="AK83" i="7" s="1"/>
  <c r="AJ88" i="7"/>
  <c r="AK88" i="7" s="1" a="1"/>
  <c r="AK88" i="7" s="1"/>
  <c r="AJ33" i="7"/>
  <c r="AK33" i="7" s="1" a="1"/>
  <c r="AK33" i="7" s="1"/>
  <c r="AJ53" i="7"/>
  <c r="AK53" i="7" s="1" a="1"/>
  <c r="AK53" i="7" s="1"/>
  <c r="AJ25" i="7"/>
  <c r="AK25" i="7" s="1" a="1"/>
  <c r="AK25" i="7" s="1"/>
  <c r="AJ55" i="7"/>
  <c r="AK55" i="7" s="1" a="1"/>
  <c r="AK55" i="7" s="1"/>
  <c r="AJ75" i="7"/>
  <c r="AK75" i="7" s="1" a="1"/>
  <c r="AK75" i="7" s="1"/>
  <c r="AJ40" i="7"/>
  <c r="AK40" i="7" s="1" a="1"/>
  <c r="AK40" i="7" s="1"/>
  <c r="AJ59" i="7"/>
  <c r="AK59" i="7" s="1" a="1"/>
  <c r="AK59" i="7" s="1"/>
  <c r="AJ63" i="7"/>
  <c r="AK63" i="7" s="1" a="1"/>
  <c r="AK63" i="7" s="1"/>
  <c r="AJ29" i="7"/>
  <c r="AK29" i="7" s="1" a="1"/>
  <c r="AK29" i="7" s="1"/>
  <c r="AJ45" i="7"/>
  <c r="AK45" i="7" s="1" a="1"/>
  <c r="AK45" i="7" s="1"/>
  <c r="AJ61" i="7"/>
  <c r="AK61" i="7" s="1" a="1"/>
  <c r="AK61" i="7" s="1"/>
  <c r="AJ51" i="7"/>
  <c r="AK51" i="7" s="1" a="1"/>
  <c r="AK51" i="7" s="1"/>
  <c r="AJ77" i="7"/>
  <c r="AK77" i="7" s="1" a="1"/>
  <c r="AK77" i="7" s="1"/>
  <c r="AJ71" i="7"/>
  <c r="AK71" i="7" s="1" a="1"/>
  <c r="AK71" i="7" s="1"/>
  <c r="AJ43" i="7"/>
  <c r="AK43" i="7" s="1" a="1"/>
  <c r="AK43" i="7" s="1"/>
  <c r="AJ21" i="7"/>
  <c r="AK21" i="7" s="1" a="1"/>
  <c r="AK21" i="7" s="1"/>
  <c r="AJ69" i="7"/>
  <c r="AK69" i="7" s="1" a="1"/>
  <c r="AK69" i="7" s="1"/>
  <c r="AJ38" i="7"/>
  <c r="AK38" i="7" s="1" a="1"/>
  <c r="AK38" i="7" s="1"/>
  <c r="AJ81" i="7"/>
  <c r="AK81" i="7" s="1" a="1"/>
  <c r="AK81" i="7" s="1"/>
  <c r="AJ23" i="7"/>
  <c r="AK23" i="7" s="1" a="1"/>
  <c r="AK23" i="7" s="1"/>
  <c r="AJ47" i="7"/>
  <c r="AK47" i="7" s="1" a="1"/>
  <c r="AK47" i="7" s="1"/>
  <c r="Z15" i="7" l="1"/>
  <c r="AH15" i="7"/>
  <c r="AA15" i="7"/>
  <c r="AI15" i="7"/>
  <c r="AB15" i="7"/>
  <c r="AC15" i="7"/>
  <c r="AD15" i="7"/>
  <c r="AE15" i="7"/>
  <c r="AF15" i="7"/>
  <c r="AG15" i="7"/>
  <c r="AF16" i="7" l="1"/>
  <c r="AG16" i="7"/>
  <c r="Z16" i="7"/>
  <c r="AH16" i="7"/>
  <c r="AA16" i="7"/>
  <c r="AI16" i="7"/>
  <c r="AB16" i="7"/>
  <c r="AC16" i="7"/>
  <c r="AD16" i="7"/>
  <c r="AE16" i="7"/>
  <c r="AD17" i="7"/>
  <c r="AE17" i="7"/>
  <c r="AF17" i="7"/>
  <c r="AG17" i="7"/>
  <c r="Z17" i="7"/>
  <c r="AH17" i="7"/>
  <c r="AA17" i="7"/>
  <c r="AI17" i="7"/>
  <c r="AB17" i="7"/>
  <c r="AC17" i="7"/>
  <c r="AB18" i="7"/>
  <c r="AC18" i="7"/>
  <c r="AD18" i="7"/>
  <c r="AE18" i="7"/>
  <c r="AF18" i="7"/>
  <c r="AG18" i="7"/>
  <c r="Z18" i="7"/>
  <c r="AH18" i="7"/>
  <c r="AA18" i="7"/>
  <c r="AI18" i="7"/>
  <c r="AB14" i="7"/>
  <c r="AC14" i="7"/>
  <c r="AD14" i="7"/>
  <c r="AE14" i="7"/>
  <c r="AF14" i="7"/>
  <c r="AG14" i="7"/>
  <c r="Z14" i="7"/>
  <c r="AH14" i="7"/>
  <c r="AA14" i="7"/>
  <c r="AI14" i="7"/>
  <c r="AD13" i="7"/>
  <c r="AE13" i="7"/>
  <c r="AF13" i="7"/>
  <c r="AG13" i="7"/>
  <c r="Z13" i="7"/>
  <c r="AH13" i="7"/>
  <c r="AA13" i="7"/>
  <c r="AI13" i="7"/>
  <c r="AB13" i="7"/>
  <c r="AC13" i="7"/>
  <c r="AJ15" i="7"/>
  <c r="AK15" i="7" s="1" a="1"/>
  <c r="AK15" i="7" s="1"/>
  <c r="AJ13" i="7" l="1"/>
  <c r="AK13" i="7" s="1" a="1"/>
  <c r="AK13" i="7" s="1"/>
  <c r="AJ14" i="7"/>
  <c r="AK14" i="7" s="1" a="1"/>
  <c r="AK14" i="7" s="1"/>
  <c r="AJ17" i="7"/>
  <c r="AK17" i="7" s="1" a="1"/>
  <c r="AK17" i="7" s="1"/>
  <c r="AJ18" i="7"/>
  <c r="AK18" i="7" s="1" a="1"/>
  <c r="AK18" i="7" s="1"/>
  <c r="AJ16" i="7"/>
  <c r="AK16" i="7" s="1" a="1"/>
  <c r="AK16" i="7" s="1"/>
  <c r="E21" i="9" l="1"/>
  <c r="G21" i="9" s="1"/>
  <c r="M21" i="9"/>
  <c r="O21" i="9" s="1"/>
  <c r="E27" i="9"/>
  <c r="G27" i="9" s="1"/>
  <c r="M27" i="9"/>
  <c r="O27" i="9" s="1"/>
  <c r="E20" i="9"/>
  <c r="G20" i="9" s="1"/>
  <c r="M20" i="9"/>
  <c r="O20" i="9" s="1"/>
  <c r="E26" i="9"/>
  <c r="G26" i="9" s="1"/>
  <c r="M26" i="9"/>
  <c r="O26" i="9" s="1"/>
  <c r="M22" i="9"/>
  <c r="O22" i="9" s="1"/>
  <c r="E22" i="9"/>
  <c r="G22" i="9" s="1"/>
  <c r="E25" i="9"/>
  <c r="G25" i="9" s="1"/>
  <c r="M25" i="9"/>
  <c r="O25" i="9" s="1"/>
  <c r="E19" i="9"/>
  <c r="G19" i="9" s="1"/>
  <c r="M19" i="9"/>
  <c r="O19" i="9" s="1"/>
  <c r="E24" i="9"/>
  <c r="G24" i="9" s="1"/>
  <c r="M24" i="9"/>
  <c r="O24" i="9" s="1"/>
  <c r="E18" i="9"/>
  <c r="M18" i="9"/>
  <c r="M23" i="9"/>
  <c r="O23" i="9" s="1"/>
  <c r="F20" i="2"/>
  <c r="E23" i="9"/>
  <c r="G23" i="9" s="1"/>
  <c r="F18" i="2"/>
  <c r="F19" i="2"/>
  <c r="F16" i="2"/>
  <c r="F17" i="2"/>
  <c r="F22" i="2"/>
  <c r="F24" i="2"/>
  <c r="F21" i="2"/>
  <c r="F23" i="2"/>
  <c r="M28" i="9" l="1"/>
  <c r="E28" i="9"/>
  <c r="G18" i="9"/>
  <c r="G28" i="9" s="1"/>
  <c r="O18" i="9"/>
  <c r="O28" i="9" s="1"/>
  <c r="F15" i="2"/>
  <c r="F25" i="2" s="1"/>
  <c r="F12" i="7" l="1"/>
  <c r="H12" i="7" s="1"/>
  <c r="O12" i="7" s="1" a="1"/>
  <c r="O12" i="7" s="1"/>
  <c r="F11" i="7" l="1"/>
  <c r="AB12" i="7"/>
  <c r="AC12" i="7"/>
  <c r="AG12" i="7"/>
  <c r="AH12" i="7"/>
  <c r="AF12" i="7"/>
  <c r="AD12" i="7"/>
  <c r="AI12" i="7"/>
  <c r="AE12" i="7"/>
  <c r="Z12" i="7"/>
  <c r="AA12" i="7"/>
  <c r="AJ12" i="7" l="1"/>
  <c r="AK12" i="7" s="1" a="1"/>
  <c r="AK12" i="7" s="1"/>
  <c r="H11" i="7"/>
  <c r="F10" i="7" s="1"/>
  <c r="H10" i="7" s="1"/>
  <c r="O10" i="7" l="1" a="1"/>
  <c r="O10" i="7" s="1"/>
  <c r="AA10" i="7" s="1"/>
  <c r="W9" i="1"/>
  <c r="U9" i="1" s="1"/>
  <c r="U13" i="1"/>
  <c r="W11" i="1"/>
  <c r="U11" i="1" s="1"/>
  <c r="W14" i="1"/>
  <c r="U14" i="1" s="1"/>
  <c r="W12" i="1"/>
  <c r="U12" i="1" s="1"/>
  <c r="W10" i="1"/>
  <c r="U10" i="1" s="1"/>
  <c r="F99" i="7"/>
  <c r="O11" i="7" a="1"/>
  <c r="O11" i="7" s="1"/>
  <c r="H99" i="7"/>
  <c r="AD10" i="7" l="1"/>
  <c r="Z10" i="7"/>
  <c r="AB10" i="7"/>
  <c r="AH10" i="7"/>
  <c r="AE10" i="7"/>
  <c r="AG10" i="7"/>
  <c r="AC10" i="7"/>
  <c r="AI10" i="7"/>
  <c r="AF10" i="7"/>
  <c r="S12" i="1"/>
  <c r="T12" i="1"/>
  <c r="S14" i="1"/>
  <c r="T14" i="1"/>
  <c r="S13" i="1"/>
  <c r="T13" i="1"/>
  <c r="T9" i="1"/>
  <c r="S9" i="1"/>
  <c r="T10" i="1"/>
  <c r="S10" i="1"/>
  <c r="S11" i="1"/>
  <c r="T11" i="1"/>
  <c r="W292" i="1"/>
  <c r="AC11" i="7"/>
  <c r="AH11" i="7"/>
  <c r="AD11" i="7"/>
  <c r="Z11" i="7"/>
  <c r="AE11" i="7"/>
  <c r="AF11" i="7"/>
  <c r="AA11" i="7"/>
  <c r="AA99" i="7" s="1"/>
  <c r="AI11" i="7"/>
  <c r="AG11" i="7"/>
  <c r="AB11" i="7"/>
  <c r="O99" i="7"/>
  <c r="AF99" i="7" l="1"/>
  <c r="AE99" i="7"/>
  <c r="AD99" i="7"/>
  <c r="AH99" i="7"/>
  <c r="AC99" i="7"/>
  <c r="AB99" i="7"/>
  <c r="AJ10" i="7"/>
  <c r="AK10" i="7" s="1" a="1"/>
  <c r="AK10" i="7" s="1"/>
  <c r="AG99" i="7"/>
  <c r="AI99" i="7"/>
  <c r="AJ11" i="7"/>
  <c r="Z99" i="7"/>
  <c r="T292" i="1"/>
  <c r="U292" i="1"/>
  <c r="S292" i="1" l="1"/>
  <c r="AK11" i="7" a="1"/>
  <c r="AK11" i="7" s="1"/>
  <c r="AJ99" i="7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<sst xmlns="http://schemas.openxmlformats.org/spreadsheetml/2006/main" count="1495" uniqueCount="287">
  <si>
    <t>Stand Polis</t>
  </si>
  <si>
    <t>Algemeen</t>
  </si>
  <si>
    <t>Klant</t>
  </si>
  <si>
    <t>Verz. Waarde</t>
  </si>
  <si>
    <t>Jaarpremie</t>
  </si>
  <si>
    <t>Polisnummer</t>
  </si>
  <si>
    <t>NAB-nummer</t>
  </si>
  <si>
    <t>-</t>
  </si>
  <si>
    <t>Verzekeringnemer</t>
  </si>
  <si>
    <t>Eindtotalen</t>
  </si>
  <si>
    <t>Behorende bij</t>
  </si>
  <si>
    <t>Mutatiedatum</t>
  </si>
  <si>
    <t>Periode van:</t>
  </si>
  <si>
    <t>Periode tot:</t>
  </si>
  <si>
    <t>Algemene gegevens</t>
  </si>
  <si>
    <t>Huidige waarde van interest</t>
  </si>
  <si>
    <t>Vorige waarde inc. Mutaties</t>
  </si>
  <si>
    <t>Gegevens vorige polis</t>
  </si>
  <si>
    <t>Verzekerde</t>
  </si>
  <si>
    <t>Certificaat</t>
  </si>
  <si>
    <t>Sub</t>
  </si>
  <si>
    <t>Verzekerde interest</t>
  </si>
  <si>
    <t>Bestemming</t>
  </si>
  <si>
    <t>Omschrijving</t>
  </si>
  <si>
    <t>Schadevergoedingstermijn</t>
  </si>
  <si>
    <t>Bouwaard</t>
  </si>
  <si>
    <t>Getaxeerd</t>
  </si>
  <si>
    <t>Taxateur</t>
  </si>
  <si>
    <t>Taxatiedatum</t>
  </si>
  <si>
    <t>Rapportnummer</t>
  </si>
  <si>
    <t>Geldigheid</t>
  </si>
  <si>
    <t>Adres</t>
  </si>
  <si>
    <t>Postcode</t>
  </si>
  <si>
    <t>Plaats</t>
  </si>
  <si>
    <t>Land</t>
  </si>
  <si>
    <t>Vorkbedrag</t>
  </si>
  <si>
    <t>Premiegrondslag</t>
  </si>
  <si>
    <t>Indexverschil</t>
  </si>
  <si>
    <t>Verzekerde Waarde</t>
  </si>
  <si>
    <t>Index nieuw</t>
  </si>
  <si>
    <t>Mutaties</t>
  </si>
  <si>
    <t>Verz. Waarde Oud:</t>
  </si>
  <si>
    <t>Index oud</t>
  </si>
  <si>
    <t>Promillage 1</t>
  </si>
  <si>
    <t>Promillage 2</t>
  </si>
  <si>
    <t>Promillage 3</t>
  </si>
  <si>
    <t>Promillage 4</t>
  </si>
  <si>
    <t>Promillage 5</t>
  </si>
  <si>
    <t>Promillage 6</t>
  </si>
  <si>
    <t>Promillage 7</t>
  </si>
  <si>
    <t>Promillage 8</t>
  </si>
  <si>
    <t>Promillage 9</t>
  </si>
  <si>
    <t>Promillage 10</t>
  </si>
  <si>
    <t>Total</t>
  </si>
  <si>
    <t>Show</t>
  </si>
  <si>
    <t>Hide if there is only 1 cert. No.</t>
  </si>
  <si>
    <t>Hide if not applicable</t>
  </si>
  <si>
    <t>Always hide</t>
  </si>
  <si>
    <t>Locatie</t>
  </si>
  <si>
    <t>Soort interest</t>
  </si>
  <si>
    <t>Gegevens mutaties</t>
  </si>
  <si>
    <t>Promillages</t>
  </si>
  <si>
    <t>Premieverrekening</t>
  </si>
  <si>
    <t>Soort mutatie</t>
  </si>
  <si>
    <t>Subnummer</t>
  </si>
  <si>
    <t>Oude waarde</t>
  </si>
  <si>
    <t>Nieuwe waarde</t>
  </si>
  <si>
    <t>Som mutaties</t>
  </si>
  <si>
    <t>Vervaldatum</t>
  </si>
  <si>
    <t>Dagen</t>
  </si>
  <si>
    <t>Dagen per jaar</t>
  </si>
  <si>
    <t>Sprake van CAD?</t>
  </si>
  <si>
    <t>Berekeningswijze</t>
  </si>
  <si>
    <t>Totaal</t>
  </si>
  <si>
    <t>Premie 1</t>
  </si>
  <si>
    <t>Premie 2</t>
  </si>
  <si>
    <t>Premie 3</t>
  </si>
  <si>
    <t>Premie 4</t>
  </si>
  <si>
    <t>Premie 5</t>
  </si>
  <si>
    <t>Premie 6</t>
  </si>
  <si>
    <t>Premie 7</t>
  </si>
  <si>
    <t>Premie 8</t>
  </si>
  <si>
    <t>Premie 9</t>
  </si>
  <si>
    <t>Premie 10</t>
  </si>
  <si>
    <t xml:space="preserve">Totaal </t>
  </si>
  <si>
    <t>Boeking</t>
  </si>
  <si>
    <t>Nee</t>
  </si>
  <si>
    <t>Pro rata</t>
  </si>
  <si>
    <t>Hide</t>
  </si>
  <si>
    <t xml:space="preserve">Termijn: </t>
  </si>
  <si>
    <t>Datum</t>
  </si>
  <si>
    <t xml:space="preserve">Van </t>
  </si>
  <si>
    <t>Tot</t>
  </si>
  <si>
    <t>Verzekeraar</t>
  </si>
  <si>
    <t>Relatienummer</t>
  </si>
  <si>
    <t>Aandeel</t>
  </si>
  <si>
    <t>Al geboekt met nota</t>
  </si>
  <si>
    <t>Nog te boeken</t>
  </si>
  <si>
    <t>Hide if column E is not appicable</t>
  </si>
  <si>
    <t>Halfjaarpremie</t>
  </si>
  <si>
    <t>Kwartaalpremie</t>
  </si>
  <si>
    <t>Toeslag</t>
  </si>
  <si>
    <t>Inclusief toeslag</t>
  </si>
  <si>
    <t>Hide if column F is not applicable</t>
  </si>
  <si>
    <t>Mutatiepremie</t>
  </si>
  <si>
    <t>Van</t>
  </si>
  <si>
    <t>Boeking/restitutie</t>
  </si>
  <si>
    <t>Afkorting</t>
  </si>
  <si>
    <t>Interest</t>
  </si>
  <si>
    <t>CAD</t>
  </si>
  <si>
    <t>Geldigheidstermijn</t>
  </si>
  <si>
    <t>Albanië</t>
  </si>
  <si>
    <t>ALB</t>
  </si>
  <si>
    <t>Ja</t>
  </si>
  <si>
    <t>3 jaar</t>
  </si>
  <si>
    <t>Andorra</t>
  </si>
  <si>
    <t>AND</t>
  </si>
  <si>
    <t>Bedrijfsschade</t>
  </si>
  <si>
    <t>Hout, harde dekking</t>
  </si>
  <si>
    <t>6 jaar</t>
  </si>
  <si>
    <t>België</t>
  </si>
  <si>
    <t>BEL</t>
  </si>
  <si>
    <t>Bedrijfsuitrusting/inventaris</t>
  </si>
  <si>
    <t>Hout, rieten dekking</t>
  </si>
  <si>
    <t>10 jaar</t>
  </si>
  <si>
    <t>Bosnië &amp; Herzegovina</t>
  </si>
  <si>
    <t>BIH</t>
  </si>
  <si>
    <t>Inboedel</t>
  </si>
  <si>
    <t>Steen, harde dekking</t>
  </si>
  <si>
    <t>Bulgarije</t>
  </si>
  <si>
    <t>BGR</t>
  </si>
  <si>
    <t>Bijzondere kosten</t>
  </si>
  <si>
    <t>Steen, rieten dekking</t>
  </si>
  <si>
    <t>Denemarken</t>
  </si>
  <si>
    <t>DNK</t>
  </si>
  <si>
    <t>Exploitatiekosten</t>
  </si>
  <si>
    <t>Duitsland</t>
  </si>
  <si>
    <t>DEU</t>
  </si>
  <si>
    <t>Extra kosten</t>
  </si>
  <si>
    <t>Taxatie</t>
  </si>
  <si>
    <t>Estland</t>
  </si>
  <si>
    <t>EST</t>
  </si>
  <si>
    <t>Gebouwen</t>
  </si>
  <si>
    <t>Opvoer</t>
  </si>
  <si>
    <t>Finland</t>
  </si>
  <si>
    <t>FIN</t>
  </si>
  <si>
    <t>Goederen</t>
  </si>
  <si>
    <t>Verhoging</t>
  </si>
  <si>
    <t>Frankrijk</t>
  </si>
  <si>
    <t>FRA</t>
  </si>
  <si>
    <t>Goederen van derden</t>
  </si>
  <si>
    <t>Verlaging</t>
  </si>
  <si>
    <t>Griekenland</t>
  </si>
  <si>
    <t>GRC</t>
  </si>
  <si>
    <t>Huurdersbelang</t>
  </si>
  <si>
    <t>Afvoer</t>
  </si>
  <si>
    <t>Hongarije</t>
  </si>
  <si>
    <t>HUN</t>
  </si>
  <si>
    <t>Huurderving</t>
  </si>
  <si>
    <t>Ierland</t>
  </si>
  <si>
    <t>IRL</t>
  </si>
  <si>
    <t>Opruimingskosten</t>
  </si>
  <si>
    <t>Ijsland</t>
  </si>
  <si>
    <t>ISL</t>
  </si>
  <si>
    <t>Overig</t>
  </si>
  <si>
    <t>Italië</t>
  </si>
  <si>
    <t>ITA</t>
  </si>
  <si>
    <t>Reconstructiekosten</t>
  </si>
  <si>
    <t>Kroatië</t>
  </si>
  <si>
    <t>HRV</t>
  </si>
  <si>
    <t>Woningverbetering</t>
  </si>
  <si>
    <t>Letland</t>
  </si>
  <si>
    <t>LVA</t>
  </si>
  <si>
    <t>Liechtenstein</t>
  </si>
  <si>
    <t>LIE</t>
  </si>
  <si>
    <t>Berekeningswijze CAD JA</t>
  </si>
  <si>
    <t>Berekeningswijze CAD NEE</t>
  </si>
  <si>
    <t>Litouwen</t>
  </si>
  <si>
    <t>LTU</t>
  </si>
  <si>
    <t>Luxemburg</t>
  </si>
  <si>
    <t>LUX</t>
  </si>
  <si>
    <t>Geen verrekening</t>
  </si>
  <si>
    <t>Malta</t>
  </si>
  <si>
    <t>MLT</t>
  </si>
  <si>
    <t>Moldavië</t>
  </si>
  <si>
    <t>MDA</t>
  </si>
  <si>
    <t>Monaco</t>
  </si>
  <si>
    <t>MCO</t>
  </si>
  <si>
    <t>Montenegro</t>
  </si>
  <si>
    <t>MNE</t>
  </si>
  <si>
    <t>Nederland</t>
  </si>
  <si>
    <t>NLD</t>
  </si>
  <si>
    <t>Noorwegen</t>
  </si>
  <si>
    <t>NOR</t>
  </si>
  <si>
    <t>Oekraine</t>
  </si>
  <si>
    <t>UKR</t>
  </si>
  <si>
    <t>Oostenrijk</t>
  </si>
  <si>
    <t>AUT</t>
  </si>
  <si>
    <t>Polen</t>
  </si>
  <si>
    <t>POL</t>
  </si>
  <si>
    <t>Portugal</t>
  </si>
  <si>
    <t>PRT</t>
  </si>
  <si>
    <t>Roemenië</t>
  </si>
  <si>
    <t>ROU</t>
  </si>
  <si>
    <t>Rusland</t>
  </si>
  <si>
    <t>RUS</t>
  </si>
  <si>
    <t>San Marino</t>
  </si>
  <si>
    <t>SMR</t>
  </si>
  <si>
    <t>Servië</t>
  </si>
  <si>
    <t>SRB</t>
  </si>
  <si>
    <t>Slovenië</t>
  </si>
  <si>
    <t>SVN</t>
  </si>
  <si>
    <t>Slowakije</t>
  </si>
  <si>
    <t>SVK</t>
  </si>
  <si>
    <t>Spanje</t>
  </si>
  <si>
    <t>ESP</t>
  </si>
  <si>
    <t>Tsjechië</t>
  </si>
  <si>
    <t>CZE</t>
  </si>
  <si>
    <t>Vaticaanstad</t>
  </si>
  <si>
    <t>VAT</t>
  </si>
  <si>
    <t>Verenigd Koningkrijk</t>
  </si>
  <si>
    <t>GBR</t>
  </si>
  <si>
    <t>Wit-Rusland (Belarus)</t>
  </si>
  <si>
    <t>BLR</t>
  </si>
  <si>
    <t>Zweden</t>
  </si>
  <si>
    <t>SWE</t>
  </si>
  <si>
    <t>Zwitzerland</t>
  </si>
  <si>
    <t>CHE</t>
  </si>
  <si>
    <t>Verzekeraars</t>
  </si>
  <si>
    <t>Relaties</t>
  </si>
  <si>
    <t>Relatie</t>
  </si>
  <si>
    <t>Financiele sub</t>
  </si>
  <si>
    <t>One Aon facility prop. pool NN</t>
  </si>
  <si>
    <t>Maria Theresialaan 99</t>
  </si>
  <si>
    <t>Waterschap Limburg</t>
  </si>
  <si>
    <t>Waterschapsbedrijf Limburg</t>
  </si>
  <si>
    <t>Kruisweg 48-50</t>
  </si>
  <si>
    <t>6043 CX</t>
  </si>
  <si>
    <t>5944 EN</t>
  </si>
  <si>
    <t>Roermond</t>
  </si>
  <si>
    <t>Arcen</t>
  </si>
  <si>
    <t>Bedrijfsuitrusting</t>
  </si>
  <si>
    <t>Installaties</t>
  </si>
  <si>
    <t>kantoor/laboratorium in de ruimste zin des woords</t>
  </si>
  <si>
    <t>incl. computerapparatuur</t>
  </si>
  <si>
    <t>Woningen en paardenstallen</t>
  </si>
  <si>
    <t>B0100133084-0</t>
  </si>
  <si>
    <t>Nieuwe polis</t>
  </si>
  <si>
    <t>Met opslagruimte</t>
  </si>
  <si>
    <t>Expeditiestraat 6</t>
  </si>
  <si>
    <t>5961 PX</t>
  </si>
  <si>
    <t>Horst</t>
  </si>
  <si>
    <t>Met huur in voormalig gemeentehuis</t>
  </si>
  <si>
    <t>Raadhuisplein 1</t>
  </si>
  <si>
    <t>5944 AH</t>
  </si>
  <si>
    <t>Restaurant en bewoning</t>
  </si>
  <si>
    <t>Grotestraat 11</t>
  </si>
  <si>
    <t>5855 AK</t>
  </si>
  <si>
    <t>Well Limburg</t>
  </si>
  <si>
    <t>Gelegen aan Broekhuizerweg (ongenummerd)</t>
  </si>
  <si>
    <t>5900 AA</t>
  </si>
  <si>
    <t>Aarcen</t>
  </si>
  <si>
    <t>Watergemalen</t>
  </si>
  <si>
    <t>Op diverse locaties</t>
  </si>
  <si>
    <t>Sloopwaarde-opruimingskosten  </t>
  </si>
  <si>
    <t>ECI Centrale</t>
  </si>
  <si>
    <t>Incl. fundering</t>
  </si>
  <si>
    <t>Molenweg 56</t>
  </si>
  <si>
    <t>6041 KW</t>
  </si>
  <si>
    <t>Rijksweg Noord 305</t>
  </si>
  <si>
    <t>6136 AC</t>
  </si>
  <si>
    <t>Sittard</t>
  </si>
  <si>
    <t>Incl. fundering en zonnepanelen</t>
  </si>
  <si>
    <t>Loods voor de buitendienst</t>
  </si>
  <si>
    <t>getaxeerd</t>
  </si>
  <si>
    <t>niet op vaste taxatie</t>
  </si>
  <si>
    <t>Nuth</t>
  </si>
  <si>
    <t>incl. fundering</t>
  </si>
  <si>
    <t>Loods</t>
  </si>
  <si>
    <t>Kantoor en werkplaatsinventaris</t>
  </si>
  <si>
    <t>5 containers met inhoud</t>
  </si>
  <si>
    <t>staal met stalen dekking</t>
  </si>
  <si>
    <t>Knipstraat 45</t>
  </si>
  <si>
    <t>6321 AM</t>
  </si>
  <si>
    <t>Wijlre</t>
  </si>
  <si>
    <t>Brommelen 9</t>
  </si>
  <si>
    <t>incl fundering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</si>
</sst>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44" formatCode="_ &quot;€&quot;\ * #,##0.00_ ;_ &quot;€&quot;\ * \-#,##0.00_ ;_ &quot;€&quot;\ * &quot;-&quot;??_ ;_ @_ "/>
    <numFmt numFmtId="164" formatCode="00"/>
    <numFmt numFmtId="165" formatCode="0.000\ \‰"/>
    <numFmt numFmtId="166" formatCode="_-* #,##0.00_-;\-* #,##0.00_-;_-* &quot;-&quot;??_-;_-@_-"/>
    <numFmt numFmtId="167" formatCode="_-[$€-2]* #,##0.00_-;\-[$€-2]* #,##0.00_-;_-[$€-2]* &quot;-&quot;??_-"/>
    <numFmt numFmtId="168" formatCode="0.0%"/>
    <numFmt numFmtId="169" formatCode="_ [$€-413]\ * #,##0.00_ ;_ [$€-413]\ * \-#,##0.00_ ;_ [$€-413]\ * &quot;-&quot;??_ ;_ @_ "/>
    <numFmt numFmtId="170" formatCode="[$-413]d\ mmmm\ yyyy;@"/>
  </numFmts>
  <fonts count="25" x14ac:knownFonts="1">
    <font>
      <sz val="11"/>
      <color theme="1"/>
      <name val="Calibri"/>
      <family val="2"/>
      <scheme val="minor"/>
    </font>
    <font>
      <sz val="10"/>
      <color theme="1"/>
      <name val="Century"/>
      <family val="1"/>
    </font>
    <font>
      <sz val="11"/>
      <color theme="1"/>
      <name val="Calibri"/>
      <family val="2"/>
      <scheme val="minor"/>
    </font>
    <font>
      <b/>
      <i/>
      <sz val="11"/>
      <color theme="1"/>
      <name val="Arial"/>
      <family val="2"/>
    </font>
    <font>
      <sz val="10"/>
      <color rgb="FF000000"/>
      <name val="Times New Roman"/>
      <family val="1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Verdana Pro Cond"/>
      <family val="2"/>
    </font>
    <font>
      <sz val="11"/>
      <color theme="1"/>
      <name val="Verdana Pro Cond"/>
      <family val="2"/>
    </font>
    <font>
      <sz val="10"/>
      <name val="Arial"/>
      <family val="2"/>
    </font>
    <font>
      <b/>
      <i/>
      <sz val="10"/>
      <color theme="1"/>
      <name val="Verdana Pro Cond"/>
      <family val="2"/>
    </font>
    <font>
      <i/>
      <sz val="11"/>
      <color theme="1"/>
      <name val="Calibri"/>
      <family val="2"/>
      <scheme val="minor"/>
    </font>
    <font>
      <b/>
      <i/>
      <sz val="12"/>
      <color theme="1"/>
      <name val="Verdana Pro Cond"/>
      <family val="2"/>
    </font>
    <font>
      <sz val="10"/>
      <color theme="1"/>
      <name val="Verdana Pro Cond"/>
      <family val="2"/>
    </font>
    <font>
      <i/>
      <sz val="11"/>
      <color theme="1"/>
      <name val="Verdana Pro Cond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0"/>
      <name val="Arial"/>
      <family val="2"/>
    </font>
    <font>
      <sz val="11"/>
      <color theme="0"/>
      <name val="Arial"/>
      <family val="2"/>
    </font>
    <font>
      <b/>
      <sz val="10"/>
      <color theme="1"/>
      <name val="Verdana Pro Cond"/>
      <family val="2"/>
    </font>
    <font>
      <sz val="1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10"/>
      <color theme="0" tint="-0.14999847407452621"/>
      <name val="Century"/>
      <family val="1"/>
    </font>
  </fonts>
  <fills count="1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hair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hair">
        <color theme="0" tint="-0.24994659260841701"/>
      </top>
      <bottom/>
      <diagonal/>
    </border>
    <border>
      <left style="hair">
        <color theme="0" tint="-0.24994659260841701"/>
      </left>
      <right/>
      <top style="hair">
        <color theme="0" tint="-0.24994659260841701"/>
      </top>
      <bottom/>
      <diagonal/>
    </border>
    <border>
      <left style="hair">
        <color theme="0" tint="-0.24994659260841701"/>
      </left>
      <right style="thin">
        <color theme="0" tint="-0.24994659260841701"/>
      </right>
      <top style="hair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hair">
        <color theme="0" tint="-0.24994659260841701"/>
      </top>
      <bottom/>
      <diagonal/>
    </border>
    <border>
      <left/>
      <right/>
      <top style="medium">
        <color theme="1"/>
      </top>
      <bottom/>
      <diagonal/>
    </border>
    <border>
      <left style="hair">
        <color theme="0" tint="-0.24994659260841701"/>
      </left>
      <right style="thin">
        <color theme="0" tint="-0.24994659260841701"/>
      </right>
      <top style="hair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/>
      <top style="medium">
        <color theme="1"/>
      </top>
      <bottom/>
      <diagonal/>
    </border>
    <border>
      <left/>
      <right style="thin">
        <color auto="1"/>
      </right>
      <top style="medium">
        <color theme="1"/>
      </top>
      <bottom/>
      <diagonal/>
    </border>
    <border>
      <left style="thin">
        <color theme="0" tint="-0.24994659260841701"/>
      </left>
      <right/>
      <top style="medium">
        <color theme="1"/>
      </top>
      <bottom/>
      <diagonal/>
    </border>
    <border>
      <left style="hair">
        <color theme="0" tint="-0.24994659260841701"/>
      </left>
      <right/>
      <top style="medium">
        <color theme="1"/>
      </top>
      <bottom/>
      <diagonal/>
    </border>
    <border>
      <left style="hair">
        <color theme="0" tint="-0.24994659260841701"/>
      </left>
      <right style="thin">
        <color theme="0" tint="-0.24994659260841701"/>
      </right>
      <top style="medium">
        <color theme="1"/>
      </top>
      <bottom/>
      <diagonal/>
    </border>
    <border>
      <left style="thin">
        <color theme="0" tint="-0.24994659260841701"/>
      </left>
      <right/>
      <top style="hair">
        <color theme="0" tint="-0.24994659260841701"/>
      </top>
      <bottom style="thin">
        <color theme="0" tint="-0.24994659260841701"/>
      </bottom>
      <diagonal/>
    </border>
    <border>
      <left style="hair">
        <color theme="0" tint="-0.24994659260841701"/>
      </left>
      <right/>
      <top style="hair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" fillId="0" borderId="0"/>
    <xf numFmtId="0" fontId="2" fillId="0" borderId="0"/>
    <xf numFmtId="0" fontId="11" fillId="0" borderId="0"/>
    <xf numFmtId="166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134">
    <xf numFmtId="0" fontId="0" fillId="0" borderId="0" xfId="0"/>
    <xf numFmtId="0" fontId="6" fillId="0" borderId="0" xfId="0" applyFont="1"/>
    <xf numFmtId="0" fontId="8" fillId="0" borderId="0" xfId="0" applyFont="1"/>
    <xf numFmtId="0" fontId="3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3" fillId="0" borderId="1" xfId="0" applyFont="1" applyBorder="1" applyAlignment="1">
      <alignment vertical="top"/>
    </xf>
    <xf numFmtId="44" fontId="8" fillId="0" borderId="0" xfId="0" applyNumberFormat="1" applyFont="1" applyAlignment="1">
      <alignment vertical="top"/>
    </xf>
    <xf numFmtId="0" fontId="14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5" fillId="0" borderId="0" xfId="0" applyFont="1" applyAlignment="1">
      <alignment vertical="top" wrapText="1"/>
    </xf>
    <xf numFmtId="0" fontId="15" fillId="0" borderId="0" xfId="0" applyFont="1" applyAlignment="1">
      <alignment horizontal="center" vertical="top"/>
    </xf>
    <xf numFmtId="0" fontId="0" fillId="0" borderId="0" xfId="0" quotePrefix="1"/>
    <xf numFmtId="14" fontId="3" fillId="0" borderId="0" xfId="0" applyNumberFormat="1" applyFont="1" applyAlignment="1">
      <alignment vertical="top"/>
    </xf>
    <xf numFmtId="0" fontId="7" fillId="0" borderId="1" xfId="0" applyFont="1" applyBorder="1" applyAlignment="1">
      <alignment vertical="top"/>
    </xf>
    <xf numFmtId="14" fontId="8" fillId="0" borderId="1" xfId="0" applyNumberFormat="1" applyFont="1" applyBorder="1" applyAlignment="1">
      <alignment vertical="top"/>
    </xf>
    <xf numFmtId="0" fontId="0" fillId="0" borderId="0" xfId="0" applyAlignment="1">
      <alignment horizontal="left" vertical="top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169" fontId="0" fillId="0" borderId="0" xfId="0" applyNumberFormat="1"/>
    <xf numFmtId="0" fontId="0" fillId="7" borderId="0" xfId="0" applyFill="1"/>
    <xf numFmtId="0" fontId="7" fillId="0" borderId="0" xfId="0" applyFont="1" applyAlignment="1">
      <alignment vertical="top"/>
    </xf>
    <xf numFmtId="9" fontId="8" fillId="0" borderId="1" xfId="0" applyNumberFormat="1" applyFont="1" applyBorder="1" applyAlignment="1">
      <alignment vertical="top"/>
    </xf>
    <xf numFmtId="9" fontId="8" fillId="0" borderId="0" xfId="0" applyNumberFormat="1" applyFont="1" applyAlignment="1">
      <alignment vertical="top"/>
    </xf>
    <xf numFmtId="0" fontId="0" fillId="0" borderId="3" xfId="0" applyBorder="1"/>
    <xf numFmtId="0" fontId="19" fillId="7" borderId="0" xfId="0" applyFont="1" applyFill="1" applyAlignment="1">
      <alignment horizontal="centerContinuous" vertical="top"/>
    </xf>
    <xf numFmtId="0" fontId="20" fillId="7" borderId="0" xfId="0" applyFont="1" applyFill="1" applyAlignment="1">
      <alignment horizontal="centerContinuous" vertical="top"/>
    </xf>
    <xf numFmtId="0" fontId="17" fillId="7" borderId="0" xfId="0" applyFont="1" applyFill="1" applyAlignment="1">
      <alignment horizontal="centerContinuous"/>
    </xf>
    <xf numFmtId="0" fontId="10" fillId="0" borderId="4" xfId="0" applyFont="1" applyBorder="1"/>
    <xf numFmtId="0" fontId="10" fillId="0" borderId="4" xfId="0" applyFont="1" applyBorder="1" applyAlignment="1">
      <alignment horizontal="left" vertical="top"/>
    </xf>
    <xf numFmtId="0" fontId="10" fillId="0" borderId="6" xfId="0" applyFont="1" applyBorder="1"/>
    <xf numFmtId="0" fontId="10" fillId="0" borderId="8" xfId="0" applyFont="1" applyBorder="1"/>
    <xf numFmtId="0" fontId="10" fillId="9" borderId="9" xfId="0" applyFont="1" applyFill="1" applyBorder="1" applyAlignment="1">
      <alignment horizontal="left"/>
    </xf>
    <xf numFmtId="0" fontId="10" fillId="9" borderId="10" xfId="0" applyFont="1" applyFill="1" applyBorder="1" applyAlignment="1">
      <alignment horizontal="left"/>
    </xf>
    <xf numFmtId="0" fontId="10" fillId="9" borderId="0" xfId="0" applyFont="1" applyFill="1" applyAlignment="1">
      <alignment horizontal="left"/>
    </xf>
    <xf numFmtId="0" fontId="10" fillId="9" borderId="5" xfId="0" applyFont="1" applyFill="1" applyBorder="1" applyAlignment="1">
      <alignment horizontal="left"/>
    </xf>
    <xf numFmtId="0" fontId="16" fillId="9" borderId="5" xfId="0" applyFont="1" applyFill="1" applyBorder="1" applyAlignment="1">
      <alignment horizontal="left" vertical="top"/>
    </xf>
    <xf numFmtId="14" fontId="10" fillId="9" borderId="5" xfId="0" applyNumberFormat="1" applyFont="1" applyFill="1" applyBorder="1" applyAlignment="1">
      <alignment horizontal="left" vertical="top"/>
    </xf>
    <xf numFmtId="0" fontId="0" fillId="9" borderId="7" xfId="0" applyFill="1" applyBorder="1"/>
    <xf numFmtId="170" fontId="10" fillId="9" borderId="0" xfId="0" applyNumberFormat="1" applyFont="1" applyFill="1" applyAlignment="1">
      <alignment horizontal="left" vertical="top"/>
    </xf>
    <xf numFmtId="0" fontId="0" fillId="0" borderId="0" xfId="0" applyAlignment="1" applyProtection="1">
      <alignment vertical="top"/>
      <protection locked="0"/>
    </xf>
    <xf numFmtId="0" fontId="0" fillId="0" borderId="0" xfId="0" applyAlignment="1" applyProtection="1">
      <alignment horizontal="center" vertical="top"/>
      <protection locked="0"/>
    </xf>
    <xf numFmtId="0" fontId="0" fillId="0" borderId="0" xfId="0" applyAlignment="1" applyProtection="1">
      <alignment vertical="top" wrapText="1"/>
      <protection locked="0"/>
    </xf>
    <xf numFmtId="44" fontId="0" fillId="0" borderId="0" xfId="2" applyFont="1" applyFill="1" applyBorder="1" applyAlignment="1" applyProtection="1">
      <alignment vertical="top"/>
      <protection locked="0"/>
    </xf>
    <xf numFmtId="44" fontId="0" fillId="0" borderId="0" xfId="2" applyFont="1" applyFill="1" applyBorder="1" applyAlignment="1">
      <alignment vertical="top"/>
    </xf>
    <xf numFmtId="44" fontId="0" fillId="0" borderId="0" xfId="0" applyNumberFormat="1" applyAlignment="1" applyProtection="1">
      <alignment vertical="top"/>
      <protection locked="0"/>
    </xf>
    <xf numFmtId="44" fontId="0" fillId="0" borderId="0" xfId="0" applyNumberFormat="1" applyAlignment="1">
      <alignment vertical="top"/>
    </xf>
    <xf numFmtId="0" fontId="21" fillId="10" borderId="0" xfId="0" applyFont="1" applyFill="1" applyAlignment="1" applyProtection="1">
      <alignment horizontal="centerContinuous" vertical="top"/>
      <protection locked="0"/>
    </xf>
    <xf numFmtId="0" fontId="12" fillId="10" borderId="0" xfId="0" applyFont="1" applyFill="1" applyAlignment="1" applyProtection="1">
      <alignment horizontal="centerContinuous" vertical="top"/>
      <protection locked="0"/>
    </xf>
    <xf numFmtId="0" fontId="12" fillId="10" borderId="0" xfId="0" applyFont="1" applyFill="1" applyAlignment="1">
      <alignment horizontal="centerContinuous" vertical="top"/>
    </xf>
    <xf numFmtId="0" fontId="12" fillId="10" borderId="0" xfId="0" applyFont="1" applyFill="1" applyAlignment="1">
      <alignment horizontal="centerContinuous" vertical="top" wrapText="1"/>
    </xf>
    <xf numFmtId="0" fontId="12" fillId="2" borderId="0" xfId="0" applyFont="1" applyFill="1" applyAlignment="1">
      <alignment horizontal="centerContinuous" vertical="top"/>
    </xf>
    <xf numFmtId="0" fontId="12" fillId="2" borderId="0" xfId="0" applyFont="1" applyFill="1" applyAlignment="1">
      <alignment horizontal="center" vertical="top"/>
    </xf>
    <xf numFmtId="0" fontId="9" fillId="3" borderId="0" xfId="0" applyFont="1" applyFill="1" applyAlignment="1">
      <alignment horizontal="left" vertical="top"/>
    </xf>
    <xf numFmtId="0" fontId="12" fillId="3" borderId="0" xfId="5" applyFont="1" applyFill="1" applyAlignment="1">
      <alignment horizontal="left" vertical="top"/>
    </xf>
    <xf numFmtId="0" fontId="9" fillId="3" borderId="0" xfId="0" applyFont="1" applyFill="1" applyAlignment="1">
      <alignment horizontal="center" vertical="top"/>
    </xf>
    <xf numFmtId="0" fontId="6" fillId="3" borderId="0" xfId="0" applyFont="1" applyFill="1" applyAlignment="1">
      <alignment horizontal="left" vertical="top"/>
    </xf>
    <xf numFmtId="0" fontId="6" fillId="3" borderId="0" xfId="0" applyFont="1" applyFill="1" applyAlignment="1">
      <alignment horizontal="center" vertical="top"/>
    </xf>
    <xf numFmtId="0" fontId="0" fillId="11" borderId="11" xfId="0" applyFill="1" applyBorder="1"/>
    <xf numFmtId="0" fontId="6" fillId="5" borderId="0" xfId="0" applyFont="1" applyFill="1" applyAlignment="1">
      <alignment horizontal="centerContinuous" vertical="top"/>
    </xf>
    <xf numFmtId="0" fontId="17" fillId="7" borderId="0" xfId="0" applyFont="1" applyFill="1"/>
    <xf numFmtId="0" fontId="6" fillId="0" borderId="12" xfId="0" applyFont="1" applyBorder="1"/>
    <xf numFmtId="0" fontId="6" fillId="0" borderId="13" xfId="0" applyFont="1" applyBorder="1"/>
    <xf numFmtId="0" fontId="22" fillId="0" borderId="0" xfId="0" applyFont="1"/>
    <xf numFmtId="9" fontId="6" fillId="0" borderId="14" xfId="1" applyFont="1" applyBorder="1"/>
    <xf numFmtId="0" fontId="6" fillId="4" borderId="0" xfId="0" applyFont="1" applyFill="1" applyAlignment="1">
      <alignment horizontal="centerContinuous" vertical="top"/>
    </xf>
    <xf numFmtId="0" fontId="6" fillId="6" borderId="0" xfId="0" applyFont="1" applyFill="1" applyAlignment="1">
      <alignment horizontal="centerContinuous" vertical="top"/>
    </xf>
    <xf numFmtId="0" fontId="6" fillId="0" borderId="0" xfId="0" applyFont="1" applyAlignment="1">
      <alignment horizontal="left" vertical="top"/>
    </xf>
    <xf numFmtId="0" fontId="0" fillId="0" borderId="0" xfId="0" applyAlignment="1">
      <alignment horizontal="center" vertical="top"/>
    </xf>
    <xf numFmtId="44" fontId="0" fillId="0" borderId="0" xfId="2" applyFont="1" applyFill="1" applyBorder="1" applyAlignment="1" applyProtection="1">
      <alignment horizontal="left" vertical="top"/>
    </xf>
    <xf numFmtId="44" fontId="13" fillId="0" borderId="0" xfId="2" applyFont="1" applyFill="1" applyBorder="1" applyAlignment="1" applyProtection="1">
      <alignment horizontal="left" vertical="top"/>
    </xf>
    <xf numFmtId="14" fontId="0" fillId="0" borderId="0" xfId="0" applyNumberFormat="1" applyAlignment="1">
      <alignment horizontal="left" vertical="top"/>
    </xf>
    <xf numFmtId="44" fontId="13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center" vertical="top"/>
    </xf>
    <xf numFmtId="165" fontId="24" fillId="0" borderId="0" xfId="0" applyNumberFormat="1" applyFont="1" applyAlignment="1">
      <alignment horizontal="center" vertical="top"/>
    </xf>
    <xf numFmtId="44" fontId="23" fillId="0" borderId="0" xfId="2" applyFont="1" applyFill="1" applyBorder="1" applyAlignment="1" applyProtection="1">
      <alignment horizontal="left" vertical="top"/>
    </xf>
    <xf numFmtId="44" fontId="6" fillId="0" borderId="0" xfId="0" applyNumberFormat="1" applyFont="1" applyAlignment="1">
      <alignment horizontal="left" vertical="top"/>
    </xf>
    <xf numFmtId="0" fontId="17" fillId="8" borderId="2" xfId="0" applyFont="1" applyFill="1" applyBorder="1"/>
    <xf numFmtId="9" fontId="0" fillId="0" borderId="18" xfId="1" applyFont="1" applyBorder="1" applyAlignment="1">
      <alignment horizontal="left"/>
    </xf>
    <xf numFmtId="0" fontId="0" fillId="11" borderId="19" xfId="0" applyFill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8" xfId="0" applyBorder="1"/>
    <xf numFmtId="0" fontId="14" fillId="12" borderId="0" xfId="0" applyFont="1" applyFill="1" applyAlignment="1">
      <alignment vertical="top"/>
    </xf>
    <xf numFmtId="170" fontId="10" fillId="13" borderId="0" xfId="0" applyNumberFormat="1" applyFont="1" applyFill="1" applyAlignment="1">
      <alignment horizontal="left" vertical="top"/>
    </xf>
    <xf numFmtId="0" fontId="10" fillId="13" borderId="0" xfId="0" applyFont="1" applyFill="1" applyAlignment="1">
      <alignment horizontal="left" vertical="top"/>
    </xf>
    <xf numFmtId="164" fontId="0" fillId="0" borderId="0" xfId="0" applyNumberFormat="1" applyAlignment="1" applyProtection="1">
      <alignment horizontal="left" vertical="top"/>
      <protection locked="0"/>
    </xf>
    <xf numFmtId="164" fontId="0" fillId="0" borderId="0" xfId="0" quotePrefix="1" applyNumberFormat="1" applyAlignment="1" applyProtection="1">
      <alignment horizontal="center" vertical="top"/>
      <protection locked="0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7" fillId="8" borderId="29" xfId="0" applyFont="1" applyFill="1" applyBorder="1" applyAlignment="1">
      <alignment vertical="top"/>
    </xf>
    <xf numFmtId="0" fontId="17" fillId="8" borderId="0" xfId="0" applyFont="1" applyFill="1" applyAlignment="1">
      <alignment vertical="top"/>
    </xf>
    <xf numFmtId="0" fontId="17" fillId="8" borderId="30" xfId="0" applyFont="1" applyFill="1" applyBorder="1" applyAlignment="1">
      <alignment vertical="top"/>
    </xf>
    <xf numFmtId="168" fontId="0" fillId="0" borderId="0" xfId="1" applyNumberFormat="1" applyFont="1" applyFill="1" applyBorder="1" applyAlignment="1">
      <alignment vertical="top"/>
    </xf>
    <xf numFmtId="0" fontId="6" fillId="0" borderId="0" xfId="0" applyFont="1" applyAlignment="1">
      <alignment vertical="top"/>
    </xf>
    <xf numFmtId="44" fontId="0" fillId="0" borderId="0" xfId="0" applyNumberFormat="1"/>
    <xf numFmtId="10" fontId="0" fillId="0" borderId="0" xfId="0" applyNumberFormat="1"/>
    <xf numFmtId="0" fontId="17" fillId="0" borderId="0" xfId="0" applyFont="1" applyAlignment="1">
      <alignment vertical="top"/>
    </xf>
    <xf numFmtId="44" fontId="0" fillId="0" borderId="0" xfId="2" applyFont="1" applyFill="1" applyBorder="1" applyAlignment="1">
      <alignment horizontal="left" vertical="top"/>
    </xf>
    <xf numFmtId="44" fontId="2" fillId="0" borderId="0" xfId="0" applyNumberFormat="1" applyFont="1" applyAlignment="1">
      <alignment horizontal="left" vertical="top"/>
    </xf>
    <xf numFmtId="10" fontId="2" fillId="0" borderId="0" xfId="0" applyNumberFormat="1" applyFont="1" applyAlignment="1">
      <alignment vertical="top"/>
    </xf>
    <xf numFmtId="44" fontId="2" fillId="0" borderId="0" xfId="2" applyFont="1" applyFill="1" applyBorder="1" applyAlignment="1">
      <alignment horizontal="left" vertical="top"/>
    </xf>
    <xf numFmtId="44" fontId="2" fillId="0" borderId="0" xfId="0" applyNumberFormat="1" applyFont="1" applyAlignment="1">
      <alignment vertical="top"/>
    </xf>
    <xf numFmtId="164" fontId="0" fillId="0" borderId="0" xfId="0" applyNumberFormat="1" applyAlignment="1">
      <alignment horizontal="center" vertical="top"/>
    </xf>
    <xf numFmtId="164" fontId="0" fillId="14" borderId="27" xfId="0" applyNumberFormat="1" applyFill="1" applyBorder="1" applyAlignment="1">
      <alignment horizontal="left"/>
    </xf>
    <xf numFmtId="0" fontId="0" fillId="14" borderId="28" xfId="0" applyFill="1" applyBorder="1"/>
    <xf numFmtId="0" fontId="0" fillId="14" borderId="21" xfId="0" applyFill="1" applyBorder="1"/>
    <xf numFmtId="9" fontId="0" fillId="0" borderId="0" xfId="1" applyFont="1" applyAlignment="1">
      <alignment horizontal="left" vertical="top"/>
    </xf>
    <xf numFmtId="0" fontId="17" fillId="8" borderId="22" xfId="0" applyFont="1" applyFill="1" applyBorder="1" applyAlignment="1">
      <alignment vertical="top"/>
    </xf>
    <xf numFmtId="0" fontId="17" fillId="8" borderId="20" xfId="0" applyFont="1" applyFill="1" applyBorder="1" applyAlignment="1">
      <alignment vertical="top"/>
    </xf>
    <xf numFmtId="0" fontId="17" fillId="8" borderId="23" xfId="0" applyFont="1" applyFill="1" applyBorder="1" applyAlignment="1">
      <alignment vertical="top"/>
    </xf>
    <xf numFmtId="164" fontId="0" fillId="0" borderId="24" xfId="0" applyNumberFormat="1" applyBorder="1" applyAlignment="1">
      <alignment horizontal="left" vertical="top"/>
    </xf>
    <xf numFmtId="164" fontId="0" fillId="0" borderId="25" xfId="0" applyNumberFormat="1" applyBorder="1" applyAlignment="1">
      <alignment horizontal="left" vertical="top"/>
    </xf>
    <xf numFmtId="0" fontId="0" fillId="0" borderId="25" xfId="0" applyBorder="1" applyAlignment="1">
      <alignment horizontal="left" vertical="top"/>
    </xf>
    <xf numFmtId="14" fontId="0" fillId="0" borderId="25" xfId="0" applyNumberFormat="1" applyBorder="1" applyAlignment="1">
      <alignment horizontal="left" vertical="top"/>
    </xf>
    <xf numFmtId="14" fontId="0" fillId="0" borderId="26" xfId="0" applyNumberFormat="1" applyBorder="1" applyAlignment="1">
      <alignment horizontal="left" vertical="top"/>
    </xf>
    <xf numFmtId="164" fontId="0" fillId="11" borderId="15" xfId="0" applyNumberFormat="1" applyFill="1" applyBorder="1" applyAlignment="1">
      <alignment horizontal="left" vertical="top"/>
    </xf>
    <xf numFmtId="164" fontId="0" fillId="11" borderId="16" xfId="0" applyNumberFormat="1" applyFill="1" applyBorder="1" applyAlignment="1">
      <alignment horizontal="left" vertical="top"/>
    </xf>
    <xf numFmtId="0" fontId="0" fillId="11" borderId="16" xfId="0" applyFill="1" applyBorder="1" applyAlignment="1">
      <alignment horizontal="left" vertical="top"/>
    </xf>
    <xf numFmtId="14" fontId="0" fillId="11" borderId="16" xfId="0" applyNumberFormat="1" applyFill="1" applyBorder="1" applyAlignment="1">
      <alignment horizontal="left" vertical="top"/>
    </xf>
    <xf numFmtId="14" fontId="0" fillId="11" borderId="17" xfId="0" applyNumberFormat="1" applyFill="1" applyBorder="1" applyAlignment="1">
      <alignment horizontal="left" vertical="top"/>
    </xf>
    <xf numFmtId="164" fontId="0" fillId="0" borderId="15" xfId="0" applyNumberFormat="1" applyBorder="1" applyAlignment="1">
      <alignment horizontal="left" vertical="top"/>
    </xf>
    <xf numFmtId="164" fontId="0" fillId="0" borderId="16" xfId="0" applyNumberFormat="1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14" fontId="0" fillId="0" borderId="16" xfId="0" applyNumberFormat="1" applyBorder="1" applyAlignment="1">
      <alignment horizontal="left" vertical="top"/>
    </xf>
    <xf numFmtId="14" fontId="0" fillId="0" borderId="17" xfId="0" applyNumberFormat="1" applyBorder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 applyProtection="1">
      <alignment horizontal="left" vertical="top" wrapText="1"/>
      <protection locked="0"/>
    </xf>
    <xf numFmtId="14" fontId="0" fillId="0" borderId="0" xfId="0" applyNumberFormat="1" applyAlignment="1" applyProtection="1">
      <alignment horizontal="left" vertical="top" wrapText="1"/>
      <protection locked="0"/>
    </xf>
    <xf numFmtId="0" fontId="18" fillId="7" borderId="0" xfId="0" applyFont="1" applyFill="1" applyAlignment="1">
      <alignment horizontal="centerContinuous"/>
    </xf>
    <xf numFmtId="9" fontId="0" fillId="0" borderId="0" xfId="1" applyFont="1"/>
    <xf numFmtId="9" fontId="0" fillId="0" borderId="0" xfId="0" applyNumberFormat="1"/>
    <xf numFmtId="0" fontId="15" fillId="0" borderId="0" xfId="0" applyFont="1" applyAlignment="1">
      <alignment horizontal="left" vertical="top" wrapText="1"/>
    </xf>
    <xf numFmtId="0" fontId="12" fillId="6" borderId="0" xfId="0" applyFont="1" applyFill="1" applyAlignment="1">
      <alignment horizontal="center" vertical="top"/>
    </xf>
  </cellXfs>
  <cellStyles count="10">
    <cellStyle name="Comma 2" xfId="6" xr:uid="{0C31A5CA-2788-47F5-8595-86AF3D8D6340}"/>
    <cellStyle name="Euro" xfId="7" xr:uid="{FA1A5A95-47BA-426C-8BF7-4A2E768BBCC7}"/>
    <cellStyle name="Normal 2" xfId="3" xr:uid="{042D0CC4-8D3C-4DBD-B577-B57DA9BD067E}"/>
    <cellStyle name="Normal 3" xfId="5" xr:uid="{2CCB5DFE-C7B7-4BFF-AF96-2AC76775BF9A}"/>
    <cellStyle name="Normal 6" xfId="4" xr:uid="{C724D0DD-173B-44D7-8963-C379B248AB9A}"/>
    <cellStyle name="Percent 2" xfId="8" xr:uid="{79192040-C87C-4346-9B53-9BACCE0E6A89}"/>
    <cellStyle name="Procent" xfId="1" builtinId="5"/>
    <cellStyle name="Procent 2" xfId="9" xr:uid="{1489CFF9-A365-4C1F-8D3B-F1F5EF5090E9}"/>
    <cellStyle name="Standaard" xfId="0" builtinId="0"/>
    <cellStyle name="Valuta" xfId="2" builtinId="4"/>
  </cellStyles>
  <dxfs count="219">
    <dxf>
      <font>
        <color theme="1"/>
      </font>
    </dxf>
    <dxf>
      <font>
        <color auto="1"/>
      </font>
    </dxf>
    <dxf>
      <font>
        <color auto="1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3" formatCode="0%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8" formatCode="0.0%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8" formatCode="0.0%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8" formatCode="0.0%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numFmt numFmtId="34" formatCode="_ &quot;€&quot;\ * #,##0.00_ ;_ &quot;€&quot;\ * \-#,##0.00_ ;_ &quot;€&quot;\ * &quot;-&quot;??_ ;_ @_ "/>
    </dxf>
    <dxf>
      <fill>
        <patternFill patternType="none">
          <fgColor indexed="64"/>
          <bgColor auto="1"/>
        </patternFill>
      </fill>
    </dxf>
    <dxf>
      <numFmt numFmtId="34" formatCode="_ &quot;€&quot;\ * #,##0.00_ ;_ &quot;€&quot;\ * \-#,##0.00_ ;_ &quot;€&quot;\ * &quot;-&quot;??_ ;_ @_ "/>
    </dxf>
    <dxf>
      <fill>
        <patternFill patternType="none">
          <fgColor indexed="64"/>
          <bgColor auto="1"/>
        </patternFill>
      </fill>
    </dxf>
    <dxf>
      <numFmt numFmtId="34" formatCode="_ &quot;€&quot;\ * #,##0.00_ ;_ &quot;€&quot;\ * \-#,##0.00_ ;_ &quot;€&quot;\ * &quot;-&quot;??_ ;_ @_ "/>
    </dxf>
    <dxf>
      <fill>
        <patternFill patternType="none">
          <fgColor indexed="64"/>
          <bgColor auto="1"/>
        </patternFill>
      </fill>
    </dxf>
    <dxf>
      <numFmt numFmtId="14" formatCode="0.00%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top style="thin">
          <color indexed="64"/>
        </top>
        <bottom style="thin">
          <color theme="0" tint="-0.24994659260841701"/>
        </bottom>
      </border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4" tint="-0.24994659260841701"/>
        </patternFill>
      </fill>
      <alignment horizontal="general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1499984740745262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1499984740745262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1499984740745262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1499984740745262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1499984740745262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1499984740745262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1499984740745262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1499984740745262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1499984740745262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1499984740745262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"/>
        <family val="1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0.14999847407452621"/>
        <name val="Century"/>
        <family val="1"/>
        <scheme val="none"/>
      </font>
      <numFmt numFmtId="165" formatCode="0.000\ \‰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"/>
        <family val="1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0.14999847407452621"/>
        <name val="Century"/>
        <family val="1"/>
        <scheme val="none"/>
      </font>
      <numFmt numFmtId="165" formatCode="0.000\ \‰"/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"/>
        <family val="1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0.14999847407452621"/>
        <name val="Century"/>
        <family val="1"/>
        <scheme val="none"/>
      </font>
      <numFmt numFmtId="165" formatCode="0.000\ \‰"/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"/>
        <family val="1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0.14999847407452621"/>
        <name val="Century"/>
        <family val="1"/>
        <scheme val="none"/>
      </font>
      <numFmt numFmtId="165" formatCode="0.000\ \‰"/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"/>
        <family val="1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0.14999847407452621"/>
        <name val="Century"/>
        <family val="1"/>
        <scheme val="none"/>
      </font>
      <numFmt numFmtId="165" formatCode="0.000\ \‰"/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"/>
        <family val="1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0.14999847407452621"/>
        <name val="Century"/>
        <family val="1"/>
        <scheme val="none"/>
      </font>
      <numFmt numFmtId="165" formatCode="0.000\ \‰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"/>
        <family val="1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0.14999847407452621"/>
        <name val="Century"/>
        <family val="1"/>
        <scheme val="none"/>
      </font>
      <numFmt numFmtId="165" formatCode="0.000\ \‰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"/>
        <family val="1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0.14999847407452621"/>
        <name val="Century"/>
        <family val="1"/>
        <scheme val="none"/>
      </font>
      <numFmt numFmtId="165" formatCode="0.000\ \‰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"/>
        <family val="1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0.14999847407452621"/>
        <name val="Century"/>
        <family val="1"/>
        <scheme val="none"/>
      </font>
      <numFmt numFmtId="165" formatCode="0.000\ \‰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"/>
        <family val="1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0.14999847407452621"/>
        <name val="Century"/>
        <family val="1"/>
        <scheme val="none"/>
      </font>
      <numFmt numFmtId="165" formatCode="0.000\ \‰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protection locked="1" hidden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protection locked="1" hidden="0"/>
    </dxf>
    <dxf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protection locked="1" hidden="0"/>
    </dxf>
    <dxf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protection locked="1" hidden="0"/>
    </dxf>
    <dxf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/m/yyyy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protection locked="1" hidden="0"/>
    </dxf>
    <dxf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/m/yyyy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protection locked="1" hidden="0"/>
    </dxf>
    <dxf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0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protection locked="1" hidden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protection locked="1" hidden="0"/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protection locked="1" hidden="0"/>
    </dxf>
    <dxf>
      <numFmt numFmtId="169" formatCode="_ [$€-413]\ * #,##0.00_ ;_ [$€-413]\ * \-#,##0.00_ ;_ [$€-413]\ * &quot;-&quot;??_ ;_ @_ "/>
    </dxf>
    <dxf>
      <alignment horizontal="general" vertical="top" textRotation="0" wrapText="0" indent="0" justifyLastLine="0" shrinkToFit="0" readingOrder="0"/>
      <protection locked="0" hidden="0"/>
    </dxf>
    <dxf>
      <fill>
        <patternFill patternType="none">
          <fgColor indexed="64"/>
          <bgColor auto="1"/>
        </patternFill>
      </fill>
    </dxf>
    <dxf>
      <numFmt numFmtId="34" formatCode="_ &quot;€&quot;\ * #,##0.00_ ;_ &quot;€&quot;\ * \-#,##0.00_ ;_ &quot;€&quot;\ * &quot;-&quot;??_ ;_ @_ "/>
      <alignment horizontal="general" vertical="top" textRotation="0" wrapText="0" indent="0" justifyLastLine="0" shrinkToFit="0" readingOrder="0"/>
      <protection locked="0" hidden="0"/>
    </dxf>
    <dxf>
      <fill>
        <patternFill patternType="none">
          <fgColor indexed="64"/>
          <bgColor auto="1"/>
        </patternFill>
      </fill>
    </dxf>
    <dxf>
      <numFmt numFmtId="34" formatCode="_ &quot;€&quot;\ * #,##0.00_ ;_ &quot;€&quot;\ * \-#,##0.00_ ;_ &quot;€&quot;\ * &quot;-&quot;??_ ;_ @_ "/>
      <alignment horizontal="general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alignment horizontal="general" vertical="top" textRotation="0" wrapText="0" indent="0" justifyLastLine="0" shrinkToFit="0" readingOrder="0"/>
      <protection locked="0" hidden="0"/>
    </dxf>
    <dxf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protection locked="0" hidden="0"/>
    </dxf>
    <dxf>
      <numFmt numFmtId="34" formatCode="_ &quot;€&quot;\ * #,##0.00_ ;_ &quot;€&quot;\ * \-#,##0.00_ ;_ &quot;€&quot;\ * &quot;-&quot;??_ ;_ @_ "/>
      <alignment horizontal="general" vertical="top" textRotation="0" wrapText="0" indent="0" justifyLastLine="0" shrinkToFit="0" readingOrder="0"/>
      <protection locked="0" hidden="0"/>
    </dxf>
    <dxf>
      <fill>
        <patternFill patternType="none">
          <fgColor indexed="64"/>
          <bgColor auto="1"/>
        </patternFill>
      </fill>
    </dxf>
    <dxf>
      <numFmt numFmtId="34" formatCode="_ &quot;€&quot;\ * #,##0.00_ ;_ &quot;€&quot;\ * \-#,##0.00_ ;_ &quot;€&quot;\ * &quot;-&quot;??_ ;_ @_ "/>
      <alignment horizontal="general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numFmt numFmtId="34" formatCode="_ &quot;€&quot;\ * #,##0.00_ ;_ &quot;€&quot;\ * \-#,##0.00_ ;_ &quot;€&quot;\ * &quot;-&quot;??_ ;_ @_ "/>
      <alignment horizontal="general" vertical="top" textRotation="0" wrapText="0" indent="0" justifyLastLine="0" shrinkToFit="0" readingOrder="0"/>
      <protection locked="0" hidden="0"/>
    </dxf>
    <dxf>
      <fill>
        <patternFill patternType="none">
          <fgColor indexed="64"/>
          <bgColor auto="1"/>
        </patternFill>
      </fill>
    </dxf>
    <dxf>
      <numFmt numFmtId="34" formatCode="_ &quot;€&quot;\ * #,##0.00_ ;_ &quot;€&quot;\ * \-#,##0.00_ ;_ &quot;€&quot;\ * &quot;-&quot;??_ ;_ @_ "/>
      <alignment horizontal="general" vertical="top" textRotation="0" wrapText="0" indent="0" justifyLastLine="0" shrinkToFit="0" readingOrder="0"/>
      <protection locked="0" hidden="0"/>
    </dxf>
    <dxf>
      <fill>
        <patternFill patternType="none">
          <fgColor indexed="64"/>
          <bgColor auto="1"/>
        </patternFill>
      </fill>
    </dxf>
    <dxf>
      <alignment horizontal="general" vertical="top" textRotation="0" wrapText="0" indent="0" justifyLastLine="0" shrinkToFit="0" readingOrder="0"/>
      <protection locked="0" hidden="0"/>
    </dxf>
    <dxf>
      <fill>
        <patternFill patternType="none">
          <fgColor indexed="64"/>
          <bgColor auto="1"/>
        </patternFill>
      </fill>
    </dxf>
    <dxf>
      <alignment horizontal="general" vertical="top" textRotation="0" wrapText="0" indent="0" justifyLastLine="0" shrinkToFit="0" readingOrder="0"/>
      <protection locked="0" hidden="0"/>
    </dxf>
    <dxf>
      <fill>
        <patternFill patternType="none">
          <fgColor indexed="64"/>
          <bgColor auto="1"/>
        </patternFill>
      </fill>
    </dxf>
    <dxf>
      <alignment horizontal="general" vertical="top" textRotation="0" wrapText="0" indent="0" justifyLastLine="0" shrinkToFit="0" readingOrder="0"/>
      <protection locked="0" hidden="0"/>
    </dxf>
    <dxf>
      <fill>
        <patternFill patternType="none">
          <fgColor indexed="64"/>
          <bgColor auto="1"/>
        </patternFill>
      </fill>
    </dxf>
    <dxf>
      <alignment horizontal="general" vertical="top" textRotation="0" wrapText="1" indent="0" justifyLastLine="0" shrinkToFit="0" readingOrder="0"/>
      <protection locked="0" hidden="0"/>
    </dxf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  <protection locked="0" hidden="0"/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protection locked="0" hidden="0"/>
    </dxf>
    <dxf>
      <alignment horizontal="general" vertical="top" textRotation="0" wrapText="1" indent="0" justifyLastLine="0" shrinkToFit="0" readingOrder="0"/>
      <protection locked="0" hidden="0"/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protection locked="0" hidden="0"/>
    </dxf>
    <dxf>
      <alignment horizontal="general" vertical="top" textRotation="0" wrapText="1" indent="0" justifyLastLine="0" shrinkToFit="0" readingOrder="0"/>
      <protection locked="0" hidden="0"/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protection locked="0" hidden="0"/>
    </dxf>
    <dxf>
      <alignment horizontal="general" vertical="top" textRotation="0" wrapText="1" indent="0" justifyLastLine="0" shrinkToFit="0" readingOrder="0"/>
      <protection locked="0" hidden="0"/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protection locked="0" hidden="0"/>
    </dxf>
    <dxf>
      <alignment horizontal="general" vertical="top" textRotation="0" wrapText="1" indent="0" justifyLastLine="0" shrinkToFit="0" readingOrder="0"/>
      <protection locked="0" hidden="0"/>
    </dxf>
    <dxf>
      <fill>
        <patternFill patternType="none">
          <fgColor indexed="64"/>
          <bgColor auto="1"/>
        </patternFill>
      </fill>
    </dxf>
    <dxf>
      <alignment horizontal="general" vertical="top" textRotation="0" wrapText="1" indent="0" justifyLastLine="0" shrinkToFit="0" readingOrder="0"/>
      <protection locked="0" hidden="0"/>
    </dxf>
    <dxf>
      <fill>
        <patternFill patternType="none">
          <fgColor indexed="64"/>
          <bgColor auto="1"/>
        </patternFill>
      </fill>
    </dxf>
    <dxf>
      <alignment horizontal="general" vertical="top" textRotation="0" wrapText="1" indent="0" justifyLastLine="0" shrinkToFit="0" readingOrder="0"/>
      <protection locked="0" hidden="0"/>
    </dxf>
    <dxf>
      <fill>
        <patternFill patternType="none">
          <fgColor indexed="64"/>
          <bgColor auto="1"/>
        </patternFill>
      </fill>
    </dxf>
    <dxf>
      <alignment horizontal="general" vertical="top" textRotation="0" wrapText="1" indent="0" justifyLastLine="0" shrinkToFit="0" readingOrder="0"/>
      <protection locked="0" hidden="0"/>
    </dxf>
    <dxf>
      <fill>
        <patternFill patternType="none">
          <fgColor indexed="64"/>
          <bgColor auto="1"/>
        </patternFill>
      </fill>
    </dxf>
    <dxf>
      <alignment horizontal="general" vertical="top" textRotation="0" wrapText="0" indent="0" justifyLastLine="0" shrinkToFit="0" readingOrder="0"/>
      <protection locked="0" hidden="0"/>
    </dxf>
    <dxf>
      <fill>
        <patternFill patternType="none">
          <fgColor indexed="64"/>
          <bgColor auto="1"/>
        </patternFill>
      </fill>
    </dxf>
    <dxf>
      <alignment horizontal="general" vertical="top" textRotation="0" wrapText="0" indent="0" justifyLastLine="0" shrinkToFit="0" readingOrder="0"/>
      <protection locked="0" hidden="0"/>
    </dxf>
    <dxf>
      <fill>
        <patternFill patternType="none">
          <fgColor indexed="64"/>
          <bgColor auto="1"/>
        </patternFill>
      </fill>
    </dxf>
    <dxf>
      <alignment horizontal="center" vertical="top" textRotation="0" wrapText="0" indent="0" justifyLastLine="0" shrinkToFit="0" readingOrder="0"/>
      <protection locked="0" hidden="0"/>
    </dxf>
    <dxf>
      <fill>
        <patternFill patternType="none">
          <fgColor indexed="64"/>
          <bgColor auto="1"/>
        </patternFill>
      </fill>
    </dxf>
    <dxf>
      <alignment horizontal="general" vertical="top" textRotation="0" wrapText="0" indent="0" justifyLastLine="0" shrinkToFit="0" readingOrder="0"/>
      <protection locked="0" hidden="0"/>
    </dxf>
    <dxf>
      <fill>
        <patternFill patternType="none">
          <fgColor indexed="64"/>
          <bgColor auto="1"/>
        </patternFill>
      </fill>
    </dxf>
    <dxf>
      <alignment horizontal="general" vertical="top" textRotation="0" wrapText="0" indent="0" justifyLastLine="0" shrinkToFit="0" readingOrder="0"/>
      <protection locked="0" hidden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solid">
          <fgColor theme="6" tint="0.59999389629810485"/>
          <bgColor theme="6" tint="0.59999389629810485"/>
        </patternFill>
      </fill>
    </dxf>
    <dxf>
      <fill>
        <patternFill patternType="solid">
          <fgColor theme="6" tint="0.59999389629810485"/>
          <bgColor theme="6" tint="0.59999389629810485"/>
        </patternFill>
      </fill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b/>
        <color theme="0"/>
      </font>
      <fill>
        <patternFill patternType="solid">
          <fgColor theme="6"/>
          <bgColor theme="6"/>
        </patternFill>
      </fill>
      <border>
        <top style="thick">
          <color theme="0"/>
        </top>
      </border>
    </dxf>
    <dxf>
      <font>
        <b/>
        <color theme="0"/>
      </font>
      <fill>
        <patternFill patternType="solid">
          <fgColor theme="6"/>
          <bgColor theme="9"/>
        </patternFill>
      </fill>
      <border>
        <bottom style="thick">
          <color theme="0"/>
        </bottom>
      </border>
    </dxf>
    <dxf>
      <font>
        <color theme="1"/>
      </font>
      <fill>
        <patternFill patternType="solid">
          <fgColor theme="6" tint="0.79998168889431442"/>
          <bgColor theme="6" tint="0.79998168889431442"/>
        </patternFill>
      </fill>
      <border>
        <vertical style="thin">
          <color theme="0"/>
        </vertical>
        <horizontal style="thin">
          <color theme="0"/>
        </horizontal>
      </border>
    </dxf>
    <dxf>
      <fill>
        <patternFill patternType="solid">
          <fgColor theme="6" tint="0.59999389629810485"/>
          <bgColor theme="6" tint="0.59999389629810485"/>
        </patternFill>
      </fill>
    </dxf>
    <dxf>
      <fill>
        <patternFill patternType="solid">
          <fgColor theme="6" tint="0.59999389629810485"/>
          <bgColor theme="6" tint="0.59999389629810485"/>
        </patternFill>
      </fill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b/>
        <color theme="0"/>
      </font>
      <fill>
        <patternFill patternType="solid">
          <fgColor theme="6"/>
          <bgColor theme="6"/>
        </patternFill>
      </fill>
      <border>
        <top style="thick">
          <color theme="0"/>
        </top>
      </border>
    </dxf>
    <dxf>
      <font>
        <b/>
        <color theme="0"/>
      </font>
      <fill>
        <patternFill patternType="solid">
          <fgColor theme="6"/>
          <bgColor theme="4" tint="-0.24994659260841701"/>
        </patternFill>
      </fill>
      <border>
        <bottom style="thick">
          <color theme="0"/>
        </bottom>
      </border>
    </dxf>
    <dxf>
      <font>
        <color theme="1"/>
      </font>
      <fill>
        <patternFill patternType="solid">
          <fgColor theme="6" tint="0.79998168889431442"/>
          <bgColor theme="6" tint="0.79998168889431442"/>
        </patternFill>
      </fill>
      <border>
        <vertical style="thin">
          <color theme="0"/>
        </vertical>
        <horizontal style="thin">
          <color theme="0"/>
        </horizontal>
      </border>
    </dxf>
    <dxf>
      <fill>
        <patternFill>
          <bgColor theme="0" tint="-4.9989318521683403E-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  <dxf>
      <border>
        <left style="thin">
          <color theme="0" tint="-0.24994659260841701"/>
        </left>
        <right style="thin">
          <color theme="0" tint="-0.24994659260841701"/>
        </right>
        <bottom style="thin">
          <color theme="0" tint="-0.24994659260841701"/>
        </bottom>
        <vertical style="hair">
          <color theme="0" tint="-0.24994659260841701"/>
        </vertical>
        <horizontal style="hair">
          <color theme="0" tint="-0.24994659260841701"/>
        </horizontal>
      </border>
    </dxf>
    <dxf>
      <fill>
        <patternFill>
          <bgColor theme="2" tint="-9.9948118533890809E-2"/>
        </patternFill>
      </fill>
    </dxf>
    <dxf>
      <fill>
        <patternFill>
          <bgColor theme="0" tint="-0.14996795556505021"/>
        </patternFill>
      </fill>
    </dxf>
    <dxf>
      <border>
        <top style="double">
          <color auto="1"/>
        </top>
      </border>
    </dxf>
    <dxf>
      <font>
        <b/>
        <i val="0"/>
        <color theme="0"/>
      </font>
      <fill>
        <patternFill>
          <bgColor theme="4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hair">
          <color theme="1"/>
        </vertical>
        <horizontal style="hair">
          <color theme="1"/>
        </horizontal>
      </border>
    </dxf>
  </dxfs>
  <tableStyles count="4" defaultTableStyle="TableStyleMedium2" defaultPivotStyle="PivotStyleLight16">
    <tableStyle name="Table Style 1" pivot="0" count="5" xr9:uid="{FFFD1644-0E7C-439A-87BC-B4086BCA955E}">
      <tableStyleElement type="wholeTable" dxfId="218"/>
      <tableStyleElement type="headerRow" dxfId="217"/>
      <tableStyleElement type="totalRow" dxfId="216"/>
      <tableStyleElement type="firstRowStripe" dxfId="215"/>
      <tableStyleElement type="secondRowStripe" dxfId="214"/>
    </tableStyle>
    <tableStyle name="Table Style 2" pivot="0" count="3" xr9:uid="{5580C650-0241-49D4-B009-D86ACD6CB3D7}">
      <tableStyleElement type="wholeTable" dxfId="213"/>
      <tableStyleElement type="headerRow" dxfId="212"/>
      <tableStyleElement type="secondRowStripe" dxfId="211"/>
    </tableStyle>
    <tableStyle name="TableStyleMedium11 2" pivot="0" count="7" xr9:uid="{44F490B0-7E1D-4DC9-B520-642856940D66}">
      <tableStyleElement type="wholeTable" dxfId="210"/>
      <tableStyleElement type="headerRow" dxfId="209"/>
      <tableStyleElement type="totalRow" dxfId="208"/>
      <tableStyleElement type="firstColumn" dxfId="207"/>
      <tableStyleElement type="lastColumn" dxfId="206"/>
      <tableStyleElement type="firstRowStripe" dxfId="205"/>
      <tableStyleElement type="firstColumnStripe" dxfId="204"/>
    </tableStyle>
    <tableStyle name="TableStyleMedium11 2 2" pivot="0" count="7" xr9:uid="{4FE55E7E-3E41-4F8B-9322-CFFECC080637}">
      <tableStyleElement type="wholeTable" dxfId="203"/>
      <tableStyleElement type="headerRow" dxfId="202"/>
      <tableStyleElement type="totalRow" dxfId="201"/>
      <tableStyleElement type="firstColumn" dxfId="200"/>
      <tableStyleElement type="lastColumn" dxfId="199"/>
      <tableStyleElement type="firstRowStripe" dxfId="198"/>
      <tableStyleElement type="firstColumnStripe" dxfId="197"/>
    </tableStyle>
  </tableStyles>
  <colors>
    <mruColors>
      <color rgb="FF00CCFF"/>
      <color rgb="FFCCFFFF"/>
      <color rgb="FFBB9DDB"/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134694</xdr:colOff>
      <xdr:row>0</xdr:row>
      <xdr:rowOff>18378</xdr:rowOff>
    </xdr:from>
    <xdr:to>
      <xdr:col>4</xdr:col>
      <xdr:colOff>1426060</xdr:colOff>
      <xdr:row>6</xdr:row>
      <xdr:rowOff>19049</xdr:rowOff>
    </xdr:to>
    <xdr:grpSp>
      <xdr:nvGrpSpPr>
        <xdr:cNvPr id="21" name="Group 20">
          <a:extLst>
            <a:ext uri="{FF2B5EF4-FFF2-40B4-BE49-F238E27FC236}">
              <a16:creationId xmlns:a16="http://schemas.microsoft.com/office/drawing/2014/main" id="{506631AC-6154-73EC-8367-F7961309246A}"/>
            </a:ext>
          </a:extLst>
        </xdr:cNvPr>
        <xdr:cNvGrpSpPr/>
      </xdr:nvGrpSpPr>
      <xdr:grpSpPr>
        <a:xfrm>
          <a:off x="134694" y="18378"/>
          <a:ext cx="6428142" cy="1237800"/>
          <a:chOff x="605117" y="100852"/>
          <a:chExt cx="4549872" cy="1128431"/>
        </a:xfrm>
      </xdr:grpSpPr>
      <xdr:sp macro="" textlink="">
        <xdr:nvSpPr>
          <xdr:cNvPr id="2" name="TextBox 1">
            <a:extLst>
              <a:ext uri="{FF2B5EF4-FFF2-40B4-BE49-F238E27FC236}">
                <a16:creationId xmlns:a16="http://schemas.microsoft.com/office/drawing/2014/main" id="{0492A207-1024-FBEB-B980-391B0E1FD167}"/>
              </a:ext>
            </a:extLst>
          </xdr:cNvPr>
          <xdr:cNvSpPr txBox="1"/>
        </xdr:nvSpPr>
        <xdr:spPr>
          <a:xfrm>
            <a:off x="605117" y="100852"/>
            <a:ext cx="4191001" cy="112843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lang="nl-NL" sz="1200" b="1">
                <a:latin typeface="Verdana Pro Cond" panose="020B0606030504040204" pitchFamily="34" charset="0"/>
              </a:rPr>
              <a:t>Specificatie</a:t>
            </a:r>
          </a:p>
          <a:p>
            <a:r>
              <a:rPr lang="nl-NL" sz="1200" b="1">
                <a:latin typeface="Verdana Pro Cond" panose="020B0606030504040204" pitchFamily="34" charset="0"/>
              </a:rPr>
              <a:t>Polisnummer</a:t>
            </a:r>
          </a:p>
          <a:p>
            <a:r>
              <a:rPr lang="nl-NL" sz="1200" b="1">
                <a:latin typeface="Verdana Pro Cond" panose="020B0606030504040204" pitchFamily="34" charset="0"/>
              </a:rPr>
              <a:t>NAB-nummer</a:t>
            </a:r>
          </a:p>
          <a:p>
            <a:r>
              <a:rPr lang="nl-NL" sz="1200" b="1">
                <a:latin typeface="Verdana Pro Cond" panose="020B0606030504040204" pitchFamily="34" charset="0"/>
              </a:rPr>
              <a:t>Verzekeringnemer</a:t>
            </a:r>
          </a:p>
          <a:p>
            <a:r>
              <a:rPr lang="nl-NL" sz="1200" b="1">
                <a:latin typeface="Verdana Pro Cond" panose="020B0606030504040204" pitchFamily="34" charset="0"/>
              </a:rPr>
              <a:t>Behorende bij</a:t>
            </a:r>
          </a:p>
          <a:p>
            <a:endParaRPr lang="nl-NL" sz="1200" b="1">
              <a:latin typeface="Verdana Pro Cond" panose="020B0606030504040204" pitchFamily="34" charset="0"/>
            </a:endParaRPr>
          </a:p>
        </xdr:txBody>
      </xdr:sp>
      <xdr:sp macro="" textlink="Overzicht!G7">
        <xdr:nvSpPr>
          <xdr:cNvPr id="7" name="TextBox 6">
            <a:extLst>
              <a:ext uri="{FF2B5EF4-FFF2-40B4-BE49-F238E27FC236}">
                <a16:creationId xmlns:a16="http://schemas.microsoft.com/office/drawing/2014/main" id="{9E84F944-7E99-82E1-772E-CF0D2A9DA650}"/>
              </a:ext>
            </a:extLst>
          </xdr:cNvPr>
          <xdr:cNvSpPr txBox="1"/>
        </xdr:nvSpPr>
        <xdr:spPr>
          <a:xfrm>
            <a:off x="2547718" y="257735"/>
            <a:ext cx="2455852" cy="27206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fld id="{B7EC3443-A252-435B-9ABD-5336A70D7FFF}" type="TxLink">
              <a:rPr lang="en-US" sz="1100" b="0" i="0" u="none" strike="noStrike">
                <a:solidFill>
                  <a:srgbClr val="000000"/>
                </a:solidFill>
                <a:latin typeface="Verdana Pro Cond"/>
              </a:rPr>
              <a:pPr/>
              <a:t>B0100133084-0</a:t>
            </a:fld>
            <a:endParaRPr lang="nl-NL" sz="1100"/>
          </a:p>
        </xdr:txBody>
      </xdr:sp>
      <xdr:sp macro="" textlink="Overzicht!G9">
        <xdr:nvSpPr>
          <xdr:cNvPr id="8" name="TextBox 7">
            <a:extLst>
              <a:ext uri="{FF2B5EF4-FFF2-40B4-BE49-F238E27FC236}">
                <a16:creationId xmlns:a16="http://schemas.microsoft.com/office/drawing/2014/main" id="{752D5BD6-251D-4108-B613-39B53F158BC0}"/>
              </a:ext>
            </a:extLst>
          </xdr:cNvPr>
          <xdr:cNvSpPr txBox="1"/>
        </xdr:nvSpPr>
        <xdr:spPr>
          <a:xfrm>
            <a:off x="2547717" y="638735"/>
            <a:ext cx="2607272" cy="27206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fld id="{BB05F85D-8AD0-413F-A518-DFDC4232B733}" type="TxLink">
              <a:rPr lang="en-US" sz="1100" b="0" i="0" u="none" strike="noStrike">
                <a:solidFill>
                  <a:srgbClr val="000000"/>
                </a:solidFill>
                <a:latin typeface="Verdana Pro Cond"/>
              </a:rPr>
              <a:pPr/>
              <a:t>Waterschap Limburg</a:t>
            </a:fld>
            <a:endParaRPr lang="nl-NL" sz="1100"/>
          </a:p>
        </xdr:txBody>
      </xdr:sp>
      <xdr:sp macro="" textlink="Overzicht!G8">
        <xdr:nvSpPr>
          <xdr:cNvPr id="9" name="TextBox 8">
            <a:extLst>
              <a:ext uri="{FF2B5EF4-FFF2-40B4-BE49-F238E27FC236}">
                <a16:creationId xmlns:a16="http://schemas.microsoft.com/office/drawing/2014/main" id="{24323582-12C8-49F3-AF43-8308884A722C}"/>
              </a:ext>
            </a:extLst>
          </xdr:cNvPr>
          <xdr:cNvSpPr txBox="1"/>
        </xdr:nvSpPr>
        <xdr:spPr>
          <a:xfrm>
            <a:off x="2547717" y="448235"/>
            <a:ext cx="2116401" cy="27206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fld id="{48688DD0-6CEB-4854-BDB6-232A407CCAC0}" type="TxLink">
              <a:rPr lang="en-US" sz="1100" b="0" i="0" u="none" strike="noStrike">
                <a:solidFill>
                  <a:srgbClr val="000000"/>
                </a:solidFill>
                <a:latin typeface="Verdana Pro Cond"/>
              </a:rPr>
              <a:pPr/>
              <a:t>629459208</a:t>
            </a:fld>
            <a:endParaRPr lang="nl-NL" sz="1100"/>
          </a:p>
        </xdr:txBody>
      </xdr:sp>
      <xdr:sp macro="" textlink="Overzicht!G10">
        <xdr:nvSpPr>
          <xdr:cNvPr id="10" name="TextBox 9">
            <a:extLst>
              <a:ext uri="{FF2B5EF4-FFF2-40B4-BE49-F238E27FC236}">
                <a16:creationId xmlns:a16="http://schemas.microsoft.com/office/drawing/2014/main" id="{2DD6BE25-4C9B-40CF-BB40-9D0F9FC30A6F}"/>
              </a:ext>
            </a:extLst>
          </xdr:cNvPr>
          <xdr:cNvSpPr txBox="1"/>
        </xdr:nvSpPr>
        <xdr:spPr>
          <a:xfrm>
            <a:off x="2547718" y="829235"/>
            <a:ext cx="2322651" cy="27206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fld id="{9D4D2D69-4DAD-4C8F-92EB-E5C593D6AB54}" type="TxLink">
              <a:rPr lang="en-US" sz="1100" b="0" i="0" u="none" strike="noStrike">
                <a:solidFill>
                  <a:srgbClr val="000000"/>
                </a:solidFill>
                <a:latin typeface="Verdana Pro Cond"/>
              </a:rPr>
              <a:pPr/>
              <a:t>Nieuwe polis</a:t>
            </a:fld>
            <a:endParaRPr lang="nl-NL" sz="11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56029</xdr:colOff>
      <xdr:row>0</xdr:row>
      <xdr:rowOff>44824</xdr:rowOff>
    </xdr:from>
    <xdr:to>
      <xdr:col>4</xdr:col>
      <xdr:colOff>941293</xdr:colOff>
      <xdr:row>5</xdr:row>
      <xdr:rowOff>190500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92B9D280-BAB7-454F-BD31-BABEB1B39353}"/>
            </a:ext>
          </a:extLst>
        </xdr:cNvPr>
        <xdr:cNvGrpSpPr/>
      </xdr:nvGrpSpPr>
      <xdr:grpSpPr>
        <a:xfrm>
          <a:off x="56029" y="44824"/>
          <a:ext cx="6264088" cy="1176617"/>
          <a:chOff x="605117" y="100853"/>
          <a:chExt cx="4419027" cy="1098176"/>
        </a:xfrm>
      </xdr:grpSpPr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26E13F9D-C4E5-5B8B-2DD7-46E14E0BB90A}"/>
              </a:ext>
            </a:extLst>
          </xdr:cNvPr>
          <xdr:cNvSpPr txBox="1"/>
        </xdr:nvSpPr>
        <xdr:spPr>
          <a:xfrm>
            <a:off x="605117" y="100853"/>
            <a:ext cx="4191001" cy="109817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lang="nl-NL" sz="1200" b="1">
                <a:latin typeface="Verdana Pro Cond" panose="020B0606030504040204" pitchFamily="34" charset="0"/>
              </a:rPr>
              <a:t>Specificatie</a:t>
            </a:r>
          </a:p>
          <a:p>
            <a:r>
              <a:rPr lang="nl-NL" sz="1200" b="1">
                <a:latin typeface="Verdana Pro Cond" panose="020B0606030504040204" pitchFamily="34" charset="0"/>
              </a:rPr>
              <a:t>Polisnummer</a:t>
            </a:r>
          </a:p>
          <a:p>
            <a:r>
              <a:rPr lang="nl-NL" sz="1200" b="1">
                <a:latin typeface="Verdana Pro Cond" panose="020B0606030504040204" pitchFamily="34" charset="0"/>
              </a:rPr>
              <a:t>NAB-nummer</a:t>
            </a:r>
          </a:p>
          <a:p>
            <a:r>
              <a:rPr lang="nl-NL" sz="1200" b="1">
                <a:latin typeface="Verdana Pro Cond" panose="020B0606030504040204" pitchFamily="34" charset="0"/>
              </a:rPr>
              <a:t>Verzekeringnemer</a:t>
            </a:r>
          </a:p>
          <a:p>
            <a:r>
              <a:rPr lang="nl-NL" sz="1200" b="1">
                <a:latin typeface="Verdana Pro Cond" panose="020B0606030504040204" pitchFamily="34" charset="0"/>
              </a:rPr>
              <a:t>Behorende bij</a:t>
            </a:r>
          </a:p>
          <a:p>
            <a:endParaRPr lang="nl-NL" sz="1200" b="1">
              <a:latin typeface="Verdana Pro Cond" panose="020B0606030504040204" pitchFamily="34" charset="0"/>
            </a:endParaRPr>
          </a:p>
        </xdr:txBody>
      </xdr:sp>
      <xdr:sp macro="" textlink="Overzicht!G7">
        <xdr:nvSpPr>
          <xdr:cNvPr id="5" name="TextBox 4">
            <a:extLst>
              <a:ext uri="{FF2B5EF4-FFF2-40B4-BE49-F238E27FC236}">
                <a16:creationId xmlns:a16="http://schemas.microsoft.com/office/drawing/2014/main" id="{3EAD921E-827A-B6E8-8ED8-1853EF499496}"/>
              </a:ext>
            </a:extLst>
          </xdr:cNvPr>
          <xdr:cNvSpPr txBox="1"/>
        </xdr:nvSpPr>
        <xdr:spPr>
          <a:xfrm>
            <a:off x="2547718" y="257735"/>
            <a:ext cx="2190651" cy="27206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fld id="{B7EC3443-A252-435B-9ABD-5336A70D7FFF}" type="TxLink">
              <a:rPr lang="en-US" sz="1100" b="0" i="0" u="none" strike="noStrike">
                <a:solidFill>
                  <a:srgbClr val="000000"/>
                </a:solidFill>
                <a:latin typeface="Verdana Pro Cond"/>
              </a:rPr>
              <a:pPr/>
              <a:t>B0100133084-0</a:t>
            </a:fld>
            <a:endParaRPr lang="nl-NL" sz="1100"/>
          </a:p>
        </xdr:txBody>
      </xdr:sp>
      <xdr:sp macro="" textlink="Overzicht!G9">
        <xdr:nvSpPr>
          <xdr:cNvPr id="6" name="TextBox 5">
            <a:extLst>
              <a:ext uri="{FF2B5EF4-FFF2-40B4-BE49-F238E27FC236}">
                <a16:creationId xmlns:a16="http://schemas.microsoft.com/office/drawing/2014/main" id="{DE3CAC52-BE2C-ABA2-91B9-9FA310BA9207}"/>
              </a:ext>
            </a:extLst>
          </xdr:cNvPr>
          <xdr:cNvSpPr txBox="1"/>
        </xdr:nvSpPr>
        <xdr:spPr>
          <a:xfrm>
            <a:off x="2547716" y="638735"/>
            <a:ext cx="2476428" cy="27206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fld id="{BB05F85D-8AD0-413F-A518-DFDC4232B733}" type="TxLink">
              <a:rPr lang="en-US" sz="1100" b="0" i="0" u="none" strike="noStrike">
                <a:solidFill>
                  <a:srgbClr val="000000"/>
                </a:solidFill>
                <a:latin typeface="Verdana Pro Cond"/>
              </a:rPr>
              <a:pPr/>
              <a:t>Waterschap Limburg</a:t>
            </a:fld>
            <a:endParaRPr lang="nl-NL" sz="1100"/>
          </a:p>
        </xdr:txBody>
      </xdr:sp>
      <xdr:sp macro="" textlink="Overzicht!G8">
        <xdr:nvSpPr>
          <xdr:cNvPr id="7" name="TextBox 6">
            <a:extLst>
              <a:ext uri="{FF2B5EF4-FFF2-40B4-BE49-F238E27FC236}">
                <a16:creationId xmlns:a16="http://schemas.microsoft.com/office/drawing/2014/main" id="{96388E36-834D-1C06-24C3-59A9A32B1A61}"/>
              </a:ext>
            </a:extLst>
          </xdr:cNvPr>
          <xdr:cNvSpPr txBox="1"/>
        </xdr:nvSpPr>
        <xdr:spPr>
          <a:xfrm>
            <a:off x="2547717" y="448235"/>
            <a:ext cx="2116401" cy="27206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fld id="{48688DD0-6CEB-4854-BDB6-232A407CCAC0}" type="TxLink">
              <a:rPr lang="en-US" sz="1100" b="0" i="0" u="none" strike="noStrike">
                <a:solidFill>
                  <a:srgbClr val="000000"/>
                </a:solidFill>
                <a:latin typeface="Verdana Pro Cond"/>
              </a:rPr>
              <a:pPr/>
              <a:t>629459208</a:t>
            </a:fld>
            <a:endParaRPr lang="nl-NL" sz="1100"/>
          </a:p>
        </xdr:txBody>
      </xdr:sp>
      <xdr:sp macro="" textlink="Overzicht!G10">
        <xdr:nvSpPr>
          <xdr:cNvPr id="8" name="TextBox 7">
            <a:extLst>
              <a:ext uri="{FF2B5EF4-FFF2-40B4-BE49-F238E27FC236}">
                <a16:creationId xmlns:a16="http://schemas.microsoft.com/office/drawing/2014/main" id="{FAB7D305-EA61-04AD-DF12-E411D52DB4E7}"/>
              </a:ext>
            </a:extLst>
          </xdr:cNvPr>
          <xdr:cNvSpPr txBox="1"/>
        </xdr:nvSpPr>
        <xdr:spPr>
          <a:xfrm>
            <a:off x="2547718" y="829235"/>
            <a:ext cx="2322651" cy="27206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fld id="{9D4D2D69-4DAD-4C8F-92EB-E5C593D6AB54}" type="TxLink">
              <a:rPr lang="en-US" sz="1100" b="0" i="0" u="none" strike="noStrike">
                <a:solidFill>
                  <a:srgbClr val="000000"/>
                </a:solidFill>
                <a:latin typeface="Verdana Pro Cond"/>
              </a:rPr>
              <a:pPr/>
              <a:t>Nieuwe polis</a:t>
            </a:fld>
            <a:endParaRPr lang="nl-NL" sz="1100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78442</xdr:colOff>
      <xdr:row>0</xdr:row>
      <xdr:rowOff>56028</xdr:rowOff>
    </xdr:from>
    <xdr:to>
      <xdr:col>5</xdr:col>
      <xdr:colOff>246305</xdr:colOff>
      <xdr:row>6</xdr:row>
      <xdr:rowOff>54348</xdr:rowOff>
    </xdr:to>
    <xdr:grpSp>
      <xdr:nvGrpSpPr>
        <xdr:cNvPr id="14" name="Group 13">
          <a:extLst>
            <a:ext uri="{FF2B5EF4-FFF2-40B4-BE49-F238E27FC236}">
              <a16:creationId xmlns:a16="http://schemas.microsoft.com/office/drawing/2014/main" id="{FC0F2FA6-DD09-4971-A34E-875FE08CF06E}"/>
            </a:ext>
          </a:extLst>
        </xdr:cNvPr>
        <xdr:cNvGrpSpPr/>
      </xdr:nvGrpSpPr>
      <xdr:grpSpPr>
        <a:xfrm>
          <a:off x="78442" y="56028"/>
          <a:ext cx="6568663" cy="1235449"/>
          <a:chOff x="605117" y="100852"/>
          <a:chExt cx="4702501" cy="1131795"/>
        </a:xfrm>
      </xdr:grpSpPr>
      <xdr:sp macro="" textlink="">
        <xdr:nvSpPr>
          <xdr:cNvPr id="15" name="TextBox 14">
            <a:extLst>
              <a:ext uri="{FF2B5EF4-FFF2-40B4-BE49-F238E27FC236}">
                <a16:creationId xmlns:a16="http://schemas.microsoft.com/office/drawing/2014/main" id="{763AB021-C11B-A8D1-0CC0-18C8C867E5A2}"/>
              </a:ext>
            </a:extLst>
          </xdr:cNvPr>
          <xdr:cNvSpPr txBox="1"/>
        </xdr:nvSpPr>
        <xdr:spPr>
          <a:xfrm>
            <a:off x="605117" y="100852"/>
            <a:ext cx="4191001" cy="113179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lang="nl-NL" sz="1200" b="1">
                <a:latin typeface="Verdana Pro Cond" panose="020B0606030504040204" pitchFamily="34" charset="0"/>
              </a:rPr>
              <a:t>Specificatie</a:t>
            </a:r>
          </a:p>
          <a:p>
            <a:r>
              <a:rPr lang="nl-NL" sz="1200" b="1">
                <a:latin typeface="Verdana Pro Cond" panose="020B0606030504040204" pitchFamily="34" charset="0"/>
              </a:rPr>
              <a:t>Polisnummer</a:t>
            </a:r>
          </a:p>
          <a:p>
            <a:r>
              <a:rPr lang="nl-NL" sz="1200" b="1">
                <a:latin typeface="Verdana Pro Cond" panose="020B0606030504040204" pitchFamily="34" charset="0"/>
              </a:rPr>
              <a:t>NAB-nummer</a:t>
            </a:r>
          </a:p>
          <a:p>
            <a:r>
              <a:rPr lang="nl-NL" sz="1200" b="1">
                <a:latin typeface="Verdana Pro Cond" panose="020B0606030504040204" pitchFamily="34" charset="0"/>
              </a:rPr>
              <a:t>Verzekeringnemer</a:t>
            </a:r>
          </a:p>
          <a:p>
            <a:r>
              <a:rPr lang="nl-NL" sz="1200" b="1">
                <a:latin typeface="Verdana Pro Cond" panose="020B0606030504040204" pitchFamily="34" charset="0"/>
              </a:rPr>
              <a:t>Behorende bij</a:t>
            </a:r>
          </a:p>
          <a:p>
            <a:endParaRPr lang="nl-NL" sz="1200" b="1">
              <a:latin typeface="Verdana Pro Cond" panose="020B0606030504040204" pitchFamily="34" charset="0"/>
            </a:endParaRPr>
          </a:p>
        </xdr:txBody>
      </xdr:sp>
      <xdr:sp macro="" textlink="Overzicht!G7">
        <xdr:nvSpPr>
          <xdr:cNvPr id="16" name="TextBox 15">
            <a:extLst>
              <a:ext uri="{FF2B5EF4-FFF2-40B4-BE49-F238E27FC236}">
                <a16:creationId xmlns:a16="http://schemas.microsoft.com/office/drawing/2014/main" id="{78234BBD-296B-7B34-78BE-2BE5EFCCF1DE}"/>
              </a:ext>
            </a:extLst>
          </xdr:cNvPr>
          <xdr:cNvSpPr txBox="1"/>
        </xdr:nvSpPr>
        <xdr:spPr>
          <a:xfrm>
            <a:off x="2547718" y="257735"/>
            <a:ext cx="2190651" cy="27206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fld id="{B7EC3443-A252-435B-9ABD-5336A70D7FFF}" type="TxLink">
              <a:rPr lang="en-US" sz="1100" b="0" i="0" u="none" strike="noStrike">
                <a:solidFill>
                  <a:srgbClr val="000000"/>
                </a:solidFill>
                <a:latin typeface="Verdana Pro Cond"/>
              </a:rPr>
              <a:pPr/>
              <a:t>B0100133084-0</a:t>
            </a:fld>
            <a:endParaRPr lang="nl-NL" sz="1100"/>
          </a:p>
        </xdr:txBody>
      </xdr:sp>
      <xdr:sp macro="" textlink="Overzicht!G9">
        <xdr:nvSpPr>
          <xdr:cNvPr id="17" name="TextBox 16">
            <a:extLst>
              <a:ext uri="{FF2B5EF4-FFF2-40B4-BE49-F238E27FC236}">
                <a16:creationId xmlns:a16="http://schemas.microsoft.com/office/drawing/2014/main" id="{BFE75EB2-88E7-C84E-EDED-3CAE41DD715B}"/>
              </a:ext>
            </a:extLst>
          </xdr:cNvPr>
          <xdr:cNvSpPr txBox="1"/>
        </xdr:nvSpPr>
        <xdr:spPr>
          <a:xfrm>
            <a:off x="2547717" y="638735"/>
            <a:ext cx="2644401" cy="27206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fld id="{BB05F85D-8AD0-413F-A518-DFDC4232B733}" type="TxLink">
              <a:rPr lang="en-US" sz="1100" b="0" i="0" u="none" strike="noStrike">
                <a:solidFill>
                  <a:srgbClr val="000000"/>
                </a:solidFill>
                <a:latin typeface="Verdana Pro Cond"/>
              </a:rPr>
              <a:pPr/>
              <a:t>Waterschap Limburg</a:t>
            </a:fld>
            <a:endParaRPr lang="nl-NL" sz="1100"/>
          </a:p>
        </xdr:txBody>
      </xdr:sp>
      <xdr:sp macro="" textlink="Overzicht!G8">
        <xdr:nvSpPr>
          <xdr:cNvPr id="18" name="TextBox 17">
            <a:extLst>
              <a:ext uri="{FF2B5EF4-FFF2-40B4-BE49-F238E27FC236}">
                <a16:creationId xmlns:a16="http://schemas.microsoft.com/office/drawing/2014/main" id="{9378525C-7EB9-719A-D97F-4B23E372FD41}"/>
              </a:ext>
            </a:extLst>
          </xdr:cNvPr>
          <xdr:cNvSpPr txBox="1"/>
        </xdr:nvSpPr>
        <xdr:spPr>
          <a:xfrm>
            <a:off x="2547717" y="448235"/>
            <a:ext cx="2116401" cy="27206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fld id="{48688DD0-6CEB-4854-BDB6-232A407CCAC0}" type="TxLink">
              <a:rPr lang="en-US" sz="1100" b="0" i="0" u="none" strike="noStrike">
                <a:solidFill>
                  <a:srgbClr val="000000"/>
                </a:solidFill>
                <a:latin typeface="Verdana Pro Cond"/>
              </a:rPr>
              <a:pPr/>
              <a:t>629459208</a:t>
            </a:fld>
            <a:endParaRPr lang="nl-NL" sz="1100"/>
          </a:p>
        </xdr:txBody>
      </xdr:sp>
      <xdr:sp macro="" textlink="Overzicht!G10">
        <xdr:nvSpPr>
          <xdr:cNvPr id="19" name="TextBox 18">
            <a:extLst>
              <a:ext uri="{FF2B5EF4-FFF2-40B4-BE49-F238E27FC236}">
                <a16:creationId xmlns:a16="http://schemas.microsoft.com/office/drawing/2014/main" id="{6F6495B3-6F4B-8A2A-4CD5-BD9590CE3C56}"/>
              </a:ext>
            </a:extLst>
          </xdr:cNvPr>
          <xdr:cNvSpPr txBox="1"/>
        </xdr:nvSpPr>
        <xdr:spPr>
          <a:xfrm>
            <a:off x="2547718" y="829235"/>
            <a:ext cx="2759900" cy="27206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fld id="{9D4D2D69-4DAD-4C8F-92EB-E5C593D6AB54}" type="TxLink">
              <a:rPr lang="en-US" sz="1100" b="0" i="0" u="none" strike="noStrike">
                <a:solidFill>
                  <a:srgbClr val="000000"/>
                </a:solidFill>
                <a:latin typeface="Verdana Pro Cond"/>
              </a:rPr>
              <a:pPr/>
              <a:t>Nieuwe polis</a:t>
            </a:fld>
            <a:endParaRPr lang="nl-NL" sz="1100"/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38100</xdr:colOff>
      <xdr:row>0</xdr:row>
      <xdr:rowOff>28574</xdr:rowOff>
    </xdr:from>
    <xdr:to>
      <xdr:col>4</xdr:col>
      <xdr:colOff>430867</xdr:colOff>
      <xdr:row>5</xdr:row>
      <xdr:rowOff>152399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28650320-BFC1-49DC-B6A7-EB5BAF974E8D}"/>
            </a:ext>
          </a:extLst>
        </xdr:cNvPr>
        <xdr:cNvGrpSpPr/>
      </xdr:nvGrpSpPr>
      <xdr:grpSpPr>
        <a:xfrm>
          <a:off x="38100" y="28574"/>
          <a:ext cx="5955367" cy="1152525"/>
          <a:chOff x="605117" y="100852"/>
          <a:chExt cx="4265252" cy="1076325"/>
        </a:xfrm>
      </xdr:grpSpPr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B713962B-C271-6898-0AB5-C84BD15B0CFF}"/>
              </a:ext>
            </a:extLst>
          </xdr:cNvPr>
          <xdr:cNvSpPr txBox="1"/>
        </xdr:nvSpPr>
        <xdr:spPr>
          <a:xfrm>
            <a:off x="605117" y="100852"/>
            <a:ext cx="4191001" cy="107632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lang="nl-NL" sz="1200" b="1">
                <a:latin typeface="Verdana Pro Cond" panose="020B0606030504040204" pitchFamily="34" charset="0"/>
              </a:rPr>
              <a:t>Specificatie</a:t>
            </a:r>
          </a:p>
          <a:p>
            <a:r>
              <a:rPr lang="nl-NL" sz="1200" b="1">
                <a:latin typeface="Verdana Pro Cond" panose="020B0606030504040204" pitchFamily="34" charset="0"/>
              </a:rPr>
              <a:t>Polisnummer</a:t>
            </a:r>
          </a:p>
          <a:p>
            <a:r>
              <a:rPr lang="nl-NL" sz="1200" b="1">
                <a:latin typeface="Verdana Pro Cond" panose="020B0606030504040204" pitchFamily="34" charset="0"/>
              </a:rPr>
              <a:t>NAB-nummer</a:t>
            </a:r>
          </a:p>
          <a:p>
            <a:r>
              <a:rPr lang="nl-NL" sz="1200" b="1">
                <a:latin typeface="Verdana Pro Cond" panose="020B0606030504040204" pitchFamily="34" charset="0"/>
              </a:rPr>
              <a:t>Verzekeringnemer</a:t>
            </a:r>
          </a:p>
          <a:p>
            <a:r>
              <a:rPr lang="nl-NL" sz="1200" b="1">
                <a:latin typeface="Verdana Pro Cond" panose="020B0606030504040204" pitchFamily="34" charset="0"/>
              </a:rPr>
              <a:t>Behorende bij</a:t>
            </a:r>
          </a:p>
          <a:p>
            <a:endParaRPr lang="nl-NL" sz="1200" b="1">
              <a:latin typeface="Verdana Pro Cond" panose="020B0606030504040204" pitchFamily="34" charset="0"/>
            </a:endParaRPr>
          </a:p>
        </xdr:txBody>
      </xdr:sp>
      <xdr:sp macro="" textlink="Overzicht!G7">
        <xdr:nvSpPr>
          <xdr:cNvPr id="17" name="TextBox 16">
            <a:extLst>
              <a:ext uri="{FF2B5EF4-FFF2-40B4-BE49-F238E27FC236}">
                <a16:creationId xmlns:a16="http://schemas.microsoft.com/office/drawing/2014/main" id="{C4265BCF-AF21-A53E-FF9D-F4F38CEFB036}"/>
              </a:ext>
            </a:extLst>
          </xdr:cNvPr>
          <xdr:cNvSpPr txBox="1"/>
        </xdr:nvSpPr>
        <xdr:spPr>
          <a:xfrm>
            <a:off x="2547718" y="257735"/>
            <a:ext cx="2190651" cy="27206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fld id="{B7EC3443-A252-435B-9ABD-5336A70D7FFF}" type="TxLink">
              <a:rPr lang="en-US" sz="1100" b="0" i="0" u="none" strike="noStrike">
                <a:solidFill>
                  <a:srgbClr val="000000"/>
                </a:solidFill>
                <a:latin typeface="Verdana Pro Cond"/>
              </a:rPr>
              <a:pPr/>
              <a:t>B0100133084-0</a:t>
            </a:fld>
            <a:endParaRPr lang="nl-NL" sz="1100"/>
          </a:p>
        </xdr:txBody>
      </xdr:sp>
      <xdr:sp macro="" textlink="Overzicht!G9">
        <xdr:nvSpPr>
          <xdr:cNvPr id="18" name="TextBox 17">
            <a:extLst>
              <a:ext uri="{FF2B5EF4-FFF2-40B4-BE49-F238E27FC236}">
                <a16:creationId xmlns:a16="http://schemas.microsoft.com/office/drawing/2014/main" id="{00FF1FA7-F691-C725-D641-5F071C142DA6}"/>
              </a:ext>
            </a:extLst>
          </xdr:cNvPr>
          <xdr:cNvSpPr txBox="1"/>
        </xdr:nvSpPr>
        <xdr:spPr>
          <a:xfrm>
            <a:off x="2547717" y="638735"/>
            <a:ext cx="1992651" cy="27206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fld id="{BB05F85D-8AD0-413F-A518-DFDC4232B733}" type="TxLink">
              <a:rPr lang="en-US" sz="1100" b="0" i="0" u="none" strike="noStrike">
                <a:solidFill>
                  <a:srgbClr val="000000"/>
                </a:solidFill>
                <a:latin typeface="Verdana Pro Cond"/>
              </a:rPr>
              <a:pPr/>
              <a:t>Waterschap Limburg</a:t>
            </a:fld>
            <a:endParaRPr lang="nl-NL" sz="1100"/>
          </a:p>
        </xdr:txBody>
      </xdr:sp>
      <xdr:sp macro="" textlink="Overzicht!G8">
        <xdr:nvSpPr>
          <xdr:cNvPr id="19" name="TextBox 18">
            <a:extLst>
              <a:ext uri="{FF2B5EF4-FFF2-40B4-BE49-F238E27FC236}">
                <a16:creationId xmlns:a16="http://schemas.microsoft.com/office/drawing/2014/main" id="{EEEF0812-7F79-2F36-CB50-88F4549AD160}"/>
              </a:ext>
            </a:extLst>
          </xdr:cNvPr>
          <xdr:cNvSpPr txBox="1"/>
        </xdr:nvSpPr>
        <xdr:spPr>
          <a:xfrm>
            <a:off x="2547717" y="448235"/>
            <a:ext cx="2116401" cy="27206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fld id="{48688DD0-6CEB-4854-BDB6-232A407CCAC0}" type="TxLink">
              <a:rPr lang="en-US" sz="1100" b="0" i="0" u="none" strike="noStrike">
                <a:solidFill>
                  <a:srgbClr val="000000"/>
                </a:solidFill>
                <a:latin typeface="Verdana Pro Cond"/>
              </a:rPr>
              <a:pPr/>
              <a:t>629459208</a:t>
            </a:fld>
            <a:endParaRPr lang="nl-NL" sz="1100"/>
          </a:p>
        </xdr:txBody>
      </xdr:sp>
      <xdr:sp macro="" textlink="Overzicht!G10">
        <xdr:nvSpPr>
          <xdr:cNvPr id="20" name="TextBox 19">
            <a:extLst>
              <a:ext uri="{FF2B5EF4-FFF2-40B4-BE49-F238E27FC236}">
                <a16:creationId xmlns:a16="http://schemas.microsoft.com/office/drawing/2014/main" id="{5EC50E0A-5BA4-7107-A75C-2C429DE922CD}"/>
              </a:ext>
            </a:extLst>
          </xdr:cNvPr>
          <xdr:cNvSpPr txBox="1"/>
        </xdr:nvSpPr>
        <xdr:spPr>
          <a:xfrm>
            <a:off x="2547718" y="829235"/>
            <a:ext cx="2322651" cy="27206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fld id="{9D4D2D69-4DAD-4C8F-92EB-E5C593D6AB54}" type="TxLink">
              <a:rPr lang="en-US" sz="1100" b="0" i="0" u="none" strike="noStrike">
                <a:solidFill>
                  <a:srgbClr val="000000"/>
                </a:solidFill>
                <a:latin typeface="Verdana Pro Cond"/>
              </a:rPr>
              <a:pPr/>
              <a:t>Nieuwe polis</a:t>
            </a:fld>
            <a:endParaRPr lang="nl-NL" sz="1100"/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38100</xdr:colOff>
      <xdr:row>0</xdr:row>
      <xdr:rowOff>47624</xdr:rowOff>
    </xdr:from>
    <xdr:to>
      <xdr:col>4</xdr:col>
      <xdr:colOff>373717</xdr:colOff>
      <xdr:row>5</xdr:row>
      <xdr:rowOff>190499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9E8CB705-CAE6-4424-801D-EAE939FD68A6}"/>
            </a:ext>
          </a:extLst>
        </xdr:cNvPr>
        <xdr:cNvGrpSpPr/>
      </xdr:nvGrpSpPr>
      <xdr:grpSpPr>
        <a:xfrm>
          <a:off x="38100" y="47624"/>
          <a:ext cx="5951557" cy="1171575"/>
          <a:chOff x="605117" y="100852"/>
          <a:chExt cx="4265252" cy="1095375"/>
        </a:xfrm>
      </xdr:grpSpPr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E4C54068-B75F-7C4A-51EA-2A5F07173FBB}"/>
              </a:ext>
            </a:extLst>
          </xdr:cNvPr>
          <xdr:cNvSpPr txBox="1"/>
        </xdr:nvSpPr>
        <xdr:spPr>
          <a:xfrm>
            <a:off x="605117" y="100852"/>
            <a:ext cx="4191001" cy="109537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lang="nl-NL" sz="1200" b="1">
                <a:latin typeface="Verdana Pro Cond" panose="020B0606030504040204" pitchFamily="34" charset="0"/>
              </a:rPr>
              <a:t>Specificatie</a:t>
            </a:r>
          </a:p>
          <a:p>
            <a:r>
              <a:rPr lang="nl-NL" sz="1200" b="1">
                <a:latin typeface="Verdana Pro Cond" panose="020B0606030504040204" pitchFamily="34" charset="0"/>
              </a:rPr>
              <a:t>Polisnummer</a:t>
            </a:r>
          </a:p>
          <a:p>
            <a:r>
              <a:rPr lang="nl-NL" sz="1200" b="1">
                <a:latin typeface="Verdana Pro Cond" panose="020B0606030504040204" pitchFamily="34" charset="0"/>
              </a:rPr>
              <a:t>NAB-nummer</a:t>
            </a:r>
          </a:p>
          <a:p>
            <a:r>
              <a:rPr lang="nl-NL" sz="1200" b="1">
                <a:latin typeface="Verdana Pro Cond" panose="020B0606030504040204" pitchFamily="34" charset="0"/>
              </a:rPr>
              <a:t>Verzekeringnemer</a:t>
            </a:r>
          </a:p>
          <a:p>
            <a:r>
              <a:rPr lang="nl-NL" sz="1200" b="1">
                <a:latin typeface="Verdana Pro Cond" panose="020B0606030504040204" pitchFamily="34" charset="0"/>
              </a:rPr>
              <a:t>Behorende bij</a:t>
            </a:r>
          </a:p>
          <a:p>
            <a:endParaRPr lang="nl-NL" sz="1200" b="1">
              <a:latin typeface="Verdana Pro Cond" panose="020B0606030504040204" pitchFamily="34" charset="0"/>
            </a:endParaRPr>
          </a:p>
        </xdr:txBody>
      </xdr:sp>
      <xdr:sp macro="" textlink="Overzicht!G7">
        <xdr:nvSpPr>
          <xdr:cNvPr id="10" name="TextBox 9">
            <a:extLst>
              <a:ext uri="{FF2B5EF4-FFF2-40B4-BE49-F238E27FC236}">
                <a16:creationId xmlns:a16="http://schemas.microsoft.com/office/drawing/2014/main" id="{BE355CB6-84D3-C41B-A95B-145217AB9370}"/>
              </a:ext>
            </a:extLst>
          </xdr:cNvPr>
          <xdr:cNvSpPr txBox="1"/>
        </xdr:nvSpPr>
        <xdr:spPr>
          <a:xfrm>
            <a:off x="2547718" y="257735"/>
            <a:ext cx="2190651" cy="27206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fld id="{B7EC3443-A252-435B-9ABD-5336A70D7FFF}" type="TxLink">
              <a:rPr lang="en-US" sz="1100" b="0" i="0" u="none" strike="noStrike">
                <a:solidFill>
                  <a:srgbClr val="000000"/>
                </a:solidFill>
                <a:latin typeface="Verdana Pro Cond"/>
              </a:rPr>
              <a:pPr/>
              <a:t>B0100133084-0</a:t>
            </a:fld>
            <a:endParaRPr lang="nl-NL" sz="1100"/>
          </a:p>
        </xdr:txBody>
      </xdr:sp>
      <xdr:sp macro="" textlink="Overzicht!G9">
        <xdr:nvSpPr>
          <xdr:cNvPr id="11" name="TextBox 10">
            <a:extLst>
              <a:ext uri="{FF2B5EF4-FFF2-40B4-BE49-F238E27FC236}">
                <a16:creationId xmlns:a16="http://schemas.microsoft.com/office/drawing/2014/main" id="{0A60D529-F2B5-92DB-B670-96864E674E27}"/>
              </a:ext>
            </a:extLst>
          </xdr:cNvPr>
          <xdr:cNvSpPr txBox="1"/>
        </xdr:nvSpPr>
        <xdr:spPr>
          <a:xfrm>
            <a:off x="2547717" y="638735"/>
            <a:ext cx="1992651" cy="27206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fld id="{BB05F85D-8AD0-413F-A518-DFDC4232B733}" type="TxLink">
              <a:rPr lang="en-US" sz="1100" b="0" i="0" u="none" strike="noStrike">
                <a:solidFill>
                  <a:srgbClr val="000000"/>
                </a:solidFill>
                <a:latin typeface="Verdana Pro Cond"/>
              </a:rPr>
              <a:pPr/>
              <a:t>Waterschap Limburg</a:t>
            </a:fld>
            <a:endParaRPr lang="nl-NL" sz="1100"/>
          </a:p>
        </xdr:txBody>
      </xdr:sp>
      <xdr:sp macro="" textlink="Overzicht!G8">
        <xdr:nvSpPr>
          <xdr:cNvPr id="12" name="TextBox 11">
            <a:extLst>
              <a:ext uri="{FF2B5EF4-FFF2-40B4-BE49-F238E27FC236}">
                <a16:creationId xmlns:a16="http://schemas.microsoft.com/office/drawing/2014/main" id="{DE58251D-5B56-59CB-4CF9-6DFFB18DE118}"/>
              </a:ext>
            </a:extLst>
          </xdr:cNvPr>
          <xdr:cNvSpPr txBox="1"/>
        </xdr:nvSpPr>
        <xdr:spPr>
          <a:xfrm>
            <a:off x="2547717" y="448235"/>
            <a:ext cx="2116401" cy="27206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fld id="{48688DD0-6CEB-4854-BDB6-232A407CCAC0}" type="TxLink">
              <a:rPr lang="en-US" sz="1100" b="0" i="0" u="none" strike="noStrike">
                <a:solidFill>
                  <a:srgbClr val="000000"/>
                </a:solidFill>
                <a:latin typeface="Verdana Pro Cond"/>
              </a:rPr>
              <a:pPr/>
              <a:t>629459208</a:t>
            </a:fld>
            <a:endParaRPr lang="nl-NL" sz="1100"/>
          </a:p>
        </xdr:txBody>
      </xdr:sp>
      <xdr:sp macro="" textlink="Overzicht!G10">
        <xdr:nvSpPr>
          <xdr:cNvPr id="13" name="TextBox 12">
            <a:extLst>
              <a:ext uri="{FF2B5EF4-FFF2-40B4-BE49-F238E27FC236}">
                <a16:creationId xmlns:a16="http://schemas.microsoft.com/office/drawing/2014/main" id="{1FE423BB-7CE3-2FB0-0F14-6E69DFBB907E}"/>
              </a:ext>
            </a:extLst>
          </xdr:cNvPr>
          <xdr:cNvSpPr txBox="1"/>
        </xdr:nvSpPr>
        <xdr:spPr>
          <a:xfrm>
            <a:off x="2547718" y="829235"/>
            <a:ext cx="2322651" cy="27206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fld id="{9D4D2D69-4DAD-4C8F-92EB-E5C593D6AB54}" type="TxLink">
              <a:rPr lang="en-US" sz="1100" b="0" i="0" u="none" strike="noStrike">
                <a:solidFill>
                  <a:srgbClr val="000000"/>
                </a:solidFill>
                <a:latin typeface="Verdana Pro Cond"/>
              </a:rPr>
              <a:pPr/>
              <a:t>Nieuwe polis</a:t>
            </a:fld>
            <a:endParaRPr lang="nl-NL" sz="1100"/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9525</xdr:colOff>
      <xdr:row>0</xdr:row>
      <xdr:rowOff>28575</xdr:rowOff>
    </xdr:from>
    <xdr:to>
      <xdr:col>4</xdr:col>
      <xdr:colOff>107017</xdr:colOff>
      <xdr:row>5</xdr:row>
      <xdr:rowOff>161925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233CA6A5-43F3-4DEF-8195-D3C02C058DFF}"/>
            </a:ext>
          </a:extLst>
        </xdr:cNvPr>
        <xdr:cNvGrpSpPr/>
      </xdr:nvGrpSpPr>
      <xdr:grpSpPr>
        <a:xfrm>
          <a:off x="9525" y="28575"/>
          <a:ext cx="5957272" cy="1162050"/>
          <a:chOff x="605117" y="100853"/>
          <a:chExt cx="4265252" cy="1085850"/>
        </a:xfrm>
      </xdr:grpSpPr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D0A5EF3-20CD-8D7C-43C8-3DABB889EDFB}"/>
              </a:ext>
            </a:extLst>
          </xdr:cNvPr>
          <xdr:cNvSpPr txBox="1"/>
        </xdr:nvSpPr>
        <xdr:spPr>
          <a:xfrm>
            <a:off x="605117" y="100853"/>
            <a:ext cx="4191001" cy="108585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lang="nl-NL" sz="1200" b="1">
                <a:latin typeface="Verdana Pro Cond" panose="020B0606030504040204" pitchFamily="34" charset="0"/>
              </a:rPr>
              <a:t>Specificatie</a:t>
            </a:r>
          </a:p>
          <a:p>
            <a:r>
              <a:rPr lang="nl-NL" sz="1200" b="1">
                <a:latin typeface="Verdana Pro Cond" panose="020B0606030504040204" pitchFamily="34" charset="0"/>
              </a:rPr>
              <a:t>Polisnummer</a:t>
            </a:r>
          </a:p>
          <a:p>
            <a:r>
              <a:rPr lang="nl-NL" sz="1200" b="1">
                <a:latin typeface="Verdana Pro Cond" panose="020B0606030504040204" pitchFamily="34" charset="0"/>
              </a:rPr>
              <a:t>NAB-nummer</a:t>
            </a:r>
          </a:p>
          <a:p>
            <a:r>
              <a:rPr lang="nl-NL" sz="1200" b="1">
                <a:latin typeface="Verdana Pro Cond" panose="020B0606030504040204" pitchFamily="34" charset="0"/>
              </a:rPr>
              <a:t>Verzekeringnemer</a:t>
            </a:r>
          </a:p>
          <a:p>
            <a:r>
              <a:rPr lang="nl-NL" sz="1200" b="1">
                <a:latin typeface="Verdana Pro Cond" panose="020B0606030504040204" pitchFamily="34" charset="0"/>
              </a:rPr>
              <a:t>Behorende bij</a:t>
            </a:r>
          </a:p>
          <a:p>
            <a:endParaRPr lang="nl-NL" sz="1200" b="1">
              <a:latin typeface="Verdana Pro Cond" panose="020B0606030504040204" pitchFamily="34" charset="0"/>
            </a:endParaRPr>
          </a:p>
        </xdr:txBody>
      </xdr:sp>
      <xdr:sp macro="" textlink="Overzicht!G7">
        <xdr:nvSpPr>
          <xdr:cNvPr id="11" name="TextBox 10">
            <a:extLst>
              <a:ext uri="{FF2B5EF4-FFF2-40B4-BE49-F238E27FC236}">
                <a16:creationId xmlns:a16="http://schemas.microsoft.com/office/drawing/2014/main" id="{7BDE7370-D069-0339-5D1F-5E08EBC59E89}"/>
              </a:ext>
            </a:extLst>
          </xdr:cNvPr>
          <xdr:cNvSpPr txBox="1"/>
        </xdr:nvSpPr>
        <xdr:spPr>
          <a:xfrm>
            <a:off x="2547718" y="257735"/>
            <a:ext cx="2190651" cy="27206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fld id="{B7EC3443-A252-435B-9ABD-5336A70D7FFF}" type="TxLink">
              <a:rPr lang="en-US" sz="1100" b="0" i="0" u="none" strike="noStrike">
                <a:solidFill>
                  <a:srgbClr val="000000"/>
                </a:solidFill>
                <a:latin typeface="Verdana Pro Cond"/>
              </a:rPr>
              <a:pPr/>
              <a:t>B0100133084-0</a:t>
            </a:fld>
            <a:endParaRPr lang="nl-NL" sz="1100"/>
          </a:p>
        </xdr:txBody>
      </xdr:sp>
      <xdr:sp macro="" textlink="Overzicht!G9">
        <xdr:nvSpPr>
          <xdr:cNvPr id="12" name="TextBox 11">
            <a:extLst>
              <a:ext uri="{FF2B5EF4-FFF2-40B4-BE49-F238E27FC236}">
                <a16:creationId xmlns:a16="http://schemas.microsoft.com/office/drawing/2014/main" id="{86B65B41-82A7-0002-2796-609E2B98E020}"/>
              </a:ext>
            </a:extLst>
          </xdr:cNvPr>
          <xdr:cNvSpPr txBox="1"/>
        </xdr:nvSpPr>
        <xdr:spPr>
          <a:xfrm>
            <a:off x="2547717" y="638735"/>
            <a:ext cx="1992651" cy="27206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fld id="{BB05F85D-8AD0-413F-A518-DFDC4232B733}" type="TxLink">
              <a:rPr lang="en-US" sz="1100" b="0" i="0" u="none" strike="noStrike">
                <a:solidFill>
                  <a:srgbClr val="000000"/>
                </a:solidFill>
                <a:latin typeface="Verdana Pro Cond"/>
              </a:rPr>
              <a:pPr/>
              <a:t>Waterschap Limburg</a:t>
            </a:fld>
            <a:endParaRPr lang="nl-NL" sz="1100"/>
          </a:p>
        </xdr:txBody>
      </xdr:sp>
      <xdr:sp macro="" textlink="Overzicht!G8">
        <xdr:nvSpPr>
          <xdr:cNvPr id="13" name="TextBox 12">
            <a:extLst>
              <a:ext uri="{FF2B5EF4-FFF2-40B4-BE49-F238E27FC236}">
                <a16:creationId xmlns:a16="http://schemas.microsoft.com/office/drawing/2014/main" id="{844A3340-1D22-BB0E-0ADC-C55566D0E6C9}"/>
              </a:ext>
            </a:extLst>
          </xdr:cNvPr>
          <xdr:cNvSpPr txBox="1"/>
        </xdr:nvSpPr>
        <xdr:spPr>
          <a:xfrm>
            <a:off x="2547717" y="448235"/>
            <a:ext cx="2116401" cy="27206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fld id="{48688DD0-6CEB-4854-BDB6-232A407CCAC0}" type="TxLink">
              <a:rPr lang="en-US" sz="1100" b="0" i="0" u="none" strike="noStrike">
                <a:solidFill>
                  <a:srgbClr val="000000"/>
                </a:solidFill>
                <a:latin typeface="Verdana Pro Cond"/>
              </a:rPr>
              <a:pPr/>
              <a:t>629459208</a:t>
            </a:fld>
            <a:endParaRPr lang="nl-NL" sz="1100"/>
          </a:p>
        </xdr:txBody>
      </xdr:sp>
      <xdr:sp macro="" textlink="Overzicht!G10">
        <xdr:nvSpPr>
          <xdr:cNvPr id="14" name="TextBox 13">
            <a:extLst>
              <a:ext uri="{FF2B5EF4-FFF2-40B4-BE49-F238E27FC236}">
                <a16:creationId xmlns:a16="http://schemas.microsoft.com/office/drawing/2014/main" id="{C167F96D-BF34-BEC3-EA74-887466570AED}"/>
              </a:ext>
            </a:extLst>
          </xdr:cNvPr>
          <xdr:cNvSpPr txBox="1"/>
        </xdr:nvSpPr>
        <xdr:spPr>
          <a:xfrm>
            <a:off x="2547718" y="829235"/>
            <a:ext cx="2322651" cy="27206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fld id="{9D4D2D69-4DAD-4C8F-92EB-E5C593D6AB54}" type="TxLink">
              <a:rPr lang="en-US" sz="1100" b="0" i="0" u="none" strike="noStrike">
                <a:solidFill>
                  <a:srgbClr val="000000"/>
                </a:solidFill>
                <a:latin typeface="Verdana Pro Cond"/>
              </a:rPr>
              <a:pPr/>
              <a:t>Nieuwe polis</a:t>
            </a:fld>
            <a:endParaRPr lang="nl-NL" sz="1100"/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95250</xdr:colOff>
      <xdr:row>0</xdr:row>
      <xdr:rowOff>114300</xdr:rowOff>
    </xdr:from>
    <xdr:to>
      <xdr:col>2</xdr:col>
      <xdr:colOff>626828</xdr:colOff>
      <xdr:row>2</xdr:row>
      <xdr:rowOff>78571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63E4584-B0E1-4CDD-8106-2761254E5439}"/>
            </a:ext>
          </a:extLst>
        </xdr:cNvPr>
        <xdr:cNvSpPr txBox="1"/>
      </xdr:nvSpPr>
      <xdr:spPr>
        <a:xfrm>
          <a:off x="276225" y="114300"/>
          <a:ext cx="2415623" cy="3452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nl-NL" sz="1600" b="1">
              <a:solidFill>
                <a:schemeClr val="bg1"/>
              </a:solidFill>
            </a:rPr>
            <a:t>Calculation</a:t>
          </a:r>
          <a:r>
            <a:rPr lang="nl-NL" sz="1600" b="1" baseline="0">
              <a:solidFill>
                <a:schemeClr val="bg1"/>
              </a:solidFill>
            </a:rPr>
            <a:t> data</a:t>
          </a:r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ick Zondag" refreshedDate="46289.442741782404" createdVersion="7" refreshedVersion="8" minRefreshableVersion="3" recordCount="285" xr:uid="{02FA22BC-F289-42AE-8C1E-644BE7EA5223}">
  <cacheSource type="worksheet">
    <worksheetSource name="Table3"/>
  </cacheSource>
  <cacheFields count="25">
    <cacheField name="Verzekerde" numFmtId="164">
      <sharedItems containsBlank="1" count="3">
        <s v="Waterschap Limburg"/>
        <s v="Waterschapsbedrijf Limburg"/>
        <m/>
      </sharedItems>
    </cacheField>
    <cacheField name="Certificaat" numFmtId="0">
      <sharedItems containsString="0" containsBlank="1" containsNumber="1" containsInteger="1" minValue="0" maxValue="0"/>
    </cacheField>
    <cacheField name="Sub" numFmtId="164">
      <sharedItems containsSemiMixedTypes="0" containsString="0" containsNumber="1" containsInteger="1" minValue="1" maxValue="285"/>
    </cacheField>
    <cacheField name="Verzekerde interest" numFmtId="0">
      <sharedItems count="9">
        <s v="Gebouwen"/>
        <s v="Bedrijfsuitrusting/inventaris"/>
        <s v="Sloopwaarde-opruimingskosten  "/>
        <s v="Bedrijfsuitrusting"/>
        <s v="Installaties"/>
        <s v="-"/>
        <s v="Reconstructiekosten" u="1"/>
        <s v="Opruimingskosten" u="1"/>
        <s v="Reconstructiekosten/_x000a_reproductiekosten" u="1"/>
      </sharedItems>
    </cacheField>
    <cacheField name="Bestemming" numFmtId="0">
      <sharedItems containsBlank="1"/>
    </cacheField>
    <cacheField name="Omschrijving" numFmtId="0">
      <sharedItems containsBlank="1"/>
    </cacheField>
    <cacheField name="Schadevergoedingstermijn" numFmtId="0">
      <sharedItems containsNonDate="0" containsString="0" containsBlank="1"/>
    </cacheField>
    <cacheField name="Bouwaard" numFmtId="0">
      <sharedItems containsBlank="1"/>
    </cacheField>
    <cacheField name="Getaxeerd" numFmtId="0">
      <sharedItems/>
    </cacheField>
    <cacheField name="Taxateur" numFmtId="0">
      <sharedItems containsNonDate="0" containsString="0" containsBlank="1"/>
    </cacheField>
    <cacheField name="Taxatiedatum" numFmtId="0">
      <sharedItems containsNonDate="0" containsString="0" containsBlank="1"/>
    </cacheField>
    <cacheField name="Rapportnummer" numFmtId="0">
      <sharedItems containsNonDate="0" containsString="0" containsBlank="1"/>
    </cacheField>
    <cacheField name="Geldigheid" numFmtId="0">
      <sharedItems containsNonDate="0" containsString="0" containsBlank="1"/>
    </cacheField>
    <cacheField name="Adres" numFmtId="0">
      <sharedItems containsBlank="1"/>
    </cacheField>
    <cacheField name="Postcode" numFmtId="0">
      <sharedItems containsBlank="1"/>
    </cacheField>
    <cacheField name="Plaats" numFmtId="0">
      <sharedItems containsBlank="1"/>
    </cacheField>
    <cacheField name="Land" numFmtId="0">
      <sharedItems containsBlank="1"/>
    </cacheField>
    <cacheField name="Vorkbedrag" numFmtId="44">
      <sharedItems containsSemiMixedTypes="0" containsString="0" containsNumber="1" containsInteger="1" minValue="0" maxValue="0"/>
    </cacheField>
    <cacheField name="Premiegrondslag" numFmtId="44">
      <sharedItems containsSemiMixedTypes="0" containsString="0" containsNumber="1" containsInteger="1" minValue="0" maxValue="32250500"/>
    </cacheField>
    <cacheField name="Indexverschil" numFmtId="44">
      <sharedItems containsSemiMixedTypes="0" containsString="0" containsNumber="1" containsInteger="1" minValue="0" maxValue="0"/>
    </cacheField>
    <cacheField name="Verzekerde Waarde" numFmtId="44">
      <sharedItems containsSemiMixedTypes="0" containsString="0" containsNumber="1" containsInteger="1" minValue="0" maxValue="32250500"/>
    </cacheField>
    <cacheField name="Index nieuw" numFmtId="0">
      <sharedItems containsString="0" containsBlank="1" containsNumber="1" minValue="133.4" maxValue="138.1"/>
    </cacheField>
    <cacheField name="Mutaties" numFmtId="44">
      <sharedItems containsSemiMixedTypes="0" containsString="0" containsNumber="1" containsInteger="1" minValue="0" maxValue="32250500"/>
    </cacheField>
    <cacheField name="Verz. Waarde Oud:" numFmtId="44">
      <sharedItems containsString="0" containsBlank="1" containsNumber="1" containsInteger="1" minValue="0" maxValue="32250500"/>
    </cacheField>
    <cacheField name="Index oud" numFmtId="0">
      <sharedItems containsString="0" containsBlank="1" containsNumber="1" minValue="133.4" maxValue="138.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85">
  <r>
    <x v="0"/>
    <m/>
    <n v="1"/>
    <x v="0"/>
    <s v="Met opslagruimte"/>
    <s v="incl fundering"/>
    <m/>
    <s v="Steen, harde dekking"/>
    <s v="Ja"/>
    <m/>
    <m/>
    <m/>
    <m/>
    <s v="Expeditiestraat 6"/>
    <s v="5961 PX"/>
    <s v="Horst"/>
    <s v="NLD"/>
    <n v="0"/>
    <n v="6656000"/>
    <n v="0"/>
    <n v="6656000"/>
    <n v="138.1"/>
    <n v="6656000"/>
    <n v="6656000"/>
    <n v="138.1"/>
  </r>
  <r>
    <x v="0"/>
    <m/>
    <n v="2"/>
    <x v="1"/>
    <s v="Met opslagruimte"/>
    <m/>
    <m/>
    <s v="Steen, harde dekking"/>
    <s v="-"/>
    <m/>
    <m/>
    <m/>
    <m/>
    <s v="Expeditiestraat 6"/>
    <s v="5961 PX"/>
    <s v="Horst"/>
    <s v="NLD"/>
    <n v="0"/>
    <n v="11122000"/>
    <n v="0"/>
    <n v="11122000"/>
    <n v="133.4"/>
    <n v="11122000"/>
    <n v="11122000"/>
    <n v="133.4"/>
  </r>
  <r>
    <x v="0"/>
    <m/>
    <n v="3"/>
    <x v="1"/>
    <s v="Met huur in voormalig gemeentehuis"/>
    <m/>
    <m/>
    <m/>
    <s v="-"/>
    <m/>
    <m/>
    <m/>
    <m/>
    <s v="Raadhuisplein 1"/>
    <s v="5944 AH"/>
    <s v="Arcen"/>
    <s v="NLD"/>
    <n v="0"/>
    <n v="49000"/>
    <n v="0"/>
    <n v="49000"/>
    <n v="133.4"/>
    <n v="49000"/>
    <n v="49000"/>
    <n v="133.4"/>
  </r>
  <r>
    <x v="0"/>
    <m/>
    <n v="4"/>
    <x v="0"/>
    <s v="Restaurant en bewoning"/>
    <s v="incl fundering"/>
    <m/>
    <m/>
    <s v="Ja"/>
    <m/>
    <m/>
    <m/>
    <m/>
    <s v="Grotestraat 11"/>
    <s v="5855 AK"/>
    <s v="Well Limburg"/>
    <s v="NLD"/>
    <n v="0"/>
    <n v="1676000"/>
    <n v="0"/>
    <n v="1676000"/>
    <n v="138.1"/>
    <n v="1676000"/>
    <n v="1676000"/>
    <n v="138.1"/>
  </r>
  <r>
    <x v="0"/>
    <m/>
    <n v="5"/>
    <x v="2"/>
    <m/>
    <m/>
    <m/>
    <m/>
    <s v="-"/>
    <m/>
    <m/>
    <m/>
    <m/>
    <s v="Gelegen aan Broekhuizerweg (ongenummerd)"/>
    <s v="5900 AA"/>
    <s v="Aarcen"/>
    <s v="NLD"/>
    <n v="0"/>
    <n v="20000"/>
    <n v="0"/>
    <n v="20000"/>
    <n v="133.4"/>
    <n v="20000"/>
    <n v="20000"/>
    <n v="133.4"/>
  </r>
  <r>
    <x v="0"/>
    <m/>
    <n v="6"/>
    <x v="0"/>
    <s v="Watergemalen"/>
    <m/>
    <m/>
    <m/>
    <s v="-"/>
    <m/>
    <m/>
    <m/>
    <m/>
    <s v="Op diverse locaties"/>
    <s v="-"/>
    <m/>
    <s v="NLD"/>
    <n v="0"/>
    <n v="196700"/>
    <n v="0"/>
    <n v="196700"/>
    <n v="138.1"/>
    <n v="196700"/>
    <n v="196700"/>
    <n v="138.1"/>
  </r>
  <r>
    <x v="1"/>
    <n v="0"/>
    <n v="7"/>
    <x v="3"/>
    <m/>
    <s v="inclusief goederen"/>
    <m/>
    <s v="-"/>
    <s v="-"/>
    <m/>
    <m/>
    <m/>
    <m/>
    <s v="Baakhoverweg 47a"/>
    <s v="6114 RG"/>
    <s v="Susteren"/>
    <s v="NLD"/>
    <n v="0"/>
    <n v="4002000"/>
    <n v="0"/>
    <n v="4002000"/>
    <n v="133.4"/>
    <n v="4002000"/>
    <n v="4002000"/>
    <n v="133.4"/>
  </r>
  <r>
    <x v="1"/>
    <n v="0"/>
    <n v="8"/>
    <x v="4"/>
    <m/>
    <m/>
    <m/>
    <s v="-"/>
    <s v="-"/>
    <m/>
    <m/>
    <m/>
    <m/>
    <s v="Ubroekweg 38"/>
    <s v="5928 NM"/>
    <s v="Venlo"/>
    <s v="NLD"/>
    <n v="0"/>
    <n v="9462300"/>
    <n v="0"/>
    <n v="9462300"/>
    <n v="133.4"/>
    <n v="9462300"/>
    <n v="9462300"/>
    <n v="133.4"/>
  </r>
  <r>
    <x v="1"/>
    <n v="0"/>
    <n v="9"/>
    <x v="0"/>
    <s v="kantoor/laboratorium in de ruimste zin des woords"/>
    <m/>
    <m/>
    <s v="Steen, harde dekking"/>
    <s v="Ja"/>
    <m/>
    <m/>
    <m/>
    <m/>
    <s v="Maria Theresialaan 99"/>
    <s v="6043 CX"/>
    <s v="Roermond"/>
    <s v="NLD"/>
    <n v="0"/>
    <n v="32250500"/>
    <n v="0"/>
    <n v="32250500"/>
    <n v="138.1"/>
    <n v="32250500"/>
    <n v="32250500"/>
    <n v="138.1"/>
  </r>
  <r>
    <x v="1"/>
    <n v="0"/>
    <n v="10"/>
    <x v="3"/>
    <m/>
    <s v="incl. computerapparatuur"/>
    <m/>
    <s v="Steen, harde dekking"/>
    <s v="Ja"/>
    <m/>
    <m/>
    <m/>
    <m/>
    <s v="Maria Theresialaan 99"/>
    <s v="6043 CX"/>
    <s v="Roermond"/>
    <s v="NLD"/>
    <n v="0"/>
    <n v="9029800"/>
    <n v="0"/>
    <n v="9029800"/>
    <n v="133.4"/>
    <n v="9029800"/>
    <n v="9029800"/>
    <n v="133.4"/>
  </r>
  <r>
    <x v="0"/>
    <n v="0"/>
    <n v="11"/>
    <x v="0"/>
    <s v="Woningen en paardenstallen"/>
    <m/>
    <m/>
    <s v="Steen, harde dekking"/>
    <s v="Ja"/>
    <m/>
    <m/>
    <m/>
    <m/>
    <s v="Kruisweg 48-50"/>
    <s v="5944 EN"/>
    <s v="Arcen"/>
    <s v="NLD"/>
    <n v="0"/>
    <n v="979700"/>
    <n v="0"/>
    <n v="979700"/>
    <n v="138.1"/>
    <n v="979700"/>
    <n v="979700"/>
    <n v="138.1"/>
  </r>
  <r>
    <x v="0"/>
    <n v="0"/>
    <n v="12"/>
    <x v="3"/>
    <m/>
    <m/>
    <m/>
    <s v="Steen, harde dekking"/>
    <s v="Ja"/>
    <m/>
    <m/>
    <m/>
    <m/>
    <s v="Maria Theresialaan 99"/>
    <s v="6043 CX"/>
    <s v="Roermond"/>
    <s v="NLD"/>
    <n v="0"/>
    <n v="6979000"/>
    <n v="0"/>
    <n v="6979000"/>
    <n v="133.4"/>
    <n v="6979000"/>
    <n v="6979000"/>
    <n v="133.4"/>
  </r>
  <r>
    <x v="0"/>
    <n v="0"/>
    <n v="13"/>
    <x v="0"/>
    <s v="ECI Centrale"/>
    <s v="Incl. fundering"/>
    <m/>
    <s v="Steen, harde dekking"/>
    <s v="Ja"/>
    <m/>
    <m/>
    <m/>
    <m/>
    <s v="Molenweg 56"/>
    <s v="6041 KW"/>
    <s v="Roermond"/>
    <s v="NLD"/>
    <n v="0"/>
    <n v="2791000"/>
    <n v="0"/>
    <n v="2791000"/>
    <n v="138.1"/>
    <n v="2791000"/>
    <n v="2791000"/>
    <n v="138.1"/>
  </r>
  <r>
    <x v="0"/>
    <n v="0"/>
    <n v="14"/>
    <x v="0"/>
    <s v="Loods voor de buitendienst"/>
    <s v="Incl. fundering en zonnepanelen"/>
    <m/>
    <s v="Steen, harde dekking"/>
    <s v="Ja"/>
    <m/>
    <m/>
    <m/>
    <m/>
    <s v="Rijksweg Noord 305"/>
    <s v="6136 AC"/>
    <s v="Sittard"/>
    <s v="NLD"/>
    <n v="0"/>
    <n v="7436900"/>
    <n v="0"/>
    <n v="7436900"/>
    <n v="138.1"/>
    <n v="7436900"/>
    <n v="7436900"/>
    <n v="138.1"/>
  </r>
  <r>
    <x v="0"/>
    <n v="0"/>
    <n v="15"/>
    <x v="1"/>
    <m/>
    <s v="getaxeerd"/>
    <m/>
    <s v="-"/>
    <s v="Ja"/>
    <m/>
    <m/>
    <m/>
    <m/>
    <s v="Rijksweg Noord 305"/>
    <s v="6136 AC"/>
    <s v="Sittard"/>
    <s v="NLD"/>
    <n v="0"/>
    <n v="11368600"/>
    <n v="0"/>
    <n v="11368600"/>
    <n v="133.4"/>
    <n v="11368600"/>
    <n v="11368600"/>
    <n v="133.4"/>
  </r>
  <r>
    <x v="0"/>
    <n v="0"/>
    <n v="16"/>
    <x v="1"/>
    <m/>
    <s v="niet op vaste taxatie"/>
    <m/>
    <s v="-"/>
    <s v="-"/>
    <m/>
    <m/>
    <m/>
    <m/>
    <s v="Rijksweg Noord 305"/>
    <s v="6136 AC"/>
    <s v="Sittard"/>
    <s v="NLD"/>
    <n v="0"/>
    <n v="1476000"/>
    <n v="0"/>
    <n v="1476000"/>
    <n v="133.4"/>
    <n v="1476000"/>
    <n v="1476000"/>
    <n v="133.4"/>
  </r>
  <r>
    <x v="0"/>
    <n v="0"/>
    <n v="17"/>
    <x v="0"/>
    <s v="Loods"/>
    <s v="Incl. fundering"/>
    <m/>
    <s v="-"/>
    <s v="Ja"/>
    <m/>
    <m/>
    <m/>
    <m/>
    <s v="Brommelen 9"/>
    <m/>
    <s v="Nuth"/>
    <s v="NLD"/>
    <n v="0"/>
    <n v="66800"/>
    <n v="0"/>
    <n v="66800"/>
    <n v="138.1"/>
    <n v="66800"/>
    <n v="66800"/>
    <n v="138.1"/>
  </r>
  <r>
    <x v="0"/>
    <n v="0"/>
    <n v="18"/>
    <x v="1"/>
    <s v="Kantoor en werkplaatsinventaris"/>
    <m/>
    <m/>
    <s v="-"/>
    <s v="Ja"/>
    <m/>
    <m/>
    <m/>
    <m/>
    <s v="Brommelen 9"/>
    <m/>
    <s v="Nuth"/>
    <s v="NLD"/>
    <n v="0"/>
    <n v="31600"/>
    <n v="0"/>
    <n v="31600"/>
    <n v="133.4"/>
    <n v="31600"/>
    <n v="31600"/>
    <n v="133.4"/>
  </r>
  <r>
    <x v="0"/>
    <n v="0"/>
    <n v="19"/>
    <x v="1"/>
    <s v="5 containers met inhoud"/>
    <m/>
    <m/>
    <s v="staal met stalen dekking"/>
    <s v="-"/>
    <m/>
    <m/>
    <m/>
    <m/>
    <s v="Knipstraat 45"/>
    <s v="6321 AM"/>
    <s v="Wijlre"/>
    <s v="NLD"/>
    <n v="0"/>
    <n v="750000"/>
    <n v="0"/>
    <n v="750000"/>
    <n v="133.4"/>
    <n v="750000"/>
    <n v="750000"/>
    <n v="133.4"/>
  </r>
  <r>
    <x v="2"/>
    <n v="0"/>
    <n v="20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21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22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23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24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25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26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27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28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29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30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31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32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33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34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35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36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37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38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39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40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41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42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43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44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45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46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47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48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49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50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51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52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53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54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55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56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57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58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59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60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61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62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63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64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65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66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67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68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69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70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71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72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73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74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75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76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77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78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79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80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81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82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83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84"/>
    <x v="5"/>
    <m/>
    <m/>
    <m/>
    <s v="-"/>
    <s v="-"/>
    <m/>
    <m/>
    <m/>
    <m/>
    <m/>
    <m/>
    <m/>
    <m/>
    <n v="0"/>
    <n v="0"/>
    <n v="0"/>
    <n v="0"/>
    <m/>
    <n v="0"/>
    <n v="0"/>
    <m/>
  </r>
  <r>
    <x v="2"/>
    <n v="0"/>
    <n v="85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86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87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88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89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90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91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92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93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94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95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96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97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98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99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00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01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02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03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04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05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06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07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08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09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10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11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12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13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14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15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16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17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18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19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20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21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22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23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24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25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26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27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28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29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30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31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32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33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34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35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36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37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38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39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40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41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42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43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44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45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46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47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48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49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50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51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52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53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54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55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56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57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58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59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60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61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62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63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64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65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66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67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68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69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70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71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72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73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74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75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76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77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78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79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80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81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82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83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84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85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86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87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88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89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90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91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92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93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94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95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96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97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98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199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00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01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02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03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04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05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06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07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08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09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10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11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12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13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14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15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16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17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18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19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20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21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22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23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24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25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26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27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28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29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30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31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32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33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34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35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36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37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38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39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40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41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42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43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44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45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46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47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48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49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50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51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52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53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54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55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56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57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58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59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60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61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62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63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64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65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66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67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68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69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70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71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72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73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74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75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76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77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78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79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80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81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82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83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84"/>
    <x v="5"/>
    <m/>
    <m/>
    <m/>
    <s v="-"/>
    <s v="-"/>
    <m/>
    <m/>
    <m/>
    <m/>
    <m/>
    <m/>
    <m/>
    <m/>
    <n v="0"/>
    <n v="0"/>
    <n v="0"/>
    <n v="0"/>
    <m/>
    <n v="0"/>
    <m/>
    <m/>
  </r>
  <r>
    <x v="2"/>
    <n v="0"/>
    <n v="285"/>
    <x v="5"/>
    <m/>
    <m/>
    <m/>
    <s v="-"/>
    <s v="-"/>
    <m/>
    <m/>
    <m/>
    <m/>
    <m/>
    <m/>
    <m/>
    <m/>
    <n v="0"/>
    <n v="0"/>
    <n v="0"/>
    <n v="0"/>
    <m/>
    <n v="0"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6959641-0EA8-483E-A565-48C9284FFECD}" name="PivotTable1" cacheId="0" applyNumberFormats="0" applyBorderFormats="0" applyFontFormats="0" applyPatternFormats="0" applyAlignmentFormats="0" applyWidthHeightFormats="1" dataCaption="Values" grandTotalCaption="Eindtotalen" updatedVersion="8" minRefreshableVersion="3" useAutoFormatting="1" itemPrintTitles="1" createdVersion="7" indent="0" outline="1" outlineData="1" multipleFieldFilters="0" rowHeaderCaption="Klant">
  <location ref="B7:C17" firstHeaderRow="1" firstDataRow="1" firstDataCol="1"/>
  <pivotFields count="25">
    <pivotField axis="axisRow" showAll="0">
      <items count="4">
        <item h="1" x="2"/>
        <item x="1"/>
        <item x="0"/>
        <item t="default"/>
      </items>
    </pivotField>
    <pivotField showAll="0"/>
    <pivotField numFmtId="164" showAll="0"/>
    <pivotField axis="axisRow" showAll="0">
      <items count="10">
        <item x="5"/>
        <item x="0"/>
        <item x="3"/>
        <item x="4"/>
        <item m="1" x="6"/>
        <item m="1" x="7"/>
        <item m="1" x="8"/>
        <item x="1"/>
        <item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44" showAll="0"/>
    <pivotField numFmtId="44" showAll="0"/>
    <pivotField numFmtId="44" showAll="0"/>
    <pivotField dataField="1" numFmtId="44" showAll="0"/>
    <pivotField showAll="0"/>
    <pivotField numFmtId="44" showAll="0"/>
    <pivotField numFmtId="44" showAll="0"/>
    <pivotField showAll="0"/>
  </pivotFields>
  <rowFields count="2">
    <field x="0"/>
    <field x="3"/>
  </rowFields>
  <rowItems count="10">
    <i>
      <x v="1"/>
    </i>
    <i r="1">
      <x v="1"/>
    </i>
    <i r="1">
      <x v="2"/>
    </i>
    <i r="1">
      <x v="3"/>
    </i>
    <i>
      <x v="2"/>
    </i>
    <i r="1">
      <x v="1"/>
    </i>
    <i r="1">
      <x v="2"/>
    </i>
    <i r="1">
      <x v="7"/>
    </i>
    <i r="1">
      <x v="8"/>
    </i>
    <i t="grand">
      <x/>
    </i>
  </rowItems>
  <colItems count="1">
    <i/>
  </colItems>
  <dataFields count="1">
    <dataField name="Verz. Waarde" fld="20" baseField="0" baseItem="0"/>
  </dataFields>
  <formats count="1">
    <format dxfId="144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AF08A8D-44F3-42E9-86BB-A1C00B8314DE}" name="Table3" displayName="Table3" ref="A8:Y292" totalsRowCount="1" headerRowDxfId="196" dataDxfId="195">
  <autoFilter ref="A8:Y291" xr:uid="{6AF08A8D-44F3-42E9-86BB-A1C00B8314DE}"/>
  <tableColumns count="25">
    <tableColumn id="1" xr3:uid="{5DA535AD-6ED3-4B58-8975-8C5347AA9B78}" name="Verzekerde" totalsRowLabel="Total" dataDxfId="194" totalsRowDxfId="193"/>
    <tableColumn id="35" xr3:uid="{3D66882E-214F-4E51-B263-D2DDB4FF2D3B}" name="Certificaat" dataDxfId="192" totalsRowDxfId="191">
      <calculatedColumnFormula>_xlfn.XLOOKUP(Table3[[#This Row],[Verzekerde]],Relatie,fin_sub)</calculatedColumnFormula>
    </tableColumn>
    <tableColumn id="3" xr3:uid="{46AEA6C0-3771-4B9F-84B0-D1E6E51ED86B}" name="Sub" dataDxfId="190" totalsRowDxfId="189"/>
    <tableColumn id="4" xr3:uid="{9A2B1A2F-6CEB-4F18-A492-54E11736E5C9}" name="Verzekerde interest" dataDxfId="188" totalsRowDxfId="187"/>
    <tableColumn id="5" xr3:uid="{9D760F86-9046-48BB-BD35-80C0CB1AAC94}" name="Bestemming" dataDxfId="186" totalsRowDxfId="185"/>
    <tableColumn id="6" xr3:uid="{AEF7AB71-63FB-4DF7-B373-C23684BDD59F}" name="Omschrijving" dataDxfId="184" totalsRowDxfId="183"/>
    <tableColumn id="2" xr3:uid="{C3F0919A-0C23-4F94-A553-C9326C2AE775}" name="Schadevergoedingstermijn" dataDxfId="182" totalsRowDxfId="181"/>
    <tableColumn id="7" xr3:uid="{80DF863E-C676-467C-9B7F-AEA9BF31EF53}" name="Bouwaard" dataDxfId="180" totalsRowDxfId="179"/>
    <tableColumn id="8" xr3:uid="{A5E447C2-3EF1-4784-8BC8-25520EDB2C61}" name="Getaxeerd" dataDxfId="178" totalsRowDxfId="177"/>
    <tableColumn id="43" xr3:uid="{913DBDCB-1BD3-419D-B054-FEDD41C05396}" name="Taxateur" dataDxfId="176" totalsRowDxfId="175"/>
    <tableColumn id="44" xr3:uid="{0A911A6A-F880-40A9-8E90-1773D6B7D961}" name="Taxatiedatum" dataDxfId="174" totalsRowDxfId="173"/>
    <tableColumn id="45" xr3:uid="{4FDDF5C7-B33B-4B9A-AF9F-D06986758DD6}" name="Rapportnummer" dataDxfId="172" totalsRowDxfId="171"/>
    <tableColumn id="46" xr3:uid="{AFD7046F-C507-461A-8929-0B446BA8CE64}" name="Geldigheid" dataDxfId="170" totalsRowDxfId="169"/>
    <tableColumn id="11" xr3:uid="{C537EE58-8FE5-4DC9-B6BF-0D07D6D61AD7}" name="Adres" dataDxfId="168" totalsRowDxfId="167"/>
    <tableColumn id="12" xr3:uid="{339D09B0-2AF5-4303-A5A6-02DD7DB5395D}" name="Postcode" dataDxfId="166" totalsRowDxfId="165"/>
    <tableColumn id="13" xr3:uid="{2B053CF8-65C3-49C4-9661-3DB2CB0CC34A}" name="Plaats" dataDxfId="164" totalsRowDxfId="163"/>
    <tableColumn id="27" xr3:uid="{A0A1AC25-82A1-4637-B86F-C639D75A706C}" name="Land" dataDxfId="162" totalsRowDxfId="161"/>
    <tableColumn id="14" xr3:uid="{6CE5D940-A92A-4A0C-8BD6-B0E3A0EE3390}" name="Vorkbedrag" totalsRowFunction="sum" dataDxfId="160" totalsRowDxfId="159"/>
    <tableColumn id="15" xr3:uid="{2658B486-6155-457E-A473-050992C9D06B}" name="Premiegrondslag" totalsRowFunction="sum" dataDxfId="158" totalsRowDxfId="157"/>
    <tableColumn id="42" xr3:uid="{F65E5227-8DBB-4E2D-9A3D-D3D26DC26363}" name="Indexverschil" totalsRowFunction="sum" dataDxfId="156" totalsRowDxfId="155">
      <calculatedColumnFormula>Table3[[#This Row],[Verzekerde Waarde]]-Table3[[#This Row],[Mutaties]]</calculatedColumnFormula>
    </tableColumn>
    <tableColumn id="16" xr3:uid="{25E13C69-EE0B-496F-B0A6-615909375448}" name="Verzekerde Waarde" totalsRowFunction="sum" dataDxfId="154" totalsRowDxfId="153"/>
    <tableColumn id="17" xr3:uid="{04C7BDE1-9D3C-4EC4-ADBC-51DCF266AA22}" name="Index nieuw" dataDxfId="152" totalsRowDxfId="151"/>
    <tableColumn id="18" xr3:uid="{448DB753-00BC-43DE-A940-D7A40A6DC875}" name="Mutaties" totalsRowFunction="sum" dataDxfId="150" totalsRowDxfId="149">
      <calculatedColumnFormula>X9+SUMIF(Table4[Subnummer],Table3[[#This Row],[Sub]],Table4[Som mutaties])</calculatedColumnFormula>
    </tableColumn>
    <tableColumn id="19" xr3:uid="{E2C7CD13-246E-4279-9E08-71DF2DD4543D}" name="Verz. Waarde Oud:" totalsRowFunction="sum" dataDxfId="148" totalsRowDxfId="147"/>
    <tableColumn id="20" xr3:uid="{127805A0-511B-445D-9C56-BF76B0B74610}" name="Index oud" dataDxfId="146" totalsRowDxfId="145"/>
  </tableColumns>
  <tableStyleInfo name="TableStyleMedium11 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7009779-FE40-4487-BE84-03FE442C5B8A}" name="Table4" displayName="Table4" ref="A9:AK99" totalsRowCount="1" headerRowDxfId="143" dataDxfId="142" totalsRowDxfId="141">
  <autoFilter ref="A9:AK98" xr:uid="{07009779-FE40-4487-BE84-03FE442C5B8A}"/>
  <tableColumns count="37">
    <tableColumn id="1" xr3:uid="{E829BB11-9544-46D3-83B7-C7220D3E6274}" name="Klant" totalsRowLabel="Totaal" dataDxfId="140" totalsRowDxfId="139">
      <calculatedColumnFormula>IFERROR(_xlfn.XLOOKUP(E10,Specificatie!C:C,Specificatie!A:A),"-")</calculatedColumnFormula>
    </tableColumn>
    <tableColumn id="2" xr3:uid="{667AAFC8-65C7-42B2-919F-E6B1E47706EF}" name="Soort mutatie" dataDxfId="138" totalsRowDxfId="137"/>
    <tableColumn id="35" xr3:uid="{4AEE5333-4894-4B06-8579-37FFCF2525CB}" name="Certificaat" dataDxfId="136" totalsRowDxfId="135">
      <calculatedColumnFormula>IFERROR(_xlfn.XLOOKUP(Table4[[#This Row],[Subnummer]],Table3[Sub],Table3[Certificaat]),"-")</calculatedColumnFormula>
    </tableColumn>
    <tableColumn id="6" xr3:uid="{C31970F5-EF84-4D23-88F6-D7AB8D88450A}" name="Land" dataDxfId="134" totalsRowDxfId="133">
      <calculatedColumnFormula>IFERROR(_xlfn.XLOOKUP(E10,Specificatie!C$9:C$291,Specificatie!Q$9:Q$291),"")</calculatedColumnFormula>
    </tableColumn>
    <tableColumn id="3" xr3:uid="{CF592FF5-35F6-4356-9CD5-06E54941D0B1}" name="Subnummer" dataDxfId="132" totalsRowDxfId="131"/>
    <tableColumn id="4" xr3:uid="{64034314-8866-41BA-99E8-4FF01689406B}" name="Oude waarde" totalsRowFunction="sum" dataDxfId="130" totalsRowDxfId="129">
      <calculatedColumnFormula>IFERROR(_xlfn.XLOOKUP(Table4[[#This Row],[Subnummer]],Table3[Sub],Table3[Verz. Waarde Oud:])+SUMIFS(Table4[Som mutaties],Table4[Subnummer],Table4[[#This Row],[Subnummer]],Table4[Mutatiedatum],"&lt;"&amp;Table4[[#This Row],[Mutatiedatum]]),0)</calculatedColumnFormula>
    </tableColumn>
    <tableColumn id="5" xr3:uid="{620AEE7D-66A2-4F1D-A607-E56478BDE8EB}" name="Nieuwe waarde" totalsRowFunction="sum" dataDxfId="128" totalsRowDxfId="127"/>
    <tableColumn id="10" xr3:uid="{BD8E3966-13F7-42D4-993C-92FE1C430FF3}" name="Som mutaties" totalsRowFunction="sum" dataDxfId="126" totalsRowDxfId="125">
      <calculatedColumnFormula>Table4[[#This Row],[Nieuwe waarde]]-Table4[[#This Row],[Oude waarde]]</calculatedColumnFormula>
    </tableColumn>
    <tableColumn id="11" xr3:uid="{20DEF141-CD88-4342-A537-AFDFB517EFA9}" name="Mutatiedatum" dataDxfId="124" totalsRowDxfId="123"/>
    <tableColumn id="12" xr3:uid="{AFB3C57F-C39F-4FD8-8562-9140F30501DB}" name="Vervaldatum" dataDxfId="122" totalsRowDxfId="121"/>
    <tableColumn id="13" xr3:uid="{A6204F43-A2A4-49F5-A101-26FA0846855E}" name="Dagen" dataDxfId="120" totalsRowDxfId="119">
      <calculatedColumnFormula>Table4[[#This Row],[Vervaldatum]]-Table4[[#This Row],[Mutatiedatum]]</calculatedColumnFormula>
    </tableColumn>
    <tableColumn id="14" xr3:uid="{AC67BCCF-5297-4253-8212-7F5222B981DA}" name="Dagen per jaar" dataDxfId="118" totalsRowDxfId="117"/>
    <tableColumn id="15" xr3:uid="{A023D2D9-17D1-4E91-B3E7-8153A91C72EF}" name="Sprake van CAD?" dataDxfId="116" totalsRowDxfId="115"/>
    <tableColumn id="44" xr3:uid="{A80C6D84-D821-4FCD-A430-CA711AE4EE4F}" name="Berekeningswijze" dataDxfId="114" totalsRowDxfId="113"/>
    <tableColumn id="20" xr3:uid="{3A456E59-DB29-45F8-81D9-9E1D98E2BAFE}" name="Totaal" totalsRowFunction="sum" dataDxfId="112" totalsRowDxfId="111">
      <calculatedColumnFormula array="1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calculatedColumnFormula>
    </tableColumn>
    <tableColumn id="21" xr3:uid="{7985DB21-C10E-4622-89F3-C390A05E27FF}" name="Promillage 1" dataDxfId="110" totalsRowDxfId="109">
      <calculatedColumnFormula>IFERROR(_xlfn.XLOOKUP(Table4[[#This Row],[Subnummer]],Table3[Sub],#REF!),0)</calculatedColumnFormula>
    </tableColumn>
    <tableColumn id="22" xr3:uid="{05A8830E-ECFB-490D-83CC-9E0D537045D6}" name="Promillage 2" dataDxfId="108" totalsRowDxfId="107">
      <calculatedColumnFormula>IFERROR(_xlfn.XLOOKUP(Table4[[#This Row],[Subnummer]],Table3[Sub],#REF!),0)</calculatedColumnFormula>
    </tableColumn>
    <tableColumn id="23" xr3:uid="{2FFCB2FC-7E25-43DF-BC62-0857348CB470}" name="Promillage 3" dataDxfId="106" totalsRowDxfId="105">
      <calculatedColumnFormula>IFERROR(_xlfn.XLOOKUP(Table4[[#This Row],[Subnummer]],Table3[Sub],#REF!),0)</calculatedColumnFormula>
    </tableColumn>
    <tableColumn id="24" xr3:uid="{28E84FF0-4518-44A0-8D2D-C5F9DE199B45}" name="Promillage 4" dataDxfId="104" totalsRowDxfId="103">
      <calculatedColumnFormula>IFERROR(_xlfn.XLOOKUP(Table4[[#This Row],[Subnummer]],Table3[Sub],#REF!),0)</calculatedColumnFormula>
    </tableColumn>
    <tableColumn id="25" xr3:uid="{8D037CE0-4B03-4CB3-B8BC-834256A6993F}" name="Promillage 5" dataDxfId="102" totalsRowDxfId="101">
      <calculatedColumnFormula>IFERROR(_xlfn.XLOOKUP(Table4[[#This Row],[Subnummer]],Table3[Sub],#REF!),0)</calculatedColumnFormula>
    </tableColumn>
    <tableColumn id="39" xr3:uid="{7BBA7AF3-2E91-41B1-8312-75F8013837C9}" name="Promillage 6" dataDxfId="100" totalsRowDxfId="99">
      <calculatedColumnFormula>IFERROR(_xlfn.XLOOKUP(Table4[[#This Row],[Subnummer]],Table3[Sub],#REF!),0)</calculatedColumnFormula>
    </tableColumn>
    <tableColumn id="38" xr3:uid="{73DDE497-F3F1-41C2-963B-AECFEB118F29}" name="Promillage 7" dataDxfId="98" totalsRowDxfId="97">
      <calculatedColumnFormula>IFERROR(_xlfn.XLOOKUP(Table4[[#This Row],[Subnummer]],Table3[Sub],#REF!),0)</calculatedColumnFormula>
    </tableColumn>
    <tableColumn id="37" xr3:uid="{6C217F27-1D8A-4CF2-A30E-0C8A738F53C1}" name="Promillage 8" dataDxfId="96" totalsRowDxfId="95">
      <calculatedColumnFormula>IFERROR(_xlfn.XLOOKUP(Table4[[#This Row],[Subnummer]],Table3[Sub],#REF!),0)</calculatedColumnFormula>
    </tableColumn>
    <tableColumn id="36" xr3:uid="{6476C64F-4762-431A-8A33-4C843BE1E683}" name="Promillage 9" dataDxfId="94" totalsRowDxfId="93">
      <calculatedColumnFormula>IFERROR(_xlfn.XLOOKUP(Table4[[#This Row],[Subnummer]],Table3[Sub],#REF!),0)</calculatedColumnFormula>
    </tableColumn>
    <tableColumn id="26" xr3:uid="{73E032A1-8980-4F25-A9B0-121CEE22B23D}" name="Promillage 10" dataDxfId="92" totalsRowDxfId="91">
      <calculatedColumnFormula>IFERROR(_xlfn.XLOOKUP(Table4[[#This Row],[Subnummer]],Table3[Sub],#REF!),0)</calculatedColumnFormula>
    </tableColumn>
    <tableColumn id="27" xr3:uid="{0A88460A-2961-435D-8B9A-0BEE7B410665}" name="Premie 1" totalsRowFunction="sum" dataDxfId="90" totalsRowDxfId="89">
      <calculatedColumnFormula>IFERROR(ROUND($O10*P10/1000*_xlfn.XLOOKUP(Z$8,Verzekeraar,verz_aandeel),2),0)</calculatedColumnFormula>
    </tableColumn>
    <tableColumn id="28" xr3:uid="{4922E15F-6C50-4161-971E-F0C725675187}" name="Premie 2" totalsRowFunction="sum" dataDxfId="88" totalsRowDxfId="87">
      <calculatedColumnFormula>IFERROR(ROUND($O10*Q10/1000*_xlfn.XLOOKUP(AA$8,Verzekeraar,verz_aandeel),2),0)</calculatedColumnFormula>
    </tableColumn>
    <tableColumn id="29" xr3:uid="{44CE37B2-6A08-41A4-AAA4-E5C016E56FB3}" name="Premie 3" totalsRowFunction="sum" dataDxfId="86" totalsRowDxfId="85">
      <calculatedColumnFormula>IFERROR(ROUND($O10*R10/1000*_xlfn.XLOOKUP(AB$8,Verzekeraar,verz_aandeel),2),0)</calculatedColumnFormula>
    </tableColumn>
    <tableColumn id="30" xr3:uid="{142651A9-E231-44F4-9914-7C2A2ADC1DC5}" name="Premie 4" totalsRowFunction="sum" dataDxfId="84" totalsRowDxfId="83">
      <calculatedColumnFormula>IFERROR(ROUND($O10*S10/1000*_xlfn.XLOOKUP(AC$8,Verzekeraar,verz_aandeel),2),0)</calculatedColumnFormula>
    </tableColumn>
    <tableColumn id="31" xr3:uid="{DAB9E7ED-07E1-4A01-BAAE-5A4FBAAA378C}" name="Premie 5" totalsRowFunction="sum" dataDxfId="82" totalsRowDxfId="81">
      <calculatedColumnFormula>IFERROR(ROUND($O10*T10/1000*_xlfn.XLOOKUP(AD$8,Verzekeraar,verz_aandeel),2),0)</calculatedColumnFormula>
    </tableColumn>
    <tableColumn id="43" xr3:uid="{38E5304E-6A79-437E-B5F0-4D8B4B18FE11}" name="Premie 6" totalsRowFunction="sum" dataDxfId="80" totalsRowDxfId="79">
      <calculatedColumnFormula>IFERROR(ROUND($O10*U10/1000*_xlfn.XLOOKUP(AE$8,Verzekeraar,verz_aandeel),2),0)</calculatedColumnFormula>
    </tableColumn>
    <tableColumn id="42" xr3:uid="{04FBC3EA-0B56-45AB-BBBB-6BE0BD9A5156}" name="Premie 7" totalsRowFunction="sum" dataDxfId="78" totalsRowDxfId="77">
      <calculatedColumnFormula>IFERROR(ROUND($O10*V10/1000*_xlfn.XLOOKUP(AF$8,Verzekeraar,verz_aandeel),2),0)</calculatedColumnFormula>
    </tableColumn>
    <tableColumn id="41" xr3:uid="{3BD046B7-BE8D-486A-B8FF-57FC2C9DE1F3}" name="Premie 8" totalsRowFunction="sum" dataDxfId="76" totalsRowDxfId="75">
      <calculatedColumnFormula>IFERROR(ROUND($O10*W10/1000*_xlfn.XLOOKUP(AG$8,Verzekeraar,verz_aandeel),2),0)</calculatedColumnFormula>
    </tableColumn>
    <tableColumn id="40" xr3:uid="{590D50AB-A966-42C5-B0A4-F570E899EAA6}" name="Premie 9" totalsRowFunction="sum" dataDxfId="74" totalsRowDxfId="73">
      <calculatedColumnFormula>IFERROR(ROUND($O10*X10/1000*_xlfn.XLOOKUP(AH$8,Verzekeraar,verz_aandeel),2),0)</calculatedColumnFormula>
    </tableColumn>
    <tableColumn id="32" xr3:uid="{5AC6F62A-D522-4341-A3ED-81D0BDEA18B9}" name="Premie 10" totalsRowFunction="sum" dataDxfId="72" totalsRowDxfId="71">
      <calculatedColumnFormula>IFERROR(ROUND($O10*Y10/1000*_xlfn.XLOOKUP(AI$8,Verzekeraar,verz_aandeel),2),0)</calculatedColumnFormula>
    </tableColumn>
    <tableColumn id="33" xr3:uid="{CD88B151-89E6-41D2-8A73-08D6256ACBAF}" name="Totaal " totalsRowFunction="sum" dataDxfId="70" totalsRowDxfId="69">
      <calculatedColumnFormula>SUM(Z10:AI10)</calculatedColumnFormula>
    </tableColumn>
    <tableColumn id="34" xr3:uid="{E305A1B7-216A-4818-A0F4-60DA1A3E3DCB}" name="Boeking" dataDxfId="68" totalsRowDxfId="67">
      <calculatedColumnFormula array="1">_xlfn.IFS(AJ10=0,"Nihil",AJ10&gt;0,"Suppletie",AJ10&lt;0,"Restitutie")</calculatedColumnFormula>
    </tableColumn>
  </tableColumns>
  <tableStyleInfo name="TableStyleMedium11 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1D95E19-D802-4194-B74B-16207B34E23A}" name="Table2" displayName="Table2" ref="A14:F25" totalsRowCount="1" headerRowDxfId="66" dataDxfId="65" tableBorderDxfId="64">
  <autoFilter ref="A14:F24" xr:uid="{31D95E19-D802-4194-B74B-16207B34E23A}"/>
  <tableColumns count="6">
    <tableColumn id="1" xr3:uid="{DC2DD0C0-E37A-4C23-BA27-81C469DF3D56}" name="Verzekeraar" totalsRowLabel="Totaal" dataDxfId="63"/>
    <tableColumn id="2" xr3:uid="{C2660BE3-A394-437B-AB3A-9E18DF8A2DAB}" name="Relatienummer" dataDxfId="62"/>
    <tableColumn id="3" xr3:uid="{11823A51-A6F4-41E2-A98B-C3B2ADC9AB78}" name="Aandeel" totalsRowFunction="custom" dataDxfId="61" totalsRowDxfId="60">
      <totalsRowFormula>SUM(Table2[Aandeel])</totalsRowFormula>
    </tableColumn>
    <tableColumn id="4" xr3:uid="{F7DC97D4-A324-4298-902F-882322FE2D54}" name="Jaarpremie" totalsRowFunction="custom" dataDxfId="59" totalsRowDxfId="58">
      <totalsRowFormula>SUM(Table2[Jaarpremie])</totalsRowFormula>
    </tableColumn>
    <tableColumn id="5" xr3:uid="{9E193067-69B3-4851-A939-37905727D7B2}" name="Al geboekt met nota" totalsRowFunction="custom" dataDxfId="57" totalsRowDxfId="56">
      <totalsRowFormula>SUM(Table2[Al geboekt met nota])</totalsRowFormula>
    </tableColumn>
    <tableColumn id="6" xr3:uid="{8F78701E-B930-4FB7-86AA-4D2F40FF97DB}" name="Nog te boeken" totalsRowFunction="custom" dataDxfId="55" totalsRowDxfId="54">
      <totalsRowFormula>SUM(Table2[Nog te boeken])</totalsRowFormula>
    </tableColumn>
  </tableColumns>
  <tableStyleInfo name="TableStyleMedium11 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D0B03C0-F1DF-4AD3-8BA8-72D99F689FB4}" name="Table5" displayName="Table5" ref="A17:G28" totalsRowCount="1" headerRowDxfId="53" dataDxfId="52" totalsRowDxfId="51">
  <autoFilter ref="A17:G27" xr:uid="{FD0B03C0-F1DF-4AD3-8BA8-72D99F689FB4}"/>
  <tableColumns count="7">
    <tableColumn id="1" xr3:uid="{48C1C84A-0718-4A80-B5B1-40DA5EAF8BC8}" name="Verzekeraar" totalsRowLabel="Totaal" dataDxfId="50" totalsRowDxfId="49"/>
    <tableColumn id="2" xr3:uid="{9172A291-77E7-45E2-B7E4-1A9BCBB90FC5}" name="Relatienummer" dataDxfId="48" totalsRowDxfId="47">
      <calculatedColumnFormula>IFERROR(_xlfn.XLOOKUP(A18,Verzekeraar,verz_relatienummer),"")</calculatedColumnFormula>
    </tableColumn>
    <tableColumn id="3" xr3:uid="{0A83B2E1-3446-49DA-8E11-BBA03F00E411}" name="Aandeel" totalsRowFunction="custom" dataDxfId="46" totalsRowDxfId="45">
      <calculatedColumnFormula>IFERROR(_xlfn.XLOOKUP(A18,Verzekeraar,verz_aandeel),"")</calculatedColumnFormula>
      <totalsRowFormula>SUM(Table5[Aandeel])</totalsRowFormula>
    </tableColumn>
    <tableColumn id="4" xr3:uid="{D6FAF2F4-8A39-4DFD-ADD8-51CE28C0898B}" name="Halfjaarpremie" totalsRowFunction="custom" dataDxfId="44" totalsRowDxfId="43">
      <totalsRowFormula>SUM(Table5[Halfjaarpremie])</totalsRowFormula>
    </tableColumn>
    <tableColumn id="5" xr3:uid="{7BE69520-496D-4EF4-95D3-F8B32F22BA80}" name="Inclusief toeslag" totalsRowFunction="custom" dataDxfId="42" totalsRowDxfId="41">
      <calculatedColumnFormula>D18*(1+B$13)</calculatedColumnFormula>
      <totalsRowFormula>SUM(Table5[Inclusief toeslag])</totalsRowFormula>
    </tableColumn>
    <tableColumn id="6" xr3:uid="{D0D8AF83-7531-417C-89BB-D1400A6DD094}" name="Al geboekt met nota" totalsRowFunction="custom" dataDxfId="40" totalsRowDxfId="39">
      <totalsRowFormula>SUM(Table5[Al geboekt met nota])</totalsRowFormula>
    </tableColumn>
    <tableColumn id="7" xr3:uid="{AAFEE869-033A-42E5-8E6A-9FE2ABC2B61A}" name="Nog te boeken" totalsRowFunction="custom" dataDxfId="38" totalsRowDxfId="37">
      <calculatedColumnFormula>E18-F18</calculatedColumnFormula>
      <totalsRowFormula>SUM(Table5[Nog te boeken])</totalsRowFormula>
    </tableColumn>
  </tableColumns>
  <tableStyleInfo name="TableStyleMedium11 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E7037F59-F840-42EA-8C3C-B4980CDB0AD2}" name="Table7" displayName="Table7" ref="I17:O28" totalsRowCount="1" headerRowDxfId="36" dataDxfId="35" totalsRowDxfId="34">
  <autoFilter ref="I17:O27" xr:uid="{E7037F59-F840-42EA-8C3C-B4980CDB0AD2}"/>
  <tableColumns count="7">
    <tableColumn id="1" xr3:uid="{DBBD5EDA-2F6C-49F1-B683-3B2FCCDE51D3}" name="Verzekeraar" totalsRowLabel="Totaal" dataDxfId="33" totalsRowDxfId="32"/>
    <tableColumn id="2" xr3:uid="{E2010C33-5B56-47FF-BDE5-6CA08750CE1B}" name="Relatienummer" dataDxfId="31" totalsRowDxfId="30">
      <calculatedColumnFormula>IFERROR(_xlfn.XLOOKUP(I18,Verzekeraar,verz_relatienummer),"")</calculatedColumnFormula>
    </tableColumn>
    <tableColumn id="3" xr3:uid="{09460CD1-ACBF-4F23-BD34-723F9B01EC08}" name="Aandeel" totalsRowFunction="custom" dataDxfId="29" totalsRowDxfId="28">
      <calculatedColumnFormula>IFERROR(_xlfn.XLOOKUP(I18,Verzekeraar,verz_aandeel),"")</calculatedColumnFormula>
      <totalsRowFormula>SUM(Table7[Aandeel])</totalsRowFormula>
    </tableColumn>
    <tableColumn id="4" xr3:uid="{6A02E04B-54E2-4B79-8F64-709E18C06FEF}" name="Kwartaalpremie" totalsRowFunction="custom" dataDxfId="27" totalsRowDxfId="26">
      <totalsRowFormula>SUM(Table7[Kwartaalpremie])</totalsRowFormula>
    </tableColumn>
    <tableColumn id="5" xr3:uid="{57DA621C-00CC-4C65-B2D6-505B27E9E34A}" name="Inclusief toeslag" totalsRowFunction="custom" dataDxfId="25" totalsRowDxfId="24">
      <calculatedColumnFormula>L18*(1+J$13)</calculatedColumnFormula>
      <totalsRowFormula>SUM(Table7[Inclusief toeslag])</totalsRowFormula>
    </tableColumn>
    <tableColumn id="6" xr3:uid="{D6DA891D-0FE4-4C36-A983-81336609BE57}" name="Al geboekt met nota" totalsRowFunction="custom" dataDxfId="23" totalsRowDxfId="22">
      <totalsRowFormula>-SUM(Table7[Al geboekt met nota])</totalsRowFormula>
    </tableColumn>
    <tableColumn id="7" xr3:uid="{6A450813-1971-420F-BF34-173EBB0E039B}" name="Nog te boeken" totalsRowFunction="custom" dataDxfId="21" totalsRowDxfId="20">
      <calculatedColumnFormula>M18-N18</calculatedColumnFormula>
      <totalsRowFormula>SUM(Table7[Nog te boeken])</totalsRowFormula>
    </tableColumn>
  </tableColumns>
  <tableStyleInfo name="TableStyleMedium11 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81A7AC7-C4DB-4E1D-8C0D-8975E07DC18D}" name="Table8" displayName="Table8" ref="A16:D27" totalsRowCount="1" headerRowDxfId="19" dataDxfId="18">
  <autoFilter ref="A16:D26" xr:uid="{181A7AC7-C4DB-4E1D-8C0D-8975E07DC18D}"/>
  <tableColumns count="4">
    <tableColumn id="1" xr3:uid="{644DF182-DF38-4B07-A610-D5513D1DF063}" name="Verzekeraar" totalsRowLabel="Totaal" dataDxfId="17" totalsRowDxfId="16"/>
    <tableColumn id="2" xr3:uid="{30C9AE54-5A4C-42E1-A51E-911B24084811}" name="Relatienummer" dataDxfId="15" totalsRowDxfId="14">
      <calculatedColumnFormula>IFERROR(_xlfn.XLOOKUP(A17,Verzekeraar,verz_relatienummer),"")</calculatedColumnFormula>
    </tableColumn>
    <tableColumn id="3" xr3:uid="{806BC9BB-99A0-4111-AF89-7D995911EBE8}" name="Aandeel" totalsRowFunction="custom" dataDxfId="13" totalsRowDxfId="12">
      <calculatedColumnFormula>IFERROR(_xlfn.XLOOKUP(A17,Verzekeraar,verz_aandeel),"")</calculatedColumnFormula>
      <totalsRowFormula>SUM(Table8[Aandeel])</totalsRowFormula>
    </tableColumn>
    <tableColumn id="4" xr3:uid="{F5043AE8-9E5F-4C3D-83D0-F57379A45131}" name="Boeking/restitutie" totalsRowFunction="custom" dataDxfId="11" totalsRowDxfId="10">
      <totalsRowFormula>SUM(Table8[Boeking/restitutie])</totalsRowFormula>
    </tableColumn>
  </tableColumns>
  <tableStyleInfo name="TableStyleMedium11 2 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4C40269-DEE0-45DA-B185-3670955BEB2A}" name="Table6" displayName="Table6" ref="B5:C48" totalsRowShown="0">
  <autoFilter ref="B5:C48" xr:uid="{54C40269-DEE0-45DA-B185-3670955BEB2A}">
    <filterColumn colId="0" hiddenButton="1"/>
    <filterColumn colId="1" hiddenButton="1"/>
  </autoFilter>
  <sortState xmlns:xlrd2="http://schemas.microsoft.com/office/spreadsheetml/2017/richdata2" ref="B6:C48">
    <sortCondition ref="B6:B48"/>
  </sortState>
  <tableColumns count="2">
    <tableColumn id="1" xr3:uid="{3B14C176-48C4-476C-908B-CCC5FADD472D}" name="Land"/>
    <tableColumn id="2" xr3:uid="{D5A8EB11-3480-471F-8204-CEC568A52E54}" name="Afkorting"/>
  </tableColumns>
  <tableStyleInfo name="Table Style 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8BE26B5-5DCC-49E0-924C-7912541B8275}" name="Table9" displayName="Table9" ref="E5:E21" totalsRowShown="0" headerRowDxfId="9">
  <autoFilter ref="E5:E21" xr:uid="{58BE26B5-5DCC-49E0-924C-7912541B8275}">
    <filterColumn colId="0" hiddenButton="1"/>
  </autoFilter>
  <tableColumns count="1">
    <tableColumn id="1" xr3:uid="{B3867182-A28D-4C2F-B7F1-A56A081770E8}" name="Interest"/>
  </tableColumns>
  <tableStyleInfo name="Table Style 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B9B79A91-4018-44AB-BCB7-5B526091AB7F}" name="Table10" displayName="Table10" ref="G5:G10" totalsRowShown="0" headerRowDxfId="8">
  <autoFilter ref="G5:G10" xr:uid="{B9B79A91-4018-44AB-BCB7-5B526091AB7F}">
    <filterColumn colId="0" hiddenButton="1"/>
  </autoFilter>
  <tableColumns count="1">
    <tableColumn id="1" xr3:uid="{F173ECEE-3067-4A78-9173-698640053571}" name="Bouwaard"/>
  </tableColumns>
  <tableStyleInfo name="Table Style 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A67BE049-E267-4A2A-A6E4-F3D2D71C70C4}" name="Table11" displayName="Table11" ref="I5:I7" totalsRowShown="0" headerRowDxfId="7">
  <autoFilter ref="I5:I7" xr:uid="{A67BE049-E267-4A2A-A6E4-F3D2D71C70C4}">
    <filterColumn colId="0" hiddenButton="1"/>
  </autoFilter>
  <tableColumns count="1">
    <tableColumn id="1" xr3:uid="{0DBC6627-E87D-47F4-8870-4D2809346FEF}" name="CAD"/>
  </tableColumns>
  <tableStyleInfo name="Table Style 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88A1E71F-8606-4896-9EA5-B78CA7C7BBA1}" name="Table12" displayName="Table12" ref="I12:I15" totalsRowShown="0" headerRowDxfId="6">
  <autoFilter ref="I12:I15" xr:uid="{88A1E71F-8606-4896-9EA5-B78CA7C7BBA1}">
    <filterColumn colId="0" hiddenButton="1"/>
  </autoFilter>
  <tableColumns count="1">
    <tableColumn id="1" xr3:uid="{AA36CC2B-0985-4FF3-BD11-DAD93BB0FA9C}" name="Taxatie"/>
  </tableColumns>
  <tableStyleInfo name="Table Style 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B28E03A7-ECEB-46BA-9B7A-2D296904E926}" name="Table13" displayName="Table13" ref="G12:G16" totalsRowShown="0">
  <autoFilter ref="G12:G16" xr:uid="{B28E03A7-ECEB-46BA-9B7A-2D296904E926}">
    <filterColumn colId="0" hiddenButton="1"/>
  </autoFilter>
  <tableColumns count="1">
    <tableColumn id="1" xr3:uid="{F93D6DC0-189E-425B-809C-2E8FA19A079D}" name="Soort mutatie"/>
  </tableColumns>
  <tableStyleInfo name="Table Style 1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4CB5BFC3-60CD-4EB9-9AFF-2C1DD9DF9CF4}" name="Table14" displayName="Table14" ref="B53:D63" totalsRowShown="0">
  <autoFilter ref="B53:D63" xr:uid="{4CB5BFC3-60CD-4EB9-9AFF-2C1DD9DF9CF4}"/>
  <tableColumns count="3">
    <tableColumn id="1" xr3:uid="{81498133-7350-425E-8112-A2AE87E76169}" name="Verzekeraar" dataDxfId="5"/>
    <tableColumn id="2" xr3:uid="{8AFF2108-5A7A-4239-BF21-BB846715880C}" name="Relatienummer"/>
    <tableColumn id="3" xr3:uid="{5F9992FE-DAD0-4C9D-AF40-D7556F049E86}" name="Aandeel" dataDxfId="4"/>
  </tableColumns>
  <tableStyleInfo name="Table Style 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3E9BBF-1261-4831-9AE9-6D2932C9EAC9}" name="Table1" displayName="Table1" ref="B68:D72" totalsRowShown="0">
  <autoFilter ref="B68:D72" xr:uid="{013E9BBF-1261-4831-9AE9-6D2932C9EAC9}"/>
  <tableColumns count="3">
    <tableColumn id="1" xr3:uid="{43D71B9E-D15B-498E-A80A-FF1639262854}" name="Relatie"/>
    <tableColumn id="2" xr3:uid="{2BEBF442-ADF3-4CC3-9FCF-955F7700E036}" name="Relatienummer"/>
    <tableColumn id="3" xr3:uid="{07AF73FA-D96B-4A1A-AC79-ECC78AA3AD83}" name="Financiele sub"/>
  </tableColumns>
  <tableStyleInfo name="Table Style 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8AA387A0-A114-4EE5-A6AD-A950FF9FD2EB}" name="Geldigheidstermijn" displayName="Geldigheidstermijn" ref="K5:K8" totalsRowShown="0" headerRowDxfId="3">
  <autoFilter ref="K5:K8" xr:uid="{8AA387A0-A114-4EE5-A6AD-A950FF9FD2EB}"/>
  <tableColumns count="1">
    <tableColumn id="1" xr3:uid="{CD4A81FC-89F6-4768-953A-12CF0BDC80F2}" name="Geldigheidstermijn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Relationship Id="rId4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2.xml"/><Relationship Id="rId3" Type="http://schemas.openxmlformats.org/officeDocument/2006/relationships/table" Target="../tables/table7.xml"/><Relationship Id="rId7" Type="http://schemas.openxmlformats.org/officeDocument/2006/relationships/table" Target="../tables/table11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Relationship Id="rId6" Type="http://schemas.openxmlformats.org/officeDocument/2006/relationships/table" Target="../tables/table10.xml"/><Relationship Id="rId11" Type="http://schemas.openxmlformats.org/officeDocument/2006/relationships/table" Target="../tables/table15.xml"/><Relationship Id="rId5" Type="http://schemas.openxmlformats.org/officeDocument/2006/relationships/table" Target="../tables/table9.xml"/><Relationship Id="rId10" Type="http://schemas.openxmlformats.org/officeDocument/2006/relationships/table" Target="../tables/table14.xml"/><Relationship Id="rId4" Type="http://schemas.openxmlformats.org/officeDocument/2006/relationships/table" Target="../tables/table8.xml"/><Relationship Id="rId9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D0625-246A-43CC-89A4-DCF9BF06B965}">
  <sheetPr codeName="Sheet1"/>
  <dimension ref="A1:I17"/>
  <sheetViews>
    <sheetView showGridLines="0" workbookViewId="0">
      <selection activeCell="G31" sqref="G31"/>
    </sheetView>
  </sheetViews>
  <sheetFormatPr defaultRowHeight="14.4" x14ac:dyDescent="0.3"/>
  <cols>
    <col min="1" max="1" width="2.88671875" customWidth="1"/>
    <col min="2" max="2" width="34.109375" bestFit="1" customWidth="1"/>
    <col min="3" max="3" width="16.109375" bestFit="1" customWidth="1"/>
    <col min="4" max="4" width="11.44140625" bestFit="1" customWidth="1"/>
    <col min="5" max="5" width="2.88671875" customWidth="1"/>
    <col min="6" max="6" width="23.44140625" bestFit="1" customWidth="1"/>
    <col min="7" max="7" width="20" bestFit="1" customWidth="1"/>
    <col min="8" max="9" width="16" customWidth="1"/>
  </cols>
  <sheetData>
    <row r="1" spans="1:9" ht="16.2" x14ac:dyDescent="0.3">
      <c r="A1" s="83"/>
      <c r="B1" s="83"/>
      <c r="C1" s="83"/>
      <c r="D1" s="83"/>
      <c r="E1" s="83"/>
      <c r="F1" s="83"/>
      <c r="G1" s="83"/>
      <c r="H1" s="83"/>
      <c r="I1" s="83"/>
    </row>
    <row r="2" spans="1:9" ht="16.2" x14ac:dyDescent="0.3">
      <c r="A2" s="83"/>
      <c r="B2" s="83"/>
      <c r="C2" s="83"/>
      <c r="D2" s="83"/>
      <c r="E2" s="83"/>
      <c r="F2" s="83"/>
      <c r="G2" s="83"/>
      <c r="H2" s="83"/>
      <c r="I2" s="83"/>
    </row>
    <row r="3" spans="1:9" ht="16.2" x14ac:dyDescent="0.3">
      <c r="A3" s="83"/>
      <c r="B3" s="83"/>
      <c r="C3" s="83"/>
      <c r="D3" s="83"/>
      <c r="E3" s="83"/>
      <c r="F3" s="83"/>
      <c r="G3" s="83"/>
      <c r="H3" s="83"/>
      <c r="I3" s="83"/>
    </row>
    <row r="5" spans="1:9" x14ac:dyDescent="0.3">
      <c r="B5" s="28" t="s">
        <v>0</v>
      </c>
      <c r="C5" s="28"/>
      <c r="D5" s="28"/>
      <c r="F5" s="28" t="s">
        <v>1</v>
      </c>
      <c r="G5" s="129"/>
      <c r="H5" s="129"/>
    </row>
    <row r="7" spans="1:9" x14ac:dyDescent="0.3">
      <c r="B7" s="17" t="s">
        <v>2</v>
      </c>
      <c r="C7" t="s">
        <v>3</v>
      </c>
      <c r="E7" s="2"/>
      <c r="F7" s="32" t="s">
        <v>5</v>
      </c>
      <c r="G7" s="33" t="s">
        <v>246</v>
      </c>
      <c r="H7" s="34"/>
      <c r="I7" s="2"/>
    </row>
    <row r="8" spans="1:9" x14ac:dyDescent="0.3">
      <c r="B8" s="18" t="s">
        <v>235</v>
      </c>
      <c r="C8" s="20">
        <v>54744600</v>
      </c>
      <c r="E8" s="2"/>
      <c r="F8" s="29" t="s">
        <v>6</v>
      </c>
      <c r="G8" s="35">
        <v>629459208</v>
      </c>
      <c r="H8" s="36"/>
      <c r="I8" s="2"/>
    </row>
    <row r="9" spans="1:9" x14ac:dyDescent="0.3">
      <c r="B9" s="19" t="s">
        <v>142</v>
      </c>
      <c r="C9" s="20">
        <v>32250500</v>
      </c>
      <c r="E9" s="2"/>
      <c r="F9" s="29" t="s">
        <v>8</v>
      </c>
      <c r="G9" s="35" t="s">
        <v>234</v>
      </c>
      <c r="H9" s="36"/>
      <c r="I9" s="2"/>
    </row>
    <row r="10" spans="1:9" x14ac:dyDescent="0.3">
      <c r="B10" s="19" t="s">
        <v>241</v>
      </c>
      <c r="C10" s="20">
        <v>13031800</v>
      </c>
      <c r="E10" s="2"/>
      <c r="F10" s="29" t="s">
        <v>10</v>
      </c>
      <c r="G10" s="35" t="s">
        <v>247</v>
      </c>
      <c r="H10" s="36"/>
      <c r="I10" s="2"/>
    </row>
    <row r="11" spans="1:9" x14ac:dyDescent="0.3">
      <c r="B11" s="19" t="s">
        <v>242</v>
      </c>
      <c r="C11" s="20">
        <v>9462300</v>
      </c>
      <c r="E11" s="2"/>
      <c r="F11" s="30" t="s">
        <v>11</v>
      </c>
      <c r="G11" s="40">
        <v>46266</v>
      </c>
      <c r="H11" s="37"/>
      <c r="I11" s="2"/>
    </row>
    <row r="12" spans="1:9" x14ac:dyDescent="0.3">
      <c r="B12" s="18" t="s">
        <v>234</v>
      </c>
      <c r="C12" s="20">
        <v>51599300</v>
      </c>
      <c r="E12" s="2"/>
      <c r="F12" s="30" t="s">
        <v>12</v>
      </c>
      <c r="G12" s="40">
        <v>46023</v>
      </c>
      <c r="H12" s="38"/>
      <c r="I12" s="2"/>
    </row>
    <row r="13" spans="1:9" x14ac:dyDescent="0.3">
      <c r="B13" s="19" t="s">
        <v>142</v>
      </c>
      <c r="C13" s="20">
        <v>19803100</v>
      </c>
      <c r="F13" s="31" t="s">
        <v>13</v>
      </c>
      <c r="G13" s="40">
        <v>46388</v>
      </c>
      <c r="H13" s="39"/>
    </row>
    <row r="14" spans="1:9" x14ac:dyDescent="0.3">
      <c r="B14" s="19" t="s">
        <v>241</v>
      </c>
      <c r="C14" s="20">
        <v>6979000</v>
      </c>
    </row>
    <row r="15" spans="1:9" x14ac:dyDescent="0.3">
      <c r="B15" s="19" t="s">
        <v>122</v>
      </c>
      <c r="C15" s="20">
        <v>24797200</v>
      </c>
    </row>
    <row r="16" spans="1:9" x14ac:dyDescent="0.3">
      <c r="B16" s="19" t="s">
        <v>264</v>
      </c>
      <c r="C16" s="20">
        <v>20000</v>
      </c>
    </row>
    <row r="17" spans="2:3" x14ac:dyDescent="0.3">
      <c r="B17" s="18" t="s">
        <v>9</v>
      </c>
      <c r="C17" s="20">
        <v>106343900</v>
      </c>
    </row>
  </sheetData>
  <sheetProtection pivotTables="0"/>
  <pageMargins left="0.23622047244094491" right="0.23622047244094491" top="0.74803149606299213" bottom="0.74803149606299213" header="0.31496062992125984" footer="0.31496062992125984"/>
  <pageSetup paperSize="9" orientation="landscape" horizontalDpi="1200" verticalDpi="1200" r:id="rId2"/>
  <headerFooter>
    <oddFooter>&amp;L&amp;F
Uniek nr e-ABS XXXXXXXXXXXXXXXXXXX&amp;R&amp;A
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EB097-44BC-46C9-9D12-97A11A00B2C3}">
  <sheetPr codeName="Sheet2"/>
  <dimension ref="A1:Y295"/>
  <sheetViews>
    <sheetView showGridLines="0" tabSelected="1" topLeftCell="D1" zoomScale="85" zoomScaleNormal="85" workbookViewId="0">
      <pane ySplit="8" topLeftCell="A9" activePane="bottomLeft" state="frozen"/>
      <selection activeCell="F15" sqref="F15"/>
      <selection pane="bottomLeft" activeCell="N300" sqref="N300"/>
    </sheetView>
  </sheetViews>
  <sheetFormatPr defaultColWidth="16" defaultRowHeight="12.6" x14ac:dyDescent="0.3"/>
  <cols>
    <col min="1" max="1" width="26.6640625" style="8" bestFit="1" customWidth="1"/>
    <col min="2" max="2" width="12.109375" style="8" hidden="1" customWidth="1"/>
    <col min="3" max="3" width="11.109375" style="10" customWidth="1"/>
    <col min="4" max="4" width="37.109375" style="10" bestFit="1" customWidth="1"/>
    <col min="5" max="5" width="48.33203125" style="10" bestFit="1" customWidth="1"/>
    <col min="6" max="6" width="24.109375" style="10" bestFit="1" customWidth="1"/>
    <col min="7" max="7" width="26" style="10" hidden="1" customWidth="1"/>
    <col min="8" max="8" width="20.33203125" style="10" bestFit="1" customWidth="1"/>
    <col min="9" max="9" width="12.33203125" style="10" bestFit="1" customWidth="1"/>
    <col min="10" max="10" width="11" style="10" hidden="1" customWidth="1"/>
    <col min="11" max="11" width="15" style="10" hidden="1" customWidth="1"/>
    <col min="12" max="12" width="17.33203125" style="10" hidden="1" customWidth="1"/>
    <col min="13" max="13" width="12.33203125" style="10" hidden="1" customWidth="1"/>
    <col min="14" max="14" width="43.33203125" style="8" bestFit="1" customWidth="1"/>
    <col min="15" max="15" width="18.109375" style="8" customWidth="1"/>
    <col min="16" max="16" width="13" style="8" bestFit="1" customWidth="1"/>
    <col min="17" max="17" width="7.44140625" style="8" customWidth="1"/>
    <col min="18" max="19" width="18.109375" style="8" hidden="1" customWidth="1"/>
    <col min="20" max="20" width="14.33203125" style="8" hidden="1" customWidth="1"/>
    <col min="21" max="21" width="20.109375" style="8" bestFit="1" customWidth="1"/>
    <col min="22" max="22" width="13.44140625" style="8" customWidth="1"/>
    <col min="23" max="23" width="26.109375" style="8" hidden="1" customWidth="1"/>
    <col min="24" max="24" width="19.109375" style="8" hidden="1" customWidth="1"/>
    <col min="25" max="25" width="11.6640625" style="11" hidden="1" customWidth="1"/>
    <col min="26" max="16384" width="16" style="8"/>
  </cols>
  <sheetData>
    <row r="1" spans="1:25" s="7" customFormat="1" ht="16.2" x14ac:dyDescent="0.3">
      <c r="A1" s="83"/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</row>
    <row r="2" spans="1:25" s="7" customFormat="1" ht="16.2" x14ac:dyDescent="0.3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</row>
    <row r="3" spans="1:25" s="7" customFormat="1" ht="16.2" x14ac:dyDescent="0.3">
      <c r="A3" s="83"/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</row>
    <row r="4" spans="1:25" s="7" customFormat="1" ht="16.2" x14ac:dyDescent="0.3">
      <c r="A4" s="83"/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</row>
    <row r="5" spans="1:25" s="7" customFormat="1" ht="16.2" x14ac:dyDescent="0.3">
      <c r="A5" s="83"/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</row>
    <row r="6" spans="1:25" s="7" customFormat="1" ht="16.2" x14ac:dyDescent="0.3">
      <c r="A6" s="83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</row>
    <row r="7" spans="1:25" s="9" customFormat="1" x14ac:dyDescent="0.3">
      <c r="A7" s="48" t="s">
        <v>14</v>
      </c>
      <c r="B7" s="49"/>
      <c r="C7" s="50"/>
      <c r="D7" s="50"/>
      <c r="E7" s="50"/>
      <c r="F7" s="51"/>
      <c r="G7" s="51"/>
      <c r="H7" s="51"/>
      <c r="I7" s="51"/>
      <c r="J7" s="51"/>
      <c r="K7" s="51"/>
      <c r="L7" s="51"/>
      <c r="M7" s="51"/>
      <c r="N7" s="51"/>
      <c r="O7" s="50"/>
      <c r="P7" s="50"/>
      <c r="Q7" s="50"/>
      <c r="R7" s="133" t="s">
        <v>15</v>
      </c>
      <c r="S7" s="133"/>
      <c r="T7" s="133"/>
      <c r="U7" s="133"/>
      <c r="V7" s="133"/>
      <c r="W7" s="53" t="s">
        <v>16</v>
      </c>
      <c r="X7" s="52" t="s">
        <v>17</v>
      </c>
      <c r="Y7" s="52"/>
    </row>
    <row r="8" spans="1:25" ht="14.4" x14ac:dyDescent="0.3">
      <c r="A8" s="41" t="s">
        <v>18</v>
      </c>
      <c r="B8" s="41" t="s">
        <v>19</v>
      </c>
      <c r="C8" s="88" t="s">
        <v>20</v>
      </c>
      <c r="D8" s="88" t="s">
        <v>21</v>
      </c>
      <c r="E8" s="88" t="s">
        <v>22</v>
      </c>
      <c r="F8" s="89" t="s">
        <v>23</v>
      </c>
      <c r="G8" s="89" t="s">
        <v>24</v>
      </c>
      <c r="H8" s="89" t="s">
        <v>25</v>
      </c>
      <c r="I8" s="89" t="s">
        <v>26</v>
      </c>
      <c r="J8" s="89" t="s">
        <v>27</v>
      </c>
      <c r="K8" s="126" t="s">
        <v>28</v>
      </c>
      <c r="L8" s="89" t="s">
        <v>29</v>
      </c>
      <c r="M8" s="89" t="s">
        <v>30</v>
      </c>
      <c r="N8" s="89" t="s">
        <v>31</v>
      </c>
      <c r="O8" s="88" t="s">
        <v>32</v>
      </c>
      <c r="P8" s="88" t="s">
        <v>33</v>
      </c>
      <c r="Q8" s="88" t="s">
        <v>34</v>
      </c>
      <c r="R8" s="88" t="s">
        <v>35</v>
      </c>
      <c r="S8" s="88" t="s">
        <v>36</v>
      </c>
      <c r="T8" s="88" t="s">
        <v>37</v>
      </c>
      <c r="U8" s="88" t="s">
        <v>38</v>
      </c>
      <c r="V8" s="88" t="s">
        <v>39</v>
      </c>
      <c r="W8" s="88" t="s">
        <v>40</v>
      </c>
      <c r="X8" s="88" t="s">
        <v>41</v>
      </c>
      <c r="Y8" s="88" t="s">
        <v>42</v>
      </c>
    </row>
    <row r="9" spans="1:25" ht="14.4" x14ac:dyDescent="0.3">
      <c r="A9" s="86" t="s">
        <v>234</v>
      </c>
      <c r="B9" s="42"/>
      <c r="C9" s="87">
        <v>1</v>
      </c>
      <c r="D9" s="41" t="s">
        <v>142</v>
      </c>
      <c r="E9" s="43" t="s">
        <v>248</v>
      </c>
      <c r="F9" s="10" t="s">
        <v>286</v>
      </c>
      <c r="G9" s="43"/>
      <c r="H9" s="43" t="s">
        <v>128</v>
      </c>
      <c r="I9" s="43" t="s">
        <v>113</v>
      </c>
      <c r="J9" s="127"/>
      <c r="K9" s="128"/>
      <c r="L9" s="127"/>
      <c r="M9" s="128"/>
      <c r="N9" s="127" t="s">
        <v>249</v>
      </c>
      <c r="O9" s="41" t="s">
        <v>250</v>
      </c>
      <c r="P9" s="41" t="s">
        <v>251</v>
      </c>
      <c r="Q9" s="41" t="s">
        <v>191</v>
      </c>
      <c r="R9" s="44">
        <v>0</v>
      </c>
      <c r="S9" s="45">
        <f t="shared" ref="S9" si="0">IF(R9=0,U9,(U9+R9)/2)</f>
        <v>6656000</v>
      </c>
      <c r="T9" s="45">
        <f>Table3[[#This Row],[Verzekerde Waarde]]-Table3[[#This Row],[Mutaties]]</f>
        <v>0</v>
      </c>
      <c r="U9" s="45">
        <f>IF(V9=Y9,W9,ROUNDUP(W9/Y9*V9,-3))</f>
        <v>6656000</v>
      </c>
      <c r="V9" s="41">
        <v>138.1</v>
      </c>
      <c r="W9" s="45">
        <f>X9+SUMIF(Table4[Subnummer],Table3[[#This Row],[Sub]],Table4[Som mutaties])</f>
        <v>6656000</v>
      </c>
      <c r="X9" s="46">
        <v>6656000</v>
      </c>
      <c r="Y9" s="41">
        <v>138.1</v>
      </c>
    </row>
    <row r="10" spans="1:25" ht="14.4" x14ac:dyDescent="0.3">
      <c r="A10" s="86" t="s">
        <v>234</v>
      </c>
      <c r="B10" s="42"/>
      <c r="C10" s="87">
        <v>2</v>
      </c>
      <c r="D10" s="41" t="s">
        <v>122</v>
      </c>
      <c r="E10" s="43" t="s">
        <v>248</v>
      </c>
      <c r="G10" s="43"/>
      <c r="H10" s="43" t="s">
        <v>128</v>
      </c>
      <c r="I10" s="43" t="s">
        <v>7</v>
      </c>
      <c r="J10" s="127"/>
      <c r="K10" s="128"/>
      <c r="L10" s="127"/>
      <c r="M10" s="128"/>
      <c r="N10" s="127" t="s">
        <v>249</v>
      </c>
      <c r="O10" s="41" t="s">
        <v>250</v>
      </c>
      <c r="P10" s="41" t="s">
        <v>251</v>
      </c>
      <c r="Q10" s="41" t="s">
        <v>191</v>
      </c>
      <c r="R10" s="44">
        <v>0</v>
      </c>
      <c r="S10" s="45">
        <f t="shared" ref="S10" si="1">IF(R10=0,U10,(U10+R10)/2)</f>
        <v>11122000</v>
      </c>
      <c r="T10" s="45">
        <f>Table3[[#This Row],[Verzekerde Waarde]]-Table3[[#This Row],[Mutaties]]</f>
        <v>0</v>
      </c>
      <c r="U10" s="45">
        <f>IF(V10=Y10,W10,ROUNDUP(W10/Y10*V10,-3))</f>
        <v>11122000</v>
      </c>
      <c r="V10" s="41">
        <v>133.4</v>
      </c>
      <c r="W10" s="45">
        <f>X10+SUMIF(Table4[Subnummer],Table3[[#This Row],[Sub]],Table4[Som mutaties])</f>
        <v>11122000</v>
      </c>
      <c r="X10" s="46">
        <v>11122000</v>
      </c>
      <c r="Y10" s="41">
        <v>133.4</v>
      </c>
    </row>
    <row r="11" spans="1:25" ht="14.4" x14ac:dyDescent="0.3">
      <c r="A11" s="86" t="s">
        <v>234</v>
      </c>
      <c r="B11" s="42"/>
      <c r="C11" s="87">
        <v>3</v>
      </c>
      <c r="D11" s="41" t="s">
        <v>122</v>
      </c>
      <c r="E11" s="41" t="s">
        <v>252</v>
      </c>
      <c r="F11" s="43"/>
      <c r="G11" s="43"/>
      <c r="H11" s="43"/>
      <c r="I11" s="43" t="s">
        <v>7</v>
      </c>
      <c r="J11" s="127"/>
      <c r="K11" s="128"/>
      <c r="L11" s="127"/>
      <c r="M11" s="128"/>
      <c r="N11" s="127" t="s">
        <v>253</v>
      </c>
      <c r="O11" s="41" t="s">
        <v>254</v>
      </c>
      <c r="P11" s="41" t="s">
        <v>240</v>
      </c>
      <c r="Q11" s="41" t="s">
        <v>191</v>
      </c>
      <c r="R11" s="44">
        <v>0</v>
      </c>
      <c r="S11" s="45">
        <f t="shared" ref="S11:S14" si="2">IF(R11=0,U11,(U11+R11)/2)</f>
        <v>49000</v>
      </c>
      <c r="T11" s="45">
        <f>Table3[[#This Row],[Verzekerde Waarde]]-Table3[[#This Row],[Mutaties]]</f>
        <v>0</v>
      </c>
      <c r="U11" s="45">
        <f t="shared" ref="U11:U14" si="3">IF(V11=Y11,W11,ROUNDUP(W11/Y11*V11,-3))</f>
        <v>49000</v>
      </c>
      <c r="V11" s="41">
        <v>133.4</v>
      </c>
      <c r="W11" s="45">
        <f>X11+SUMIF(Table4[Subnummer],Table3[[#This Row],[Sub]],Table4[Som mutaties])</f>
        <v>49000</v>
      </c>
      <c r="X11" s="46">
        <v>49000</v>
      </c>
      <c r="Y11" s="41">
        <v>133.4</v>
      </c>
    </row>
    <row r="12" spans="1:25" ht="14.4" x14ac:dyDescent="0.3">
      <c r="A12" s="86" t="s">
        <v>234</v>
      </c>
      <c r="B12" s="42"/>
      <c r="C12" s="87">
        <v>4</v>
      </c>
      <c r="D12" s="41" t="s">
        <v>142</v>
      </c>
      <c r="E12" s="41" t="s">
        <v>255</v>
      </c>
      <c r="F12" s="43" t="s">
        <v>286</v>
      </c>
      <c r="G12" s="43"/>
      <c r="H12" s="43"/>
      <c r="I12" s="43" t="s">
        <v>113</v>
      </c>
      <c r="J12" s="127"/>
      <c r="K12" s="128"/>
      <c r="L12" s="127"/>
      <c r="M12" s="128"/>
      <c r="N12" s="127" t="s">
        <v>256</v>
      </c>
      <c r="O12" s="41" t="s">
        <v>257</v>
      </c>
      <c r="P12" s="41" t="s">
        <v>258</v>
      </c>
      <c r="Q12" s="41" t="s">
        <v>191</v>
      </c>
      <c r="R12" s="44">
        <v>0</v>
      </c>
      <c r="S12" s="45">
        <f t="shared" si="2"/>
        <v>1676000</v>
      </c>
      <c r="T12" s="45">
        <f>Table3[[#This Row],[Verzekerde Waarde]]-Table3[[#This Row],[Mutaties]]</f>
        <v>0</v>
      </c>
      <c r="U12" s="45">
        <f t="shared" si="3"/>
        <v>1676000</v>
      </c>
      <c r="V12" s="41">
        <v>138.1</v>
      </c>
      <c r="W12" s="45">
        <f>X12+SUMIF(Table4[Subnummer],Table3[[#This Row],[Sub]],Table4[Som mutaties])</f>
        <v>1676000</v>
      </c>
      <c r="X12" s="46">
        <v>1676000</v>
      </c>
      <c r="Y12" s="41">
        <v>138.1</v>
      </c>
    </row>
    <row r="13" spans="1:25" ht="14.4" x14ac:dyDescent="0.3">
      <c r="A13" s="86" t="s">
        <v>234</v>
      </c>
      <c r="B13" s="42"/>
      <c r="C13" s="87">
        <v>5</v>
      </c>
      <c r="D13" s="41" t="s">
        <v>264</v>
      </c>
      <c r="E13" s="41"/>
      <c r="F13" s="43"/>
      <c r="G13" s="43"/>
      <c r="H13" s="43"/>
      <c r="I13" s="43" t="s">
        <v>7</v>
      </c>
      <c r="J13" s="127"/>
      <c r="K13" s="128"/>
      <c r="L13" s="127"/>
      <c r="M13" s="128"/>
      <c r="N13" s="127" t="s">
        <v>259</v>
      </c>
      <c r="O13" s="41" t="s">
        <v>260</v>
      </c>
      <c r="P13" s="41" t="s">
        <v>261</v>
      </c>
      <c r="Q13" s="41" t="s">
        <v>191</v>
      </c>
      <c r="R13" s="44">
        <v>0</v>
      </c>
      <c r="S13" s="45">
        <f t="shared" si="2"/>
        <v>20000</v>
      </c>
      <c r="T13" s="45">
        <f>Table3[[#This Row],[Verzekerde Waarde]]-Table3[[#This Row],[Mutaties]]</f>
        <v>0</v>
      </c>
      <c r="U13" s="45">
        <f t="shared" si="3"/>
        <v>20000</v>
      </c>
      <c r="V13" s="41">
        <v>133.4</v>
      </c>
      <c r="W13" s="45">
        <f>X13+SUMIF(Table4[Subnummer],Table3[[#This Row],[Sub]],Table4[Som mutaties])</f>
        <v>20000</v>
      </c>
      <c r="X13" s="46">
        <v>20000</v>
      </c>
      <c r="Y13" s="41">
        <v>133.4</v>
      </c>
    </row>
    <row r="14" spans="1:25" ht="14.4" x14ac:dyDescent="0.3">
      <c r="A14" s="86" t="s">
        <v>234</v>
      </c>
      <c r="B14" s="42"/>
      <c r="C14" s="87">
        <v>6</v>
      </c>
      <c r="D14" s="41" t="s">
        <v>142</v>
      </c>
      <c r="E14" s="43" t="s">
        <v>262</v>
      </c>
      <c r="G14" s="43"/>
      <c r="H14" s="43"/>
      <c r="I14" s="43" t="s">
        <v>7</v>
      </c>
      <c r="J14" s="127"/>
      <c r="K14" s="128"/>
      <c r="L14" s="127"/>
      <c r="M14" s="128"/>
      <c r="N14" s="127" t="s">
        <v>263</v>
      </c>
      <c r="O14" s="41" t="s">
        <v>7</v>
      </c>
      <c r="P14" s="41"/>
      <c r="Q14" s="41" t="s">
        <v>191</v>
      </c>
      <c r="R14" s="44">
        <v>0</v>
      </c>
      <c r="S14" s="45">
        <f t="shared" si="2"/>
        <v>196700</v>
      </c>
      <c r="T14" s="45">
        <f>Table3[[#This Row],[Verzekerde Waarde]]-Table3[[#This Row],[Mutaties]]</f>
        <v>0</v>
      </c>
      <c r="U14" s="45">
        <f t="shared" si="3"/>
        <v>196700</v>
      </c>
      <c r="V14" s="41">
        <v>138.1</v>
      </c>
      <c r="W14" s="45">
        <f>X14+SUMIF(Table4[Subnummer],Table3[[#This Row],[Sub]],Table4[Som mutaties])</f>
        <v>196700</v>
      </c>
      <c r="X14" s="46">
        <v>196700</v>
      </c>
      <c r="Y14" s="41">
        <v>138.1</v>
      </c>
    </row>
    <row r="15" spans="1:25" ht="14.4" x14ac:dyDescent="0.3">
      <c r="A15" s="86" t="s">
        <v>234</v>
      </c>
      <c r="B15" s="42">
        <f>_xlfn.XLOOKUP(Table3[[#This Row],[Verzekerde]],Relatie,fin_sub)</f>
        <v>0</v>
      </c>
      <c r="C15" s="87">
        <v>9</v>
      </c>
      <c r="D15" s="41" t="s">
        <v>142</v>
      </c>
      <c r="E15" s="43" t="s">
        <v>243</v>
      </c>
      <c r="G15" s="43"/>
      <c r="H15" s="43" t="s">
        <v>128</v>
      </c>
      <c r="I15" s="43" t="s">
        <v>113</v>
      </c>
      <c r="J15" s="127"/>
      <c r="K15" s="128"/>
      <c r="L15" s="127"/>
      <c r="M15" s="128"/>
      <c r="N15" s="127" t="s">
        <v>233</v>
      </c>
      <c r="O15" s="41" t="s">
        <v>237</v>
      </c>
      <c r="P15" s="41" t="s">
        <v>239</v>
      </c>
      <c r="Q15" s="41" t="s">
        <v>191</v>
      </c>
      <c r="R15" s="44">
        <v>0</v>
      </c>
      <c r="S15" s="45">
        <f t="shared" ref="S15" si="4">IF(R15=0,U15,(U15+R15)/2)</f>
        <v>32250500</v>
      </c>
      <c r="T15" s="45">
        <f>Table3[[#This Row],[Verzekerde Waarde]]-Table3[[#This Row],[Mutaties]]</f>
        <v>0</v>
      </c>
      <c r="U15" s="45">
        <f t="shared" ref="U15:U18" si="5">IF(V15=Y15,W15,ROUNDUP(W15/Y15*V15,-3))</f>
        <v>32250500</v>
      </c>
      <c r="V15" s="41">
        <v>138.1</v>
      </c>
      <c r="W15" s="45">
        <f>X15+SUMIF(Table4[Subnummer],Table3[[#This Row],[Sub]],Table4[Som mutaties])</f>
        <v>32250500</v>
      </c>
      <c r="X15" s="46">
        <v>32250500</v>
      </c>
      <c r="Y15" s="41">
        <v>138.1</v>
      </c>
    </row>
    <row r="16" spans="1:25" ht="14.4" x14ac:dyDescent="0.3">
      <c r="A16" s="86" t="s">
        <v>234</v>
      </c>
      <c r="B16" s="42">
        <f>_xlfn.XLOOKUP(Table3[[#This Row],[Verzekerde]],Relatie,fin_sub)</f>
        <v>0</v>
      </c>
      <c r="C16" s="87">
        <v>10</v>
      </c>
      <c r="D16" s="41" t="s">
        <v>241</v>
      </c>
      <c r="E16" s="41"/>
      <c r="F16" s="43" t="s">
        <v>244</v>
      </c>
      <c r="G16" s="43"/>
      <c r="H16" s="43" t="s">
        <v>128</v>
      </c>
      <c r="I16" s="43" t="s">
        <v>113</v>
      </c>
      <c r="J16" s="127"/>
      <c r="K16" s="128"/>
      <c r="L16" s="127"/>
      <c r="M16" s="128"/>
      <c r="N16" s="127" t="s">
        <v>233</v>
      </c>
      <c r="O16" s="41" t="s">
        <v>237</v>
      </c>
      <c r="P16" s="41" t="s">
        <v>239</v>
      </c>
      <c r="Q16" s="41" t="s">
        <v>191</v>
      </c>
      <c r="R16" s="44">
        <v>0</v>
      </c>
      <c r="S16" s="45">
        <f t="shared" ref="S16:S18" si="6">IF(R16=0,U16,(U16+R16)/2)</f>
        <v>16008800</v>
      </c>
      <c r="T16" s="45">
        <f>Table3[[#This Row],[Verzekerde Waarde]]-Table3[[#This Row],[Mutaties]]</f>
        <v>6979000</v>
      </c>
      <c r="U16" s="45">
        <v>16008800</v>
      </c>
      <c r="V16" s="41">
        <v>133.4</v>
      </c>
      <c r="W16" s="45">
        <f>X16+SUMIF(Table4[Subnummer],Table3[[#This Row],[Sub]],Table4[Som mutaties])</f>
        <v>9029800</v>
      </c>
      <c r="X16" s="46">
        <v>9029800</v>
      </c>
      <c r="Y16" s="41">
        <v>133.4</v>
      </c>
    </row>
    <row r="17" spans="1:25" ht="14.4" x14ac:dyDescent="0.3">
      <c r="A17" s="86" t="s">
        <v>234</v>
      </c>
      <c r="B17" s="42">
        <f>_xlfn.XLOOKUP(Table3[[#This Row],[Verzekerde]],Relatie,fin_sub)</f>
        <v>0</v>
      </c>
      <c r="C17" s="87">
        <v>11</v>
      </c>
      <c r="D17" s="41" t="s">
        <v>142</v>
      </c>
      <c r="E17" s="43" t="s">
        <v>245</v>
      </c>
      <c r="F17" s="8"/>
      <c r="G17" s="43"/>
      <c r="H17" s="43" t="s">
        <v>128</v>
      </c>
      <c r="I17" s="43" t="s">
        <v>113</v>
      </c>
      <c r="J17" s="127"/>
      <c r="K17" s="128"/>
      <c r="L17" s="127"/>
      <c r="M17" s="128"/>
      <c r="N17" s="127" t="s">
        <v>236</v>
      </c>
      <c r="O17" s="41" t="s">
        <v>238</v>
      </c>
      <c r="P17" s="41" t="s">
        <v>240</v>
      </c>
      <c r="Q17" s="41" t="s">
        <v>191</v>
      </c>
      <c r="R17" s="44">
        <v>0</v>
      </c>
      <c r="S17" s="45">
        <f t="shared" si="6"/>
        <v>979700</v>
      </c>
      <c r="T17" s="45">
        <f>Table3[[#This Row],[Verzekerde Waarde]]-Table3[[#This Row],[Mutaties]]</f>
        <v>0</v>
      </c>
      <c r="U17" s="45">
        <f t="shared" si="5"/>
        <v>979700</v>
      </c>
      <c r="V17" s="41">
        <v>138.1</v>
      </c>
      <c r="W17" s="45">
        <f>X17+SUMIF(Table4[Subnummer],Table3[[#This Row],[Sub]],Table4[Som mutaties])</f>
        <v>979700</v>
      </c>
      <c r="X17" s="46">
        <v>979700</v>
      </c>
      <c r="Y17" s="41">
        <v>138.1</v>
      </c>
    </row>
    <row r="18" spans="1:25" ht="14.4" x14ac:dyDescent="0.3">
      <c r="A18" s="86" t="s">
        <v>234</v>
      </c>
      <c r="B18" s="42">
        <f>_xlfn.XLOOKUP(Table3[[#This Row],[Verzekerde]],Relatie,fin_sub)</f>
        <v>0</v>
      </c>
      <c r="C18" s="87">
        <v>12</v>
      </c>
      <c r="D18" s="41" t="s">
        <v>241</v>
      </c>
      <c r="E18" s="41"/>
      <c r="F18" s="43"/>
      <c r="G18" s="43"/>
      <c r="H18" s="43" t="s">
        <v>128</v>
      </c>
      <c r="I18" s="43" t="s">
        <v>113</v>
      </c>
      <c r="J18" s="127"/>
      <c r="K18" s="128"/>
      <c r="L18" s="127"/>
      <c r="M18" s="128"/>
      <c r="N18" s="127" t="s">
        <v>233</v>
      </c>
      <c r="O18" s="41" t="s">
        <v>237</v>
      </c>
      <c r="P18" s="41" t="s">
        <v>239</v>
      </c>
      <c r="Q18" s="41" t="s">
        <v>191</v>
      </c>
      <c r="R18" s="44">
        <v>0</v>
      </c>
      <c r="S18" s="45">
        <f t="shared" si="6"/>
        <v>6979000</v>
      </c>
      <c r="T18" s="45">
        <f>Table3[[#This Row],[Verzekerde Waarde]]-Table3[[#This Row],[Mutaties]]</f>
        <v>0</v>
      </c>
      <c r="U18" s="45">
        <f t="shared" si="5"/>
        <v>6979000</v>
      </c>
      <c r="V18" s="41">
        <v>133.4</v>
      </c>
      <c r="W18" s="45">
        <f>X18+SUMIF(Table4[Subnummer],Table3[[#This Row],[Sub]],Table4[Som mutaties])</f>
        <v>6979000</v>
      </c>
      <c r="X18" s="46">
        <v>6979000</v>
      </c>
      <c r="Y18" s="41">
        <v>133.4</v>
      </c>
    </row>
    <row r="19" spans="1:25" ht="14.4" x14ac:dyDescent="0.3">
      <c r="A19" s="86" t="s">
        <v>234</v>
      </c>
      <c r="B19" s="42">
        <f>_xlfn.XLOOKUP(Table3[[#This Row],[Verzekerde]],Relatie,fin_sub)</f>
        <v>0</v>
      </c>
      <c r="C19" s="87">
        <v>13</v>
      </c>
      <c r="D19" s="41" t="s">
        <v>142</v>
      </c>
      <c r="E19" s="41" t="s">
        <v>265</v>
      </c>
      <c r="F19" s="43" t="s">
        <v>266</v>
      </c>
      <c r="G19" s="43"/>
      <c r="H19" s="43" t="s">
        <v>128</v>
      </c>
      <c r="I19" s="43" t="s">
        <v>113</v>
      </c>
      <c r="J19" s="127"/>
      <c r="K19" s="128"/>
      <c r="L19" s="127"/>
      <c r="M19" s="128"/>
      <c r="N19" s="127" t="s">
        <v>267</v>
      </c>
      <c r="O19" s="41" t="s">
        <v>268</v>
      </c>
      <c r="P19" s="41" t="s">
        <v>239</v>
      </c>
      <c r="Q19" s="41" t="s">
        <v>191</v>
      </c>
      <c r="R19" s="44">
        <v>0</v>
      </c>
      <c r="S19" s="45">
        <f t="shared" ref="S19:S68" si="7">IF(R19=0,U19,(U19+R19)/2)</f>
        <v>2791000</v>
      </c>
      <c r="T19" s="45">
        <f>Table3[[#This Row],[Verzekerde Waarde]]-Table3[[#This Row],[Mutaties]]</f>
        <v>0</v>
      </c>
      <c r="U19" s="45">
        <f t="shared" ref="U19:U68" si="8">IF(V19=Y19,W19,ROUNDUP(W19/Y19*V19,-3))</f>
        <v>2791000</v>
      </c>
      <c r="V19" s="41">
        <v>138.1</v>
      </c>
      <c r="W19" s="45">
        <f>X19+SUMIF(Table4[Subnummer],Table3[[#This Row],[Sub]],Table4[Som mutaties])</f>
        <v>2791000</v>
      </c>
      <c r="X19" s="46">
        <v>2791000</v>
      </c>
      <c r="Y19" s="41">
        <v>138.1</v>
      </c>
    </row>
    <row r="20" spans="1:25" ht="28.8" x14ac:dyDescent="0.3">
      <c r="A20" s="86" t="s">
        <v>234</v>
      </c>
      <c r="B20" s="42">
        <f>_xlfn.XLOOKUP(Table3[[#This Row],[Verzekerde]],Relatie,fin_sub)</f>
        <v>0</v>
      </c>
      <c r="C20" s="87">
        <v>14</v>
      </c>
      <c r="D20" s="41" t="s">
        <v>142</v>
      </c>
      <c r="E20" s="41" t="s">
        <v>273</v>
      </c>
      <c r="F20" s="43" t="s">
        <v>272</v>
      </c>
      <c r="G20" s="43"/>
      <c r="H20" s="43" t="s">
        <v>128</v>
      </c>
      <c r="I20" s="43" t="s">
        <v>113</v>
      </c>
      <c r="J20" s="127"/>
      <c r="K20" s="128"/>
      <c r="L20" s="127"/>
      <c r="M20" s="128"/>
      <c r="N20" s="127" t="s">
        <v>269</v>
      </c>
      <c r="O20" s="41" t="s">
        <v>270</v>
      </c>
      <c r="P20" s="41" t="s">
        <v>271</v>
      </c>
      <c r="Q20" s="41" t="s">
        <v>191</v>
      </c>
      <c r="R20" s="44">
        <v>0</v>
      </c>
      <c r="S20" s="45">
        <f t="shared" si="7"/>
        <v>7436900</v>
      </c>
      <c r="T20" s="45">
        <f>Table3[[#This Row],[Verzekerde Waarde]]-Table3[[#This Row],[Mutaties]]</f>
        <v>0</v>
      </c>
      <c r="U20" s="45">
        <f t="shared" si="8"/>
        <v>7436900</v>
      </c>
      <c r="V20" s="41">
        <v>138.1</v>
      </c>
      <c r="W20" s="45">
        <f>X20+SUMIF(Table4[Subnummer],Table3[[#This Row],[Sub]],Table4[Som mutaties])</f>
        <v>7436900</v>
      </c>
      <c r="X20" s="46">
        <v>7436900</v>
      </c>
      <c r="Y20" s="41">
        <v>138.1</v>
      </c>
    </row>
    <row r="21" spans="1:25" ht="14.4" x14ac:dyDescent="0.3">
      <c r="A21" s="86" t="s">
        <v>234</v>
      </c>
      <c r="B21" s="42">
        <f>_xlfn.XLOOKUP(Table3[[#This Row],[Verzekerde]],Relatie,fin_sub)</f>
        <v>0</v>
      </c>
      <c r="C21" s="87">
        <v>15</v>
      </c>
      <c r="D21" s="41" t="s">
        <v>122</v>
      </c>
      <c r="E21" s="41"/>
      <c r="F21" s="43" t="s">
        <v>274</v>
      </c>
      <c r="G21" s="43"/>
      <c r="H21" s="43" t="s">
        <v>7</v>
      </c>
      <c r="I21" s="43" t="s">
        <v>113</v>
      </c>
      <c r="J21" s="127"/>
      <c r="K21" s="128"/>
      <c r="L21" s="127"/>
      <c r="M21" s="128"/>
      <c r="N21" s="127" t="s">
        <v>269</v>
      </c>
      <c r="O21" s="41" t="s">
        <v>270</v>
      </c>
      <c r="P21" s="41" t="s">
        <v>271</v>
      </c>
      <c r="Q21" s="41" t="s">
        <v>191</v>
      </c>
      <c r="R21" s="44">
        <v>0</v>
      </c>
      <c r="S21" s="45">
        <f t="shared" si="7"/>
        <v>11368600</v>
      </c>
      <c r="T21" s="45">
        <f>Table3[[#This Row],[Verzekerde Waarde]]-Table3[[#This Row],[Mutaties]]</f>
        <v>0</v>
      </c>
      <c r="U21" s="45">
        <f t="shared" si="8"/>
        <v>11368600</v>
      </c>
      <c r="V21" s="41">
        <v>133.4</v>
      </c>
      <c r="W21" s="45">
        <f>X21+SUMIF(Table4[Subnummer],Table3[[#This Row],[Sub]],Table4[Som mutaties])</f>
        <v>11368600</v>
      </c>
      <c r="X21" s="46">
        <v>11368600</v>
      </c>
      <c r="Y21" s="41">
        <v>133.4</v>
      </c>
    </row>
    <row r="22" spans="1:25" ht="14.4" x14ac:dyDescent="0.3">
      <c r="A22" s="86" t="s">
        <v>234</v>
      </c>
      <c r="B22" s="42">
        <f>_xlfn.XLOOKUP(Table3[[#This Row],[Verzekerde]],Relatie,fin_sub)</f>
        <v>0</v>
      </c>
      <c r="C22" s="87">
        <v>16</v>
      </c>
      <c r="D22" s="41" t="s">
        <v>122</v>
      </c>
      <c r="E22" s="41"/>
      <c r="F22" s="43" t="s">
        <v>275</v>
      </c>
      <c r="G22" s="43"/>
      <c r="H22" s="43" t="s">
        <v>7</v>
      </c>
      <c r="I22" s="43" t="s">
        <v>7</v>
      </c>
      <c r="J22" s="127"/>
      <c r="K22" s="128"/>
      <c r="L22" s="127"/>
      <c r="M22" s="128"/>
      <c r="N22" s="127" t="s">
        <v>269</v>
      </c>
      <c r="O22" s="41" t="s">
        <v>270</v>
      </c>
      <c r="P22" s="41" t="s">
        <v>271</v>
      </c>
      <c r="Q22" s="41" t="s">
        <v>191</v>
      </c>
      <c r="R22" s="44">
        <v>0</v>
      </c>
      <c r="S22" s="45">
        <f t="shared" si="7"/>
        <v>1476000</v>
      </c>
      <c r="T22" s="45">
        <f>Table3[[#This Row],[Verzekerde Waarde]]-Table3[[#This Row],[Mutaties]]</f>
        <v>0</v>
      </c>
      <c r="U22" s="45">
        <f t="shared" si="8"/>
        <v>1476000</v>
      </c>
      <c r="V22" s="41">
        <v>133.4</v>
      </c>
      <c r="W22" s="45">
        <f>X22+SUMIF(Table4[Subnummer],Table3[[#This Row],[Sub]],Table4[Som mutaties])</f>
        <v>1476000</v>
      </c>
      <c r="X22" s="46">
        <v>1476000</v>
      </c>
      <c r="Y22" s="41">
        <v>133.4</v>
      </c>
    </row>
    <row r="23" spans="1:25" ht="14.4" x14ac:dyDescent="0.3">
      <c r="A23" s="86" t="s">
        <v>234</v>
      </c>
      <c r="B23" s="42">
        <f>_xlfn.XLOOKUP(Table3[[#This Row],[Verzekerde]],Relatie,fin_sub)</f>
        <v>0</v>
      </c>
      <c r="C23" s="87">
        <v>17</v>
      </c>
      <c r="D23" s="41" t="s">
        <v>142</v>
      </c>
      <c r="E23" s="41" t="s">
        <v>278</v>
      </c>
      <c r="F23" s="43" t="s">
        <v>277</v>
      </c>
      <c r="G23" s="43"/>
      <c r="H23" s="43" t="s">
        <v>128</v>
      </c>
      <c r="I23" s="43" t="s">
        <v>113</v>
      </c>
      <c r="J23" s="127"/>
      <c r="K23" s="128"/>
      <c r="L23" s="127"/>
      <c r="M23" s="128"/>
      <c r="N23" s="127" t="s">
        <v>285</v>
      </c>
      <c r="O23" s="41"/>
      <c r="P23" s="41" t="s">
        <v>276</v>
      </c>
      <c r="Q23" s="41" t="s">
        <v>191</v>
      </c>
      <c r="R23" s="44">
        <v>0</v>
      </c>
      <c r="S23" s="45">
        <f t="shared" si="7"/>
        <v>66800</v>
      </c>
      <c r="T23" s="45">
        <f>Table3[[#This Row],[Verzekerde Waarde]]-Table3[[#This Row],[Mutaties]]</f>
        <v>0</v>
      </c>
      <c r="U23" s="45">
        <f t="shared" si="8"/>
        <v>66800</v>
      </c>
      <c r="V23" s="41">
        <v>138.1</v>
      </c>
      <c r="W23" s="45">
        <f>X23+SUMIF(Table4[Subnummer],Table3[[#This Row],[Sub]],Table4[Som mutaties])</f>
        <v>66800</v>
      </c>
      <c r="X23" s="46">
        <v>66800</v>
      </c>
      <c r="Y23" s="41">
        <v>138.1</v>
      </c>
    </row>
    <row r="24" spans="1:25" ht="14.4" x14ac:dyDescent="0.3">
      <c r="A24" s="86" t="s">
        <v>234</v>
      </c>
      <c r="B24" s="42">
        <f>_xlfn.XLOOKUP(Table3[[#This Row],[Verzekerde]],Relatie,fin_sub)</f>
        <v>0</v>
      </c>
      <c r="C24" s="87">
        <v>18</v>
      </c>
      <c r="D24" s="41" t="s">
        <v>122</v>
      </c>
      <c r="E24" s="41" t="s">
        <v>279</v>
      </c>
      <c r="F24" s="43"/>
      <c r="G24" s="43"/>
      <c r="H24" s="43" t="s">
        <v>7</v>
      </c>
      <c r="I24" s="43" t="s">
        <v>113</v>
      </c>
      <c r="J24" s="127"/>
      <c r="K24" s="128"/>
      <c r="L24" s="127"/>
      <c r="M24" s="128"/>
      <c r="N24" s="127" t="s">
        <v>285</v>
      </c>
      <c r="O24" s="41"/>
      <c r="P24" s="41" t="s">
        <v>276</v>
      </c>
      <c r="Q24" s="41" t="s">
        <v>191</v>
      </c>
      <c r="R24" s="44">
        <v>0</v>
      </c>
      <c r="S24" s="45">
        <f t="shared" si="7"/>
        <v>31600</v>
      </c>
      <c r="T24" s="45">
        <f>Table3[[#This Row],[Verzekerde Waarde]]-Table3[[#This Row],[Mutaties]]</f>
        <v>0</v>
      </c>
      <c r="U24" s="45">
        <f t="shared" si="8"/>
        <v>31600</v>
      </c>
      <c r="V24" s="41">
        <v>133.4</v>
      </c>
      <c r="W24" s="45">
        <f>X24+SUMIF(Table4[Subnummer],Table3[[#This Row],[Sub]],Table4[Som mutaties])</f>
        <v>31600</v>
      </c>
      <c r="X24" s="46">
        <v>31600</v>
      </c>
      <c r="Y24" s="41">
        <v>133.4</v>
      </c>
    </row>
    <row r="25" spans="1:25" ht="28.8" x14ac:dyDescent="0.3">
      <c r="A25" s="86" t="s">
        <v>234</v>
      </c>
      <c r="B25" s="42">
        <f>_xlfn.XLOOKUP(Table3[[#This Row],[Verzekerde]],Relatie,fin_sub)</f>
        <v>0</v>
      </c>
      <c r="C25" s="87">
        <v>19</v>
      </c>
      <c r="D25" s="41" t="s">
        <v>122</v>
      </c>
      <c r="E25" s="41" t="s">
        <v>280</v>
      </c>
      <c r="F25" s="43"/>
      <c r="G25" s="43"/>
      <c r="H25" s="43" t="s">
        <v>281</v>
      </c>
      <c r="I25" s="43" t="s">
        <v>7</v>
      </c>
      <c r="J25" s="127"/>
      <c r="K25" s="128"/>
      <c r="L25" s="127"/>
      <c r="M25" s="128"/>
      <c r="N25" s="127" t="s">
        <v>282</v>
      </c>
      <c r="O25" s="41" t="s">
        <v>283</v>
      </c>
      <c r="P25" s="41" t="s">
        <v>284</v>
      </c>
      <c r="Q25" s="41" t="s">
        <v>191</v>
      </c>
      <c r="R25" s="44">
        <v>0</v>
      </c>
      <c r="S25" s="45">
        <f t="shared" si="7"/>
        <v>750000</v>
      </c>
      <c r="T25" s="45">
        <f>Table3[[#This Row],[Verzekerde Waarde]]-Table3[[#This Row],[Mutaties]]</f>
        <v>0</v>
      </c>
      <c r="U25" s="45">
        <f t="shared" si="8"/>
        <v>750000</v>
      </c>
      <c r="V25" s="41">
        <v>133.4</v>
      </c>
      <c r="W25" s="45">
        <f>X25+SUMIF(Table4[Subnummer],Table3[[#This Row],[Sub]],Table4[Som mutaties])</f>
        <v>750000</v>
      </c>
      <c r="X25" s="46">
        <v>750000</v>
      </c>
      <c r="Y25" s="41">
        <v>133.4</v>
      </c>
    </row>
    <row r="26" spans="1:25" ht="14.4" hidden="1" x14ac:dyDescent="0.3">
      <c r="A26" s="86"/>
      <c r="B26" s="42">
        <f>_xlfn.XLOOKUP(Table3[[#This Row],[Verzekerde]],Relatie,fin_sub)</f>
        <v>0</v>
      </c>
      <c r="C26" s="87">
        <v>20</v>
      </c>
      <c r="D26" s="41" t="s">
        <v>7</v>
      </c>
      <c r="E26" s="41"/>
      <c r="F26" s="43"/>
      <c r="G26" s="43"/>
      <c r="H26" s="43" t="s">
        <v>7</v>
      </c>
      <c r="I26" s="43" t="s">
        <v>7</v>
      </c>
      <c r="J26" s="127"/>
      <c r="K26" s="128"/>
      <c r="L26" s="127"/>
      <c r="M26" s="128"/>
      <c r="N26" s="127"/>
      <c r="O26" s="41"/>
      <c r="P26" s="41"/>
      <c r="Q26" s="41"/>
      <c r="R26" s="44">
        <v>0</v>
      </c>
      <c r="S26" s="45">
        <f t="shared" si="7"/>
        <v>0</v>
      </c>
      <c r="T26" s="45">
        <f>Table3[[#This Row],[Verzekerde Waarde]]-Table3[[#This Row],[Mutaties]]</f>
        <v>0</v>
      </c>
      <c r="U26" s="45">
        <f t="shared" si="8"/>
        <v>0</v>
      </c>
      <c r="V26" s="41"/>
      <c r="W26" s="45">
        <f>X26+SUMIF(Table4[Subnummer],Table3[[#This Row],[Sub]],Table4[Som mutaties])</f>
        <v>0</v>
      </c>
      <c r="X26" s="46">
        <v>0</v>
      </c>
      <c r="Y26" s="41"/>
    </row>
    <row r="27" spans="1:25" ht="14.4" hidden="1" x14ac:dyDescent="0.3">
      <c r="A27" s="86"/>
      <c r="B27" s="42">
        <f>_xlfn.XLOOKUP(Table3[[#This Row],[Verzekerde]],Relatie,fin_sub)</f>
        <v>0</v>
      </c>
      <c r="C27" s="87">
        <v>21</v>
      </c>
      <c r="D27" s="41" t="s">
        <v>7</v>
      </c>
      <c r="E27" s="41"/>
      <c r="F27" s="43"/>
      <c r="G27" s="43"/>
      <c r="H27" s="43" t="s">
        <v>7</v>
      </c>
      <c r="I27" s="43" t="s">
        <v>7</v>
      </c>
      <c r="J27" s="127"/>
      <c r="K27" s="128"/>
      <c r="L27" s="127"/>
      <c r="M27" s="128"/>
      <c r="N27" s="127"/>
      <c r="O27" s="41"/>
      <c r="P27" s="41"/>
      <c r="Q27" s="41"/>
      <c r="R27" s="44">
        <v>0</v>
      </c>
      <c r="S27" s="45">
        <f t="shared" si="7"/>
        <v>0</v>
      </c>
      <c r="T27" s="45">
        <f>Table3[[#This Row],[Verzekerde Waarde]]-Table3[[#This Row],[Mutaties]]</f>
        <v>0</v>
      </c>
      <c r="U27" s="45">
        <f t="shared" si="8"/>
        <v>0</v>
      </c>
      <c r="V27" s="41"/>
      <c r="W27" s="45">
        <f>X27+SUMIF(Table4[Subnummer],Table3[[#This Row],[Sub]],Table4[Som mutaties])</f>
        <v>0</v>
      </c>
      <c r="X27" s="46">
        <v>0</v>
      </c>
      <c r="Y27" s="41"/>
    </row>
    <row r="28" spans="1:25" ht="14.4" hidden="1" x14ac:dyDescent="0.3">
      <c r="A28" s="86"/>
      <c r="B28" s="42">
        <f>_xlfn.XLOOKUP(Table3[[#This Row],[Verzekerde]],Relatie,fin_sub)</f>
        <v>0</v>
      </c>
      <c r="C28" s="87">
        <v>22</v>
      </c>
      <c r="D28" s="41" t="s">
        <v>7</v>
      </c>
      <c r="E28" s="41"/>
      <c r="F28" s="43"/>
      <c r="G28" s="43"/>
      <c r="H28" s="43" t="s">
        <v>7</v>
      </c>
      <c r="I28" s="43" t="s">
        <v>7</v>
      </c>
      <c r="J28" s="127"/>
      <c r="K28" s="128"/>
      <c r="L28" s="127"/>
      <c r="M28" s="128"/>
      <c r="N28" s="127"/>
      <c r="O28" s="41"/>
      <c r="P28" s="41"/>
      <c r="Q28" s="41"/>
      <c r="R28" s="44">
        <v>0</v>
      </c>
      <c r="S28" s="45">
        <f t="shared" si="7"/>
        <v>0</v>
      </c>
      <c r="T28" s="45">
        <f>Table3[[#This Row],[Verzekerde Waarde]]-Table3[[#This Row],[Mutaties]]</f>
        <v>0</v>
      </c>
      <c r="U28" s="45">
        <f t="shared" si="8"/>
        <v>0</v>
      </c>
      <c r="V28" s="41"/>
      <c r="W28" s="45">
        <f>X28+SUMIF(Table4[Subnummer],Table3[[#This Row],[Sub]],Table4[Som mutaties])</f>
        <v>0</v>
      </c>
      <c r="X28" s="46">
        <v>0</v>
      </c>
      <c r="Y28" s="41"/>
    </row>
    <row r="29" spans="1:25" ht="14.4" hidden="1" x14ac:dyDescent="0.3">
      <c r="A29" s="86"/>
      <c r="B29" s="42">
        <f>_xlfn.XLOOKUP(Table3[[#This Row],[Verzekerde]],Relatie,fin_sub)</f>
        <v>0</v>
      </c>
      <c r="C29" s="87">
        <v>23</v>
      </c>
      <c r="D29" s="41" t="s">
        <v>7</v>
      </c>
      <c r="E29" s="41"/>
      <c r="F29" s="43"/>
      <c r="G29" s="43"/>
      <c r="H29" s="43" t="s">
        <v>7</v>
      </c>
      <c r="I29" s="43" t="s">
        <v>7</v>
      </c>
      <c r="J29" s="127"/>
      <c r="K29" s="128"/>
      <c r="L29" s="127"/>
      <c r="M29" s="128"/>
      <c r="N29" s="127"/>
      <c r="O29" s="41"/>
      <c r="P29" s="41"/>
      <c r="Q29" s="41"/>
      <c r="R29" s="44">
        <v>0</v>
      </c>
      <c r="S29" s="45">
        <f t="shared" si="7"/>
        <v>0</v>
      </c>
      <c r="T29" s="45">
        <f>Table3[[#This Row],[Verzekerde Waarde]]-Table3[[#This Row],[Mutaties]]</f>
        <v>0</v>
      </c>
      <c r="U29" s="45">
        <f t="shared" si="8"/>
        <v>0</v>
      </c>
      <c r="V29" s="41"/>
      <c r="W29" s="45">
        <f>X29+SUMIF(Table4[Subnummer],Table3[[#This Row],[Sub]],Table4[Som mutaties])</f>
        <v>0</v>
      </c>
      <c r="X29" s="46">
        <v>0</v>
      </c>
      <c r="Y29" s="41"/>
    </row>
    <row r="30" spans="1:25" ht="14.4" hidden="1" x14ac:dyDescent="0.3">
      <c r="A30" s="86"/>
      <c r="B30" s="42">
        <f>_xlfn.XLOOKUP(Table3[[#This Row],[Verzekerde]],Relatie,fin_sub)</f>
        <v>0</v>
      </c>
      <c r="C30" s="87">
        <v>24</v>
      </c>
      <c r="D30" s="41" t="s">
        <v>7</v>
      </c>
      <c r="E30" s="41"/>
      <c r="F30" s="43"/>
      <c r="G30" s="43"/>
      <c r="H30" s="43" t="s">
        <v>7</v>
      </c>
      <c r="I30" s="43" t="s">
        <v>7</v>
      </c>
      <c r="J30" s="127"/>
      <c r="K30" s="128"/>
      <c r="L30" s="127"/>
      <c r="M30" s="128"/>
      <c r="N30" s="127"/>
      <c r="O30" s="41"/>
      <c r="P30" s="41"/>
      <c r="Q30" s="41"/>
      <c r="R30" s="44">
        <v>0</v>
      </c>
      <c r="S30" s="45">
        <f t="shared" si="7"/>
        <v>0</v>
      </c>
      <c r="T30" s="45">
        <f>Table3[[#This Row],[Verzekerde Waarde]]-Table3[[#This Row],[Mutaties]]</f>
        <v>0</v>
      </c>
      <c r="U30" s="45">
        <f t="shared" si="8"/>
        <v>0</v>
      </c>
      <c r="V30" s="41"/>
      <c r="W30" s="45">
        <f>X30+SUMIF(Table4[Subnummer],Table3[[#This Row],[Sub]],Table4[Som mutaties])</f>
        <v>0</v>
      </c>
      <c r="X30" s="46">
        <v>0</v>
      </c>
      <c r="Y30" s="41"/>
    </row>
    <row r="31" spans="1:25" ht="14.4" hidden="1" x14ac:dyDescent="0.3">
      <c r="A31" s="86"/>
      <c r="B31" s="42">
        <f>_xlfn.XLOOKUP(Table3[[#This Row],[Verzekerde]],Relatie,fin_sub)</f>
        <v>0</v>
      </c>
      <c r="C31" s="87">
        <v>25</v>
      </c>
      <c r="D31" s="41" t="s">
        <v>7</v>
      </c>
      <c r="E31" s="41"/>
      <c r="F31" s="43"/>
      <c r="G31" s="43"/>
      <c r="H31" s="43" t="s">
        <v>7</v>
      </c>
      <c r="I31" s="43" t="s">
        <v>7</v>
      </c>
      <c r="J31" s="127"/>
      <c r="K31" s="128"/>
      <c r="L31" s="127"/>
      <c r="M31" s="128"/>
      <c r="N31" s="127"/>
      <c r="O31" s="41"/>
      <c r="P31" s="41"/>
      <c r="Q31" s="41"/>
      <c r="R31" s="44">
        <v>0</v>
      </c>
      <c r="S31" s="45">
        <f t="shared" si="7"/>
        <v>0</v>
      </c>
      <c r="T31" s="45">
        <f>Table3[[#This Row],[Verzekerde Waarde]]-Table3[[#This Row],[Mutaties]]</f>
        <v>0</v>
      </c>
      <c r="U31" s="45">
        <f t="shared" si="8"/>
        <v>0</v>
      </c>
      <c r="V31" s="41"/>
      <c r="W31" s="45">
        <f>X31+SUMIF(Table4[Subnummer],Table3[[#This Row],[Sub]],Table4[Som mutaties])</f>
        <v>0</v>
      </c>
      <c r="X31" s="46">
        <v>0</v>
      </c>
      <c r="Y31" s="41"/>
    </row>
    <row r="32" spans="1:25" ht="14.4" hidden="1" x14ac:dyDescent="0.3">
      <c r="A32" s="86"/>
      <c r="B32" s="42">
        <f>_xlfn.XLOOKUP(Table3[[#This Row],[Verzekerde]],Relatie,fin_sub)</f>
        <v>0</v>
      </c>
      <c r="C32" s="87">
        <v>26</v>
      </c>
      <c r="D32" s="41" t="s">
        <v>7</v>
      </c>
      <c r="E32" s="41"/>
      <c r="F32" s="43"/>
      <c r="G32" s="43"/>
      <c r="H32" s="43" t="s">
        <v>7</v>
      </c>
      <c r="I32" s="43" t="s">
        <v>7</v>
      </c>
      <c r="J32" s="127"/>
      <c r="K32" s="128"/>
      <c r="L32" s="127"/>
      <c r="M32" s="128"/>
      <c r="N32" s="127"/>
      <c r="O32" s="41"/>
      <c r="P32" s="41"/>
      <c r="Q32" s="41"/>
      <c r="R32" s="44">
        <v>0</v>
      </c>
      <c r="S32" s="45">
        <f t="shared" si="7"/>
        <v>0</v>
      </c>
      <c r="T32" s="45">
        <f>Table3[[#This Row],[Verzekerde Waarde]]-Table3[[#This Row],[Mutaties]]</f>
        <v>0</v>
      </c>
      <c r="U32" s="45">
        <f t="shared" si="8"/>
        <v>0</v>
      </c>
      <c r="V32" s="41"/>
      <c r="W32" s="45">
        <f>X32+SUMIF(Table4[Subnummer],Table3[[#This Row],[Sub]],Table4[Som mutaties])</f>
        <v>0</v>
      </c>
      <c r="X32" s="46">
        <v>0</v>
      </c>
      <c r="Y32" s="41"/>
    </row>
    <row r="33" spans="1:25" ht="14.4" hidden="1" x14ac:dyDescent="0.3">
      <c r="A33" s="86"/>
      <c r="B33" s="42">
        <f>_xlfn.XLOOKUP(Table3[[#This Row],[Verzekerde]],Relatie,fin_sub)</f>
        <v>0</v>
      </c>
      <c r="C33" s="87">
        <v>27</v>
      </c>
      <c r="D33" s="41" t="s">
        <v>7</v>
      </c>
      <c r="E33" s="41"/>
      <c r="F33" s="43"/>
      <c r="G33" s="43"/>
      <c r="H33" s="43" t="s">
        <v>7</v>
      </c>
      <c r="I33" s="43" t="s">
        <v>7</v>
      </c>
      <c r="J33" s="127"/>
      <c r="K33" s="128"/>
      <c r="L33" s="127"/>
      <c r="M33" s="128"/>
      <c r="N33" s="127"/>
      <c r="O33" s="41"/>
      <c r="P33" s="41"/>
      <c r="Q33" s="41"/>
      <c r="R33" s="44">
        <v>0</v>
      </c>
      <c r="S33" s="45">
        <f t="shared" si="7"/>
        <v>0</v>
      </c>
      <c r="T33" s="45">
        <f>Table3[[#This Row],[Verzekerde Waarde]]-Table3[[#This Row],[Mutaties]]</f>
        <v>0</v>
      </c>
      <c r="U33" s="45">
        <f t="shared" si="8"/>
        <v>0</v>
      </c>
      <c r="V33" s="41"/>
      <c r="W33" s="45">
        <f>X33+SUMIF(Table4[Subnummer],Table3[[#This Row],[Sub]],Table4[Som mutaties])</f>
        <v>0</v>
      </c>
      <c r="X33" s="46">
        <v>0</v>
      </c>
      <c r="Y33" s="41"/>
    </row>
    <row r="34" spans="1:25" ht="14.4" hidden="1" x14ac:dyDescent="0.3">
      <c r="A34" s="86"/>
      <c r="B34" s="42">
        <f>_xlfn.XLOOKUP(Table3[[#This Row],[Verzekerde]],Relatie,fin_sub)</f>
        <v>0</v>
      </c>
      <c r="C34" s="87">
        <v>28</v>
      </c>
      <c r="D34" s="41" t="s">
        <v>7</v>
      </c>
      <c r="E34" s="41"/>
      <c r="F34" s="43"/>
      <c r="G34" s="43"/>
      <c r="H34" s="43" t="s">
        <v>7</v>
      </c>
      <c r="I34" s="43" t="s">
        <v>7</v>
      </c>
      <c r="J34" s="127"/>
      <c r="K34" s="128"/>
      <c r="L34" s="127"/>
      <c r="M34" s="128"/>
      <c r="N34" s="127"/>
      <c r="O34" s="41"/>
      <c r="P34" s="41"/>
      <c r="Q34" s="41"/>
      <c r="R34" s="44">
        <v>0</v>
      </c>
      <c r="S34" s="45">
        <f t="shared" si="7"/>
        <v>0</v>
      </c>
      <c r="T34" s="45">
        <f>Table3[[#This Row],[Verzekerde Waarde]]-Table3[[#This Row],[Mutaties]]</f>
        <v>0</v>
      </c>
      <c r="U34" s="45">
        <f t="shared" si="8"/>
        <v>0</v>
      </c>
      <c r="V34" s="41"/>
      <c r="W34" s="45">
        <f>X34+SUMIF(Table4[Subnummer],Table3[[#This Row],[Sub]],Table4[Som mutaties])</f>
        <v>0</v>
      </c>
      <c r="X34" s="46">
        <v>0</v>
      </c>
      <c r="Y34" s="41"/>
    </row>
    <row r="35" spans="1:25" ht="14.4" hidden="1" x14ac:dyDescent="0.3">
      <c r="A35" s="86"/>
      <c r="B35" s="42">
        <f>_xlfn.XLOOKUP(Table3[[#This Row],[Verzekerde]],Relatie,fin_sub)</f>
        <v>0</v>
      </c>
      <c r="C35" s="87">
        <v>29</v>
      </c>
      <c r="D35" s="41" t="s">
        <v>7</v>
      </c>
      <c r="E35" s="41"/>
      <c r="F35" s="43"/>
      <c r="G35" s="43"/>
      <c r="H35" s="43" t="s">
        <v>7</v>
      </c>
      <c r="I35" s="43" t="s">
        <v>7</v>
      </c>
      <c r="J35" s="127"/>
      <c r="K35" s="128"/>
      <c r="L35" s="127"/>
      <c r="M35" s="128"/>
      <c r="N35" s="127"/>
      <c r="O35" s="41"/>
      <c r="P35" s="41"/>
      <c r="Q35" s="41"/>
      <c r="R35" s="44">
        <v>0</v>
      </c>
      <c r="S35" s="45">
        <f t="shared" si="7"/>
        <v>0</v>
      </c>
      <c r="T35" s="45">
        <f>Table3[[#This Row],[Verzekerde Waarde]]-Table3[[#This Row],[Mutaties]]</f>
        <v>0</v>
      </c>
      <c r="U35" s="45">
        <f t="shared" si="8"/>
        <v>0</v>
      </c>
      <c r="V35" s="41"/>
      <c r="W35" s="45">
        <f>X35+SUMIF(Table4[Subnummer],Table3[[#This Row],[Sub]],Table4[Som mutaties])</f>
        <v>0</v>
      </c>
      <c r="X35" s="46">
        <v>0</v>
      </c>
      <c r="Y35" s="41"/>
    </row>
    <row r="36" spans="1:25" ht="14.4" hidden="1" x14ac:dyDescent="0.3">
      <c r="A36" s="86"/>
      <c r="B36" s="42">
        <f>_xlfn.XLOOKUP(Table3[[#This Row],[Verzekerde]],Relatie,fin_sub)</f>
        <v>0</v>
      </c>
      <c r="C36" s="87">
        <v>30</v>
      </c>
      <c r="D36" s="41" t="s">
        <v>7</v>
      </c>
      <c r="E36" s="41"/>
      <c r="F36" s="43"/>
      <c r="G36" s="43"/>
      <c r="H36" s="43" t="s">
        <v>7</v>
      </c>
      <c r="I36" s="43" t="s">
        <v>7</v>
      </c>
      <c r="J36" s="127"/>
      <c r="K36" s="128"/>
      <c r="L36" s="127"/>
      <c r="M36" s="128"/>
      <c r="N36" s="127"/>
      <c r="O36" s="41"/>
      <c r="P36" s="41"/>
      <c r="Q36" s="41"/>
      <c r="R36" s="44">
        <v>0</v>
      </c>
      <c r="S36" s="45">
        <f t="shared" si="7"/>
        <v>0</v>
      </c>
      <c r="T36" s="45">
        <f>Table3[[#This Row],[Verzekerde Waarde]]-Table3[[#This Row],[Mutaties]]</f>
        <v>0</v>
      </c>
      <c r="U36" s="45">
        <f t="shared" si="8"/>
        <v>0</v>
      </c>
      <c r="V36" s="41"/>
      <c r="W36" s="45">
        <f>X36+SUMIF(Table4[Subnummer],Table3[[#This Row],[Sub]],Table4[Som mutaties])</f>
        <v>0</v>
      </c>
      <c r="X36" s="46">
        <v>0</v>
      </c>
      <c r="Y36" s="41"/>
    </row>
    <row r="37" spans="1:25" ht="14.4" hidden="1" x14ac:dyDescent="0.3">
      <c r="A37" s="86"/>
      <c r="B37" s="42">
        <f>_xlfn.XLOOKUP(Table3[[#This Row],[Verzekerde]],Relatie,fin_sub)</f>
        <v>0</v>
      </c>
      <c r="C37" s="87">
        <v>31</v>
      </c>
      <c r="D37" s="41" t="s">
        <v>7</v>
      </c>
      <c r="E37" s="41"/>
      <c r="F37" s="43"/>
      <c r="G37" s="43"/>
      <c r="H37" s="43" t="s">
        <v>7</v>
      </c>
      <c r="I37" s="43" t="s">
        <v>7</v>
      </c>
      <c r="J37" s="127"/>
      <c r="K37" s="128"/>
      <c r="L37" s="127"/>
      <c r="M37" s="128"/>
      <c r="N37" s="127"/>
      <c r="O37" s="41"/>
      <c r="P37" s="41"/>
      <c r="Q37" s="41"/>
      <c r="R37" s="44">
        <v>0</v>
      </c>
      <c r="S37" s="45">
        <f t="shared" si="7"/>
        <v>0</v>
      </c>
      <c r="T37" s="45">
        <f>Table3[[#This Row],[Verzekerde Waarde]]-Table3[[#This Row],[Mutaties]]</f>
        <v>0</v>
      </c>
      <c r="U37" s="45">
        <f t="shared" si="8"/>
        <v>0</v>
      </c>
      <c r="V37" s="41"/>
      <c r="W37" s="45">
        <f>X37+SUMIF(Table4[Subnummer],Table3[[#This Row],[Sub]],Table4[Som mutaties])</f>
        <v>0</v>
      </c>
      <c r="X37" s="46">
        <v>0</v>
      </c>
      <c r="Y37" s="41"/>
    </row>
    <row r="38" spans="1:25" ht="14.4" hidden="1" x14ac:dyDescent="0.3">
      <c r="A38" s="86"/>
      <c r="B38" s="42">
        <f>_xlfn.XLOOKUP(Table3[[#This Row],[Verzekerde]],Relatie,fin_sub)</f>
        <v>0</v>
      </c>
      <c r="C38" s="87">
        <v>32</v>
      </c>
      <c r="D38" s="41" t="s">
        <v>7</v>
      </c>
      <c r="E38" s="41"/>
      <c r="F38" s="43"/>
      <c r="G38" s="43"/>
      <c r="H38" s="43" t="s">
        <v>7</v>
      </c>
      <c r="I38" s="43" t="s">
        <v>7</v>
      </c>
      <c r="J38" s="127"/>
      <c r="K38" s="128"/>
      <c r="L38" s="127"/>
      <c r="M38" s="128"/>
      <c r="N38" s="127"/>
      <c r="O38" s="41"/>
      <c r="P38" s="41"/>
      <c r="Q38" s="41"/>
      <c r="R38" s="44">
        <v>0</v>
      </c>
      <c r="S38" s="45">
        <f t="shared" si="7"/>
        <v>0</v>
      </c>
      <c r="T38" s="45">
        <f>Table3[[#This Row],[Verzekerde Waarde]]-Table3[[#This Row],[Mutaties]]</f>
        <v>0</v>
      </c>
      <c r="U38" s="45">
        <f t="shared" si="8"/>
        <v>0</v>
      </c>
      <c r="V38" s="41"/>
      <c r="W38" s="45">
        <f>X38+SUMIF(Table4[Subnummer],Table3[[#This Row],[Sub]],Table4[Som mutaties])</f>
        <v>0</v>
      </c>
      <c r="X38" s="46">
        <v>0</v>
      </c>
      <c r="Y38" s="41"/>
    </row>
    <row r="39" spans="1:25" ht="14.4" hidden="1" x14ac:dyDescent="0.3">
      <c r="A39" s="86"/>
      <c r="B39" s="42">
        <f>_xlfn.XLOOKUP(Table3[[#This Row],[Verzekerde]],Relatie,fin_sub)</f>
        <v>0</v>
      </c>
      <c r="C39" s="87">
        <v>33</v>
      </c>
      <c r="D39" s="41" t="s">
        <v>7</v>
      </c>
      <c r="E39" s="41"/>
      <c r="F39" s="43"/>
      <c r="G39" s="43"/>
      <c r="H39" s="43" t="s">
        <v>7</v>
      </c>
      <c r="I39" s="43" t="s">
        <v>7</v>
      </c>
      <c r="J39" s="127"/>
      <c r="K39" s="128"/>
      <c r="L39" s="127"/>
      <c r="M39" s="128"/>
      <c r="N39" s="127"/>
      <c r="O39" s="41"/>
      <c r="P39" s="41"/>
      <c r="Q39" s="41"/>
      <c r="R39" s="44">
        <v>0</v>
      </c>
      <c r="S39" s="45">
        <f t="shared" si="7"/>
        <v>0</v>
      </c>
      <c r="T39" s="45">
        <f>Table3[[#This Row],[Verzekerde Waarde]]-Table3[[#This Row],[Mutaties]]</f>
        <v>0</v>
      </c>
      <c r="U39" s="45">
        <f t="shared" si="8"/>
        <v>0</v>
      </c>
      <c r="V39" s="41"/>
      <c r="W39" s="45">
        <f>X39+SUMIF(Table4[Subnummer],Table3[[#This Row],[Sub]],Table4[Som mutaties])</f>
        <v>0</v>
      </c>
      <c r="X39" s="46">
        <v>0</v>
      </c>
      <c r="Y39" s="41"/>
    </row>
    <row r="40" spans="1:25" ht="14.4" hidden="1" x14ac:dyDescent="0.3">
      <c r="A40" s="86"/>
      <c r="B40" s="42">
        <f>_xlfn.XLOOKUP(Table3[[#This Row],[Verzekerde]],Relatie,fin_sub)</f>
        <v>0</v>
      </c>
      <c r="C40" s="87">
        <v>34</v>
      </c>
      <c r="D40" s="41" t="s">
        <v>7</v>
      </c>
      <c r="E40" s="41"/>
      <c r="F40" s="43"/>
      <c r="G40" s="43"/>
      <c r="H40" s="43" t="s">
        <v>7</v>
      </c>
      <c r="I40" s="43" t="s">
        <v>7</v>
      </c>
      <c r="J40" s="127"/>
      <c r="K40" s="128"/>
      <c r="L40" s="127"/>
      <c r="M40" s="128"/>
      <c r="N40" s="127"/>
      <c r="O40" s="41"/>
      <c r="P40" s="41"/>
      <c r="Q40" s="41"/>
      <c r="R40" s="44">
        <v>0</v>
      </c>
      <c r="S40" s="45">
        <f t="shared" si="7"/>
        <v>0</v>
      </c>
      <c r="T40" s="45">
        <f>Table3[[#This Row],[Verzekerde Waarde]]-Table3[[#This Row],[Mutaties]]</f>
        <v>0</v>
      </c>
      <c r="U40" s="45">
        <f t="shared" si="8"/>
        <v>0</v>
      </c>
      <c r="V40" s="41"/>
      <c r="W40" s="45">
        <f>X40+SUMIF(Table4[Subnummer],Table3[[#This Row],[Sub]],Table4[Som mutaties])</f>
        <v>0</v>
      </c>
      <c r="X40" s="46">
        <v>0</v>
      </c>
      <c r="Y40" s="41"/>
    </row>
    <row r="41" spans="1:25" ht="14.4" hidden="1" x14ac:dyDescent="0.3">
      <c r="A41" s="86"/>
      <c r="B41" s="42">
        <f>_xlfn.XLOOKUP(Table3[[#This Row],[Verzekerde]],Relatie,fin_sub)</f>
        <v>0</v>
      </c>
      <c r="C41" s="87">
        <v>35</v>
      </c>
      <c r="D41" s="41" t="s">
        <v>7</v>
      </c>
      <c r="E41" s="41"/>
      <c r="F41" s="43"/>
      <c r="G41" s="43"/>
      <c r="H41" s="43" t="s">
        <v>7</v>
      </c>
      <c r="I41" s="43" t="s">
        <v>7</v>
      </c>
      <c r="J41" s="127"/>
      <c r="K41" s="128"/>
      <c r="L41" s="127"/>
      <c r="M41" s="128"/>
      <c r="N41" s="127"/>
      <c r="O41" s="41"/>
      <c r="P41" s="41"/>
      <c r="Q41" s="41"/>
      <c r="R41" s="44">
        <v>0</v>
      </c>
      <c r="S41" s="45">
        <f t="shared" si="7"/>
        <v>0</v>
      </c>
      <c r="T41" s="45">
        <f>Table3[[#This Row],[Verzekerde Waarde]]-Table3[[#This Row],[Mutaties]]</f>
        <v>0</v>
      </c>
      <c r="U41" s="45">
        <f t="shared" si="8"/>
        <v>0</v>
      </c>
      <c r="V41" s="41"/>
      <c r="W41" s="45">
        <f>X41+SUMIF(Table4[Subnummer],Table3[[#This Row],[Sub]],Table4[Som mutaties])</f>
        <v>0</v>
      </c>
      <c r="X41" s="46">
        <v>0</v>
      </c>
      <c r="Y41" s="41"/>
    </row>
    <row r="42" spans="1:25" ht="14.4" hidden="1" x14ac:dyDescent="0.3">
      <c r="A42" s="86"/>
      <c r="B42" s="42">
        <f>_xlfn.XLOOKUP(Table3[[#This Row],[Verzekerde]],Relatie,fin_sub)</f>
        <v>0</v>
      </c>
      <c r="C42" s="87">
        <v>36</v>
      </c>
      <c r="D42" s="41" t="s">
        <v>7</v>
      </c>
      <c r="E42" s="41"/>
      <c r="F42" s="43"/>
      <c r="G42" s="43"/>
      <c r="H42" s="43" t="s">
        <v>7</v>
      </c>
      <c r="I42" s="43" t="s">
        <v>7</v>
      </c>
      <c r="J42" s="127"/>
      <c r="K42" s="128"/>
      <c r="L42" s="127"/>
      <c r="M42" s="128"/>
      <c r="N42" s="127"/>
      <c r="O42" s="41"/>
      <c r="P42" s="41"/>
      <c r="Q42" s="41"/>
      <c r="R42" s="44">
        <v>0</v>
      </c>
      <c r="S42" s="45">
        <f t="shared" si="7"/>
        <v>0</v>
      </c>
      <c r="T42" s="45">
        <f>Table3[[#This Row],[Verzekerde Waarde]]-Table3[[#This Row],[Mutaties]]</f>
        <v>0</v>
      </c>
      <c r="U42" s="45">
        <f t="shared" si="8"/>
        <v>0</v>
      </c>
      <c r="V42" s="41"/>
      <c r="W42" s="45">
        <f>X42+SUMIF(Table4[Subnummer],Table3[[#This Row],[Sub]],Table4[Som mutaties])</f>
        <v>0</v>
      </c>
      <c r="X42" s="46">
        <v>0</v>
      </c>
      <c r="Y42" s="41"/>
    </row>
    <row r="43" spans="1:25" ht="14.4" hidden="1" x14ac:dyDescent="0.3">
      <c r="A43" s="86"/>
      <c r="B43" s="42">
        <f>_xlfn.XLOOKUP(Table3[[#This Row],[Verzekerde]],Relatie,fin_sub)</f>
        <v>0</v>
      </c>
      <c r="C43" s="87">
        <v>37</v>
      </c>
      <c r="D43" s="41" t="s">
        <v>7</v>
      </c>
      <c r="E43" s="41"/>
      <c r="F43" s="43"/>
      <c r="G43" s="43"/>
      <c r="H43" s="43" t="s">
        <v>7</v>
      </c>
      <c r="I43" s="43" t="s">
        <v>7</v>
      </c>
      <c r="J43" s="127"/>
      <c r="K43" s="128"/>
      <c r="L43" s="127"/>
      <c r="M43" s="128"/>
      <c r="N43" s="127"/>
      <c r="O43" s="41"/>
      <c r="P43" s="41"/>
      <c r="Q43" s="41"/>
      <c r="R43" s="44">
        <v>0</v>
      </c>
      <c r="S43" s="45">
        <f t="shared" si="7"/>
        <v>0</v>
      </c>
      <c r="T43" s="45">
        <f>Table3[[#This Row],[Verzekerde Waarde]]-Table3[[#This Row],[Mutaties]]</f>
        <v>0</v>
      </c>
      <c r="U43" s="45">
        <f t="shared" si="8"/>
        <v>0</v>
      </c>
      <c r="V43" s="41"/>
      <c r="W43" s="45">
        <f>X43+SUMIF(Table4[Subnummer],Table3[[#This Row],[Sub]],Table4[Som mutaties])</f>
        <v>0</v>
      </c>
      <c r="X43" s="46">
        <v>0</v>
      </c>
      <c r="Y43" s="41"/>
    </row>
    <row r="44" spans="1:25" ht="14.4" hidden="1" x14ac:dyDescent="0.3">
      <c r="A44" s="86"/>
      <c r="B44" s="42">
        <f>_xlfn.XLOOKUP(Table3[[#This Row],[Verzekerde]],Relatie,fin_sub)</f>
        <v>0</v>
      </c>
      <c r="C44" s="87">
        <v>38</v>
      </c>
      <c r="D44" s="41" t="s">
        <v>7</v>
      </c>
      <c r="E44" s="41"/>
      <c r="F44" s="43"/>
      <c r="G44" s="43"/>
      <c r="H44" s="43" t="s">
        <v>7</v>
      </c>
      <c r="I44" s="43" t="s">
        <v>7</v>
      </c>
      <c r="J44" s="127"/>
      <c r="K44" s="128"/>
      <c r="L44" s="127"/>
      <c r="M44" s="128"/>
      <c r="N44" s="127"/>
      <c r="O44" s="41"/>
      <c r="P44" s="41"/>
      <c r="Q44" s="41"/>
      <c r="R44" s="44">
        <v>0</v>
      </c>
      <c r="S44" s="45">
        <f t="shared" si="7"/>
        <v>0</v>
      </c>
      <c r="T44" s="45">
        <f>Table3[[#This Row],[Verzekerde Waarde]]-Table3[[#This Row],[Mutaties]]</f>
        <v>0</v>
      </c>
      <c r="U44" s="45">
        <f t="shared" si="8"/>
        <v>0</v>
      </c>
      <c r="V44" s="41"/>
      <c r="W44" s="45">
        <f>X44+SUMIF(Table4[Subnummer],Table3[[#This Row],[Sub]],Table4[Som mutaties])</f>
        <v>0</v>
      </c>
      <c r="X44" s="46">
        <v>0</v>
      </c>
      <c r="Y44" s="41"/>
    </row>
    <row r="45" spans="1:25" ht="14.4" hidden="1" x14ac:dyDescent="0.3">
      <c r="A45" s="86"/>
      <c r="B45" s="42">
        <f>_xlfn.XLOOKUP(Table3[[#This Row],[Verzekerde]],Relatie,fin_sub)</f>
        <v>0</v>
      </c>
      <c r="C45" s="87">
        <v>39</v>
      </c>
      <c r="D45" s="41" t="s">
        <v>7</v>
      </c>
      <c r="E45" s="41"/>
      <c r="F45" s="43"/>
      <c r="G45" s="43"/>
      <c r="H45" s="43" t="s">
        <v>7</v>
      </c>
      <c r="I45" s="43" t="s">
        <v>7</v>
      </c>
      <c r="J45" s="127"/>
      <c r="K45" s="128"/>
      <c r="L45" s="127"/>
      <c r="M45" s="128"/>
      <c r="N45" s="127"/>
      <c r="O45" s="41"/>
      <c r="P45" s="41"/>
      <c r="Q45" s="41"/>
      <c r="R45" s="44">
        <v>0</v>
      </c>
      <c r="S45" s="45">
        <f t="shared" si="7"/>
        <v>0</v>
      </c>
      <c r="T45" s="45">
        <f>Table3[[#This Row],[Verzekerde Waarde]]-Table3[[#This Row],[Mutaties]]</f>
        <v>0</v>
      </c>
      <c r="U45" s="45">
        <f t="shared" si="8"/>
        <v>0</v>
      </c>
      <c r="V45" s="41"/>
      <c r="W45" s="45">
        <f>X45+SUMIF(Table4[Subnummer],Table3[[#This Row],[Sub]],Table4[Som mutaties])</f>
        <v>0</v>
      </c>
      <c r="X45" s="46">
        <v>0</v>
      </c>
      <c r="Y45" s="41"/>
    </row>
    <row r="46" spans="1:25" ht="14.4" hidden="1" x14ac:dyDescent="0.3">
      <c r="A46" s="86"/>
      <c r="B46" s="42">
        <f>_xlfn.XLOOKUP(Table3[[#This Row],[Verzekerde]],Relatie,fin_sub)</f>
        <v>0</v>
      </c>
      <c r="C46" s="87">
        <v>40</v>
      </c>
      <c r="D46" s="41" t="s">
        <v>7</v>
      </c>
      <c r="E46" s="41"/>
      <c r="F46" s="43"/>
      <c r="G46" s="43"/>
      <c r="H46" s="43" t="s">
        <v>7</v>
      </c>
      <c r="I46" s="43" t="s">
        <v>7</v>
      </c>
      <c r="J46" s="127"/>
      <c r="K46" s="128"/>
      <c r="L46" s="127"/>
      <c r="M46" s="128"/>
      <c r="N46" s="127"/>
      <c r="O46" s="41"/>
      <c r="P46" s="41"/>
      <c r="Q46" s="41"/>
      <c r="R46" s="44">
        <v>0</v>
      </c>
      <c r="S46" s="45">
        <f t="shared" si="7"/>
        <v>0</v>
      </c>
      <c r="T46" s="45">
        <f>Table3[[#This Row],[Verzekerde Waarde]]-Table3[[#This Row],[Mutaties]]</f>
        <v>0</v>
      </c>
      <c r="U46" s="45">
        <f t="shared" si="8"/>
        <v>0</v>
      </c>
      <c r="V46" s="41"/>
      <c r="W46" s="45">
        <f>X46+SUMIF(Table4[Subnummer],Table3[[#This Row],[Sub]],Table4[Som mutaties])</f>
        <v>0</v>
      </c>
      <c r="X46" s="46">
        <v>0</v>
      </c>
      <c r="Y46" s="41"/>
    </row>
    <row r="47" spans="1:25" ht="14.4" hidden="1" x14ac:dyDescent="0.3">
      <c r="A47" s="86"/>
      <c r="B47" s="42">
        <f>_xlfn.XLOOKUP(Table3[[#This Row],[Verzekerde]],Relatie,fin_sub)</f>
        <v>0</v>
      </c>
      <c r="C47" s="87">
        <v>41</v>
      </c>
      <c r="D47" s="41" t="s">
        <v>7</v>
      </c>
      <c r="E47" s="41"/>
      <c r="F47" s="43"/>
      <c r="G47" s="43"/>
      <c r="H47" s="43" t="s">
        <v>7</v>
      </c>
      <c r="I47" s="43" t="s">
        <v>7</v>
      </c>
      <c r="J47" s="127"/>
      <c r="K47" s="128"/>
      <c r="L47" s="127"/>
      <c r="M47" s="128"/>
      <c r="N47" s="127"/>
      <c r="O47" s="41"/>
      <c r="P47" s="41"/>
      <c r="Q47" s="41"/>
      <c r="R47" s="44">
        <v>0</v>
      </c>
      <c r="S47" s="45">
        <f t="shared" si="7"/>
        <v>0</v>
      </c>
      <c r="T47" s="45">
        <f>Table3[[#This Row],[Verzekerde Waarde]]-Table3[[#This Row],[Mutaties]]</f>
        <v>0</v>
      </c>
      <c r="U47" s="45">
        <f t="shared" si="8"/>
        <v>0</v>
      </c>
      <c r="V47" s="41"/>
      <c r="W47" s="45">
        <f>X47+SUMIF(Table4[Subnummer],Table3[[#This Row],[Sub]],Table4[Som mutaties])</f>
        <v>0</v>
      </c>
      <c r="X47" s="46">
        <v>0</v>
      </c>
      <c r="Y47" s="41"/>
    </row>
    <row r="48" spans="1:25" ht="14.4" hidden="1" x14ac:dyDescent="0.3">
      <c r="A48" s="86"/>
      <c r="B48" s="42">
        <f>_xlfn.XLOOKUP(Table3[[#This Row],[Verzekerde]],Relatie,fin_sub)</f>
        <v>0</v>
      </c>
      <c r="C48" s="87">
        <v>42</v>
      </c>
      <c r="D48" s="41" t="s">
        <v>7</v>
      </c>
      <c r="E48" s="41"/>
      <c r="F48" s="43"/>
      <c r="G48" s="43"/>
      <c r="H48" s="43" t="s">
        <v>7</v>
      </c>
      <c r="I48" s="43" t="s">
        <v>7</v>
      </c>
      <c r="J48" s="127"/>
      <c r="K48" s="128"/>
      <c r="L48" s="127"/>
      <c r="M48" s="128"/>
      <c r="N48" s="127"/>
      <c r="O48" s="41"/>
      <c r="P48" s="41"/>
      <c r="Q48" s="41"/>
      <c r="R48" s="44">
        <v>0</v>
      </c>
      <c r="S48" s="45">
        <f t="shared" si="7"/>
        <v>0</v>
      </c>
      <c r="T48" s="45">
        <f>Table3[[#This Row],[Verzekerde Waarde]]-Table3[[#This Row],[Mutaties]]</f>
        <v>0</v>
      </c>
      <c r="U48" s="45">
        <f t="shared" si="8"/>
        <v>0</v>
      </c>
      <c r="V48" s="41"/>
      <c r="W48" s="45">
        <f>X48+SUMIF(Table4[Subnummer],Table3[[#This Row],[Sub]],Table4[Som mutaties])</f>
        <v>0</v>
      </c>
      <c r="X48" s="46">
        <v>0</v>
      </c>
      <c r="Y48" s="41"/>
    </row>
    <row r="49" spans="1:25" ht="14.4" hidden="1" x14ac:dyDescent="0.3">
      <c r="A49" s="86"/>
      <c r="B49" s="42">
        <f>_xlfn.XLOOKUP(Table3[[#This Row],[Verzekerde]],Relatie,fin_sub)</f>
        <v>0</v>
      </c>
      <c r="C49" s="87">
        <v>43</v>
      </c>
      <c r="D49" s="41" t="s">
        <v>7</v>
      </c>
      <c r="E49" s="41"/>
      <c r="F49" s="43"/>
      <c r="G49" s="43"/>
      <c r="H49" s="43" t="s">
        <v>7</v>
      </c>
      <c r="I49" s="43" t="s">
        <v>7</v>
      </c>
      <c r="J49" s="127"/>
      <c r="K49" s="128"/>
      <c r="L49" s="127"/>
      <c r="M49" s="128"/>
      <c r="N49" s="127"/>
      <c r="O49" s="41"/>
      <c r="P49" s="41"/>
      <c r="Q49" s="41"/>
      <c r="R49" s="44">
        <v>0</v>
      </c>
      <c r="S49" s="45">
        <f t="shared" si="7"/>
        <v>0</v>
      </c>
      <c r="T49" s="45">
        <f>Table3[[#This Row],[Verzekerde Waarde]]-Table3[[#This Row],[Mutaties]]</f>
        <v>0</v>
      </c>
      <c r="U49" s="45">
        <f t="shared" si="8"/>
        <v>0</v>
      </c>
      <c r="V49" s="41"/>
      <c r="W49" s="45">
        <f>X49+SUMIF(Table4[Subnummer],Table3[[#This Row],[Sub]],Table4[Som mutaties])</f>
        <v>0</v>
      </c>
      <c r="X49" s="46">
        <v>0</v>
      </c>
      <c r="Y49" s="41"/>
    </row>
    <row r="50" spans="1:25" ht="14.4" hidden="1" x14ac:dyDescent="0.3">
      <c r="A50" s="86"/>
      <c r="B50" s="42">
        <f>_xlfn.XLOOKUP(Table3[[#This Row],[Verzekerde]],Relatie,fin_sub)</f>
        <v>0</v>
      </c>
      <c r="C50" s="87">
        <v>44</v>
      </c>
      <c r="D50" s="41" t="s">
        <v>7</v>
      </c>
      <c r="E50" s="41"/>
      <c r="F50" s="43"/>
      <c r="G50" s="43"/>
      <c r="H50" s="43" t="s">
        <v>7</v>
      </c>
      <c r="I50" s="43" t="s">
        <v>7</v>
      </c>
      <c r="J50" s="127"/>
      <c r="K50" s="128"/>
      <c r="L50" s="127"/>
      <c r="M50" s="128"/>
      <c r="N50" s="127"/>
      <c r="O50" s="41"/>
      <c r="P50" s="41"/>
      <c r="Q50" s="41"/>
      <c r="R50" s="44">
        <v>0</v>
      </c>
      <c r="S50" s="45">
        <f t="shared" si="7"/>
        <v>0</v>
      </c>
      <c r="T50" s="45">
        <f>Table3[[#This Row],[Verzekerde Waarde]]-Table3[[#This Row],[Mutaties]]</f>
        <v>0</v>
      </c>
      <c r="U50" s="45">
        <f t="shared" si="8"/>
        <v>0</v>
      </c>
      <c r="V50" s="41"/>
      <c r="W50" s="45">
        <f>X50+SUMIF(Table4[Subnummer],Table3[[#This Row],[Sub]],Table4[Som mutaties])</f>
        <v>0</v>
      </c>
      <c r="X50" s="46">
        <v>0</v>
      </c>
      <c r="Y50" s="41"/>
    </row>
    <row r="51" spans="1:25" ht="14.4" hidden="1" x14ac:dyDescent="0.3">
      <c r="A51" s="86"/>
      <c r="B51" s="42">
        <f>_xlfn.XLOOKUP(Table3[[#This Row],[Verzekerde]],Relatie,fin_sub)</f>
        <v>0</v>
      </c>
      <c r="C51" s="87">
        <v>45</v>
      </c>
      <c r="D51" s="41" t="s">
        <v>7</v>
      </c>
      <c r="E51" s="41"/>
      <c r="F51" s="43"/>
      <c r="G51" s="43"/>
      <c r="H51" s="43" t="s">
        <v>7</v>
      </c>
      <c r="I51" s="43" t="s">
        <v>7</v>
      </c>
      <c r="J51" s="127"/>
      <c r="K51" s="128"/>
      <c r="L51" s="127"/>
      <c r="M51" s="128"/>
      <c r="N51" s="127"/>
      <c r="O51" s="41"/>
      <c r="P51" s="41"/>
      <c r="Q51" s="41"/>
      <c r="R51" s="44">
        <v>0</v>
      </c>
      <c r="S51" s="45">
        <f t="shared" si="7"/>
        <v>0</v>
      </c>
      <c r="T51" s="45">
        <f>Table3[[#This Row],[Verzekerde Waarde]]-Table3[[#This Row],[Mutaties]]</f>
        <v>0</v>
      </c>
      <c r="U51" s="45">
        <f t="shared" si="8"/>
        <v>0</v>
      </c>
      <c r="V51" s="41"/>
      <c r="W51" s="45">
        <f>X51+SUMIF(Table4[Subnummer],Table3[[#This Row],[Sub]],Table4[Som mutaties])</f>
        <v>0</v>
      </c>
      <c r="X51" s="46">
        <v>0</v>
      </c>
      <c r="Y51" s="41"/>
    </row>
    <row r="52" spans="1:25" ht="14.4" hidden="1" x14ac:dyDescent="0.3">
      <c r="A52" s="86"/>
      <c r="B52" s="42">
        <f>_xlfn.XLOOKUP(Table3[[#This Row],[Verzekerde]],Relatie,fin_sub)</f>
        <v>0</v>
      </c>
      <c r="C52" s="87">
        <v>46</v>
      </c>
      <c r="D52" s="41" t="s">
        <v>7</v>
      </c>
      <c r="E52" s="41"/>
      <c r="F52" s="43"/>
      <c r="G52" s="43"/>
      <c r="H52" s="43" t="s">
        <v>7</v>
      </c>
      <c r="I52" s="43" t="s">
        <v>7</v>
      </c>
      <c r="J52" s="127"/>
      <c r="K52" s="128"/>
      <c r="L52" s="127"/>
      <c r="M52" s="128"/>
      <c r="N52" s="127"/>
      <c r="O52" s="41"/>
      <c r="P52" s="41"/>
      <c r="Q52" s="41"/>
      <c r="R52" s="44">
        <v>0</v>
      </c>
      <c r="S52" s="45">
        <f t="shared" si="7"/>
        <v>0</v>
      </c>
      <c r="T52" s="45">
        <f>Table3[[#This Row],[Verzekerde Waarde]]-Table3[[#This Row],[Mutaties]]</f>
        <v>0</v>
      </c>
      <c r="U52" s="45">
        <f t="shared" si="8"/>
        <v>0</v>
      </c>
      <c r="V52" s="41"/>
      <c r="W52" s="45">
        <f>X52+SUMIF(Table4[Subnummer],Table3[[#This Row],[Sub]],Table4[Som mutaties])</f>
        <v>0</v>
      </c>
      <c r="X52" s="46">
        <v>0</v>
      </c>
      <c r="Y52" s="41"/>
    </row>
    <row r="53" spans="1:25" ht="14.4" hidden="1" x14ac:dyDescent="0.3">
      <c r="A53" s="86"/>
      <c r="B53" s="42">
        <f>_xlfn.XLOOKUP(Table3[[#This Row],[Verzekerde]],Relatie,fin_sub)</f>
        <v>0</v>
      </c>
      <c r="C53" s="87">
        <v>47</v>
      </c>
      <c r="D53" s="41" t="s">
        <v>7</v>
      </c>
      <c r="E53" s="41"/>
      <c r="F53" s="43"/>
      <c r="G53" s="43"/>
      <c r="H53" s="43" t="s">
        <v>7</v>
      </c>
      <c r="I53" s="43" t="s">
        <v>7</v>
      </c>
      <c r="J53" s="127"/>
      <c r="K53" s="128"/>
      <c r="L53" s="127"/>
      <c r="M53" s="128"/>
      <c r="N53" s="127"/>
      <c r="O53" s="41"/>
      <c r="P53" s="41"/>
      <c r="Q53" s="41"/>
      <c r="R53" s="44">
        <v>0</v>
      </c>
      <c r="S53" s="45">
        <f t="shared" si="7"/>
        <v>0</v>
      </c>
      <c r="T53" s="45">
        <f>Table3[[#This Row],[Verzekerde Waarde]]-Table3[[#This Row],[Mutaties]]</f>
        <v>0</v>
      </c>
      <c r="U53" s="45">
        <f t="shared" si="8"/>
        <v>0</v>
      </c>
      <c r="V53" s="41"/>
      <c r="W53" s="45">
        <f>X53+SUMIF(Table4[Subnummer],Table3[[#This Row],[Sub]],Table4[Som mutaties])</f>
        <v>0</v>
      </c>
      <c r="X53" s="46">
        <v>0</v>
      </c>
      <c r="Y53" s="41"/>
    </row>
    <row r="54" spans="1:25" ht="14.4" hidden="1" x14ac:dyDescent="0.3">
      <c r="A54" s="86"/>
      <c r="B54" s="42">
        <f>_xlfn.XLOOKUP(Table3[[#This Row],[Verzekerde]],Relatie,fin_sub)</f>
        <v>0</v>
      </c>
      <c r="C54" s="87">
        <v>48</v>
      </c>
      <c r="D54" s="41" t="s">
        <v>7</v>
      </c>
      <c r="E54" s="41"/>
      <c r="F54" s="43"/>
      <c r="G54" s="43"/>
      <c r="H54" s="43" t="s">
        <v>7</v>
      </c>
      <c r="I54" s="43" t="s">
        <v>7</v>
      </c>
      <c r="J54" s="127"/>
      <c r="K54" s="128"/>
      <c r="L54" s="127"/>
      <c r="M54" s="128"/>
      <c r="N54" s="127"/>
      <c r="O54" s="41"/>
      <c r="P54" s="41"/>
      <c r="Q54" s="41"/>
      <c r="R54" s="44">
        <v>0</v>
      </c>
      <c r="S54" s="45">
        <f t="shared" si="7"/>
        <v>0</v>
      </c>
      <c r="T54" s="45">
        <f>Table3[[#This Row],[Verzekerde Waarde]]-Table3[[#This Row],[Mutaties]]</f>
        <v>0</v>
      </c>
      <c r="U54" s="45">
        <f t="shared" si="8"/>
        <v>0</v>
      </c>
      <c r="V54" s="41"/>
      <c r="W54" s="45">
        <f>X54+SUMIF(Table4[Subnummer],Table3[[#This Row],[Sub]],Table4[Som mutaties])</f>
        <v>0</v>
      </c>
      <c r="X54" s="46">
        <v>0</v>
      </c>
      <c r="Y54" s="41"/>
    </row>
    <row r="55" spans="1:25" ht="14.4" hidden="1" x14ac:dyDescent="0.3">
      <c r="A55" s="86"/>
      <c r="B55" s="42">
        <f>_xlfn.XLOOKUP(Table3[[#This Row],[Verzekerde]],Relatie,fin_sub)</f>
        <v>0</v>
      </c>
      <c r="C55" s="87">
        <v>49</v>
      </c>
      <c r="D55" s="41" t="s">
        <v>7</v>
      </c>
      <c r="E55" s="41"/>
      <c r="F55" s="43"/>
      <c r="G55" s="43"/>
      <c r="H55" s="43" t="s">
        <v>7</v>
      </c>
      <c r="I55" s="43" t="s">
        <v>7</v>
      </c>
      <c r="J55" s="127"/>
      <c r="K55" s="128"/>
      <c r="L55" s="127"/>
      <c r="M55" s="128"/>
      <c r="N55" s="127"/>
      <c r="O55" s="41"/>
      <c r="P55" s="41"/>
      <c r="Q55" s="41"/>
      <c r="R55" s="44">
        <v>0</v>
      </c>
      <c r="S55" s="45">
        <f t="shared" si="7"/>
        <v>0</v>
      </c>
      <c r="T55" s="45">
        <f>Table3[[#This Row],[Verzekerde Waarde]]-Table3[[#This Row],[Mutaties]]</f>
        <v>0</v>
      </c>
      <c r="U55" s="45">
        <f t="shared" si="8"/>
        <v>0</v>
      </c>
      <c r="V55" s="41"/>
      <c r="W55" s="45">
        <f>X55+SUMIF(Table4[Subnummer],Table3[[#This Row],[Sub]],Table4[Som mutaties])</f>
        <v>0</v>
      </c>
      <c r="X55" s="46">
        <v>0</v>
      </c>
      <c r="Y55" s="41"/>
    </row>
    <row r="56" spans="1:25" ht="14.4" hidden="1" x14ac:dyDescent="0.3">
      <c r="A56" s="86"/>
      <c r="B56" s="42">
        <f>_xlfn.XLOOKUP(Table3[[#This Row],[Verzekerde]],Relatie,fin_sub)</f>
        <v>0</v>
      </c>
      <c r="C56" s="87">
        <v>50</v>
      </c>
      <c r="D56" s="41" t="s">
        <v>7</v>
      </c>
      <c r="E56" s="41"/>
      <c r="F56" s="43"/>
      <c r="G56" s="43"/>
      <c r="H56" s="43" t="s">
        <v>7</v>
      </c>
      <c r="I56" s="43" t="s">
        <v>7</v>
      </c>
      <c r="J56" s="127"/>
      <c r="K56" s="128"/>
      <c r="L56" s="127"/>
      <c r="M56" s="128"/>
      <c r="N56" s="127"/>
      <c r="O56" s="41"/>
      <c r="P56" s="41"/>
      <c r="Q56" s="41"/>
      <c r="R56" s="44">
        <v>0</v>
      </c>
      <c r="S56" s="45">
        <f t="shared" si="7"/>
        <v>0</v>
      </c>
      <c r="T56" s="45">
        <f>Table3[[#This Row],[Verzekerde Waarde]]-Table3[[#This Row],[Mutaties]]</f>
        <v>0</v>
      </c>
      <c r="U56" s="45">
        <f t="shared" si="8"/>
        <v>0</v>
      </c>
      <c r="V56" s="41"/>
      <c r="W56" s="45">
        <f>X56+SUMIF(Table4[Subnummer],Table3[[#This Row],[Sub]],Table4[Som mutaties])</f>
        <v>0</v>
      </c>
      <c r="X56" s="46">
        <v>0</v>
      </c>
      <c r="Y56" s="41"/>
    </row>
    <row r="57" spans="1:25" ht="14.4" hidden="1" x14ac:dyDescent="0.3">
      <c r="A57" s="86"/>
      <c r="B57" s="42">
        <f>_xlfn.XLOOKUP(Table3[[#This Row],[Verzekerde]],Relatie,fin_sub)</f>
        <v>0</v>
      </c>
      <c r="C57" s="87">
        <v>51</v>
      </c>
      <c r="D57" s="41" t="s">
        <v>7</v>
      </c>
      <c r="E57" s="41"/>
      <c r="F57" s="43"/>
      <c r="G57" s="43"/>
      <c r="H57" s="43" t="s">
        <v>7</v>
      </c>
      <c r="I57" s="43" t="s">
        <v>7</v>
      </c>
      <c r="J57" s="127"/>
      <c r="K57" s="128"/>
      <c r="L57" s="127"/>
      <c r="M57" s="128"/>
      <c r="N57" s="127"/>
      <c r="O57" s="41"/>
      <c r="P57" s="41"/>
      <c r="Q57" s="41"/>
      <c r="R57" s="44">
        <v>0</v>
      </c>
      <c r="S57" s="45">
        <f t="shared" si="7"/>
        <v>0</v>
      </c>
      <c r="T57" s="45">
        <f>Table3[[#This Row],[Verzekerde Waarde]]-Table3[[#This Row],[Mutaties]]</f>
        <v>0</v>
      </c>
      <c r="U57" s="45">
        <f t="shared" si="8"/>
        <v>0</v>
      </c>
      <c r="V57" s="41"/>
      <c r="W57" s="45">
        <f>X57+SUMIF(Table4[Subnummer],Table3[[#This Row],[Sub]],Table4[Som mutaties])</f>
        <v>0</v>
      </c>
      <c r="X57" s="46">
        <v>0</v>
      </c>
      <c r="Y57" s="41"/>
    </row>
    <row r="58" spans="1:25" ht="14.4" hidden="1" x14ac:dyDescent="0.3">
      <c r="A58" s="86"/>
      <c r="B58" s="42">
        <f>_xlfn.XLOOKUP(Table3[[#This Row],[Verzekerde]],Relatie,fin_sub)</f>
        <v>0</v>
      </c>
      <c r="C58" s="87">
        <v>52</v>
      </c>
      <c r="D58" s="41" t="s">
        <v>7</v>
      </c>
      <c r="E58" s="41"/>
      <c r="F58" s="43"/>
      <c r="G58" s="43"/>
      <c r="H58" s="43" t="s">
        <v>7</v>
      </c>
      <c r="I58" s="43" t="s">
        <v>7</v>
      </c>
      <c r="J58" s="127"/>
      <c r="K58" s="128"/>
      <c r="L58" s="127"/>
      <c r="M58" s="128"/>
      <c r="N58" s="127"/>
      <c r="O58" s="41"/>
      <c r="P58" s="41"/>
      <c r="Q58" s="41"/>
      <c r="R58" s="44">
        <v>0</v>
      </c>
      <c r="S58" s="45">
        <f t="shared" si="7"/>
        <v>0</v>
      </c>
      <c r="T58" s="45">
        <f>Table3[[#This Row],[Verzekerde Waarde]]-Table3[[#This Row],[Mutaties]]</f>
        <v>0</v>
      </c>
      <c r="U58" s="45">
        <f t="shared" si="8"/>
        <v>0</v>
      </c>
      <c r="V58" s="41"/>
      <c r="W58" s="45">
        <f>X58+SUMIF(Table4[Subnummer],Table3[[#This Row],[Sub]],Table4[Som mutaties])</f>
        <v>0</v>
      </c>
      <c r="X58" s="46">
        <v>0</v>
      </c>
      <c r="Y58" s="41"/>
    </row>
    <row r="59" spans="1:25" ht="14.4" hidden="1" x14ac:dyDescent="0.3">
      <c r="A59" s="86"/>
      <c r="B59" s="42">
        <f>_xlfn.XLOOKUP(Table3[[#This Row],[Verzekerde]],Relatie,fin_sub)</f>
        <v>0</v>
      </c>
      <c r="C59" s="87">
        <v>53</v>
      </c>
      <c r="D59" s="41" t="s">
        <v>7</v>
      </c>
      <c r="E59" s="41"/>
      <c r="F59" s="43"/>
      <c r="G59" s="43"/>
      <c r="H59" s="43" t="s">
        <v>7</v>
      </c>
      <c r="I59" s="43" t="s">
        <v>7</v>
      </c>
      <c r="J59" s="127"/>
      <c r="K59" s="128"/>
      <c r="L59" s="127"/>
      <c r="M59" s="128"/>
      <c r="N59" s="127"/>
      <c r="O59" s="41"/>
      <c r="P59" s="41"/>
      <c r="Q59" s="41"/>
      <c r="R59" s="44">
        <v>0</v>
      </c>
      <c r="S59" s="45">
        <f t="shared" si="7"/>
        <v>0</v>
      </c>
      <c r="T59" s="45">
        <f>Table3[[#This Row],[Verzekerde Waarde]]-Table3[[#This Row],[Mutaties]]</f>
        <v>0</v>
      </c>
      <c r="U59" s="45">
        <f t="shared" si="8"/>
        <v>0</v>
      </c>
      <c r="V59" s="41"/>
      <c r="W59" s="45">
        <f>X59+SUMIF(Table4[Subnummer],Table3[[#This Row],[Sub]],Table4[Som mutaties])</f>
        <v>0</v>
      </c>
      <c r="X59" s="46">
        <v>0</v>
      </c>
      <c r="Y59" s="41"/>
    </row>
    <row r="60" spans="1:25" ht="14.4" hidden="1" x14ac:dyDescent="0.3">
      <c r="A60" s="86"/>
      <c r="B60" s="42">
        <f>_xlfn.XLOOKUP(Table3[[#This Row],[Verzekerde]],Relatie,fin_sub)</f>
        <v>0</v>
      </c>
      <c r="C60" s="87">
        <v>54</v>
      </c>
      <c r="D60" s="41" t="s">
        <v>7</v>
      </c>
      <c r="E60" s="41"/>
      <c r="F60" s="43"/>
      <c r="G60" s="43"/>
      <c r="H60" s="43" t="s">
        <v>7</v>
      </c>
      <c r="I60" s="43" t="s">
        <v>7</v>
      </c>
      <c r="J60" s="127"/>
      <c r="K60" s="128"/>
      <c r="L60" s="127"/>
      <c r="M60" s="128"/>
      <c r="N60" s="127"/>
      <c r="O60" s="41"/>
      <c r="P60" s="41"/>
      <c r="Q60" s="41"/>
      <c r="R60" s="44">
        <v>0</v>
      </c>
      <c r="S60" s="45">
        <f t="shared" si="7"/>
        <v>0</v>
      </c>
      <c r="T60" s="45">
        <f>Table3[[#This Row],[Verzekerde Waarde]]-Table3[[#This Row],[Mutaties]]</f>
        <v>0</v>
      </c>
      <c r="U60" s="45">
        <f t="shared" si="8"/>
        <v>0</v>
      </c>
      <c r="V60" s="41"/>
      <c r="W60" s="45">
        <f>X60+SUMIF(Table4[Subnummer],Table3[[#This Row],[Sub]],Table4[Som mutaties])</f>
        <v>0</v>
      </c>
      <c r="X60" s="46">
        <v>0</v>
      </c>
      <c r="Y60" s="41"/>
    </row>
    <row r="61" spans="1:25" ht="14.4" hidden="1" x14ac:dyDescent="0.3">
      <c r="A61" s="86"/>
      <c r="B61" s="42">
        <f>_xlfn.XLOOKUP(Table3[[#This Row],[Verzekerde]],Relatie,fin_sub)</f>
        <v>0</v>
      </c>
      <c r="C61" s="87">
        <v>55</v>
      </c>
      <c r="D61" s="41" t="s">
        <v>7</v>
      </c>
      <c r="E61" s="41"/>
      <c r="F61" s="43"/>
      <c r="G61" s="43"/>
      <c r="H61" s="43" t="s">
        <v>7</v>
      </c>
      <c r="I61" s="43" t="s">
        <v>7</v>
      </c>
      <c r="J61" s="127"/>
      <c r="K61" s="128"/>
      <c r="L61" s="127"/>
      <c r="M61" s="128"/>
      <c r="N61" s="127"/>
      <c r="O61" s="41"/>
      <c r="P61" s="41"/>
      <c r="Q61" s="41"/>
      <c r="R61" s="44">
        <v>0</v>
      </c>
      <c r="S61" s="45">
        <f t="shared" si="7"/>
        <v>0</v>
      </c>
      <c r="T61" s="45">
        <f>Table3[[#This Row],[Verzekerde Waarde]]-Table3[[#This Row],[Mutaties]]</f>
        <v>0</v>
      </c>
      <c r="U61" s="45">
        <f t="shared" si="8"/>
        <v>0</v>
      </c>
      <c r="V61" s="41"/>
      <c r="W61" s="45">
        <f>X61+SUMIF(Table4[Subnummer],Table3[[#This Row],[Sub]],Table4[Som mutaties])</f>
        <v>0</v>
      </c>
      <c r="X61" s="46">
        <v>0</v>
      </c>
      <c r="Y61" s="41"/>
    </row>
    <row r="62" spans="1:25" ht="14.4" hidden="1" x14ac:dyDescent="0.3">
      <c r="A62" s="86"/>
      <c r="B62" s="42">
        <f>_xlfn.XLOOKUP(Table3[[#This Row],[Verzekerde]],Relatie,fin_sub)</f>
        <v>0</v>
      </c>
      <c r="C62" s="87">
        <v>56</v>
      </c>
      <c r="D62" s="41" t="s">
        <v>7</v>
      </c>
      <c r="E62" s="41"/>
      <c r="F62" s="43"/>
      <c r="G62" s="43"/>
      <c r="H62" s="43" t="s">
        <v>7</v>
      </c>
      <c r="I62" s="43" t="s">
        <v>7</v>
      </c>
      <c r="J62" s="127"/>
      <c r="K62" s="128"/>
      <c r="L62" s="127"/>
      <c r="M62" s="128"/>
      <c r="N62" s="127"/>
      <c r="O62" s="41"/>
      <c r="P62" s="41"/>
      <c r="Q62" s="41"/>
      <c r="R62" s="44">
        <v>0</v>
      </c>
      <c r="S62" s="45">
        <f t="shared" si="7"/>
        <v>0</v>
      </c>
      <c r="T62" s="45">
        <f>Table3[[#This Row],[Verzekerde Waarde]]-Table3[[#This Row],[Mutaties]]</f>
        <v>0</v>
      </c>
      <c r="U62" s="45">
        <f t="shared" si="8"/>
        <v>0</v>
      </c>
      <c r="V62" s="41"/>
      <c r="W62" s="45">
        <f>X62+SUMIF(Table4[Subnummer],Table3[[#This Row],[Sub]],Table4[Som mutaties])</f>
        <v>0</v>
      </c>
      <c r="X62" s="46">
        <v>0</v>
      </c>
      <c r="Y62" s="41"/>
    </row>
    <row r="63" spans="1:25" ht="14.4" hidden="1" x14ac:dyDescent="0.3">
      <c r="A63" s="86"/>
      <c r="B63" s="42">
        <f>_xlfn.XLOOKUP(Table3[[#This Row],[Verzekerde]],Relatie,fin_sub)</f>
        <v>0</v>
      </c>
      <c r="C63" s="87">
        <v>57</v>
      </c>
      <c r="D63" s="41" t="s">
        <v>7</v>
      </c>
      <c r="E63" s="41"/>
      <c r="F63" s="43"/>
      <c r="G63" s="43"/>
      <c r="H63" s="43" t="s">
        <v>7</v>
      </c>
      <c r="I63" s="43" t="s">
        <v>7</v>
      </c>
      <c r="J63" s="127"/>
      <c r="K63" s="128"/>
      <c r="L63" s="127"/>
      <c r="M63" s="128"/>
      <c r="N63" s="127"/>
      <c r="O63" s="41"/>
      <c r="P63" s="41"/>
      <c r="Q63" s="41"/>
      <c r="R63" s="44">
        <v>0</v>
      </c>
      <c r="S63" s="45">
        <f t="shared" si="7"/>
        <v>0</v>
      </c>
      <c r="T63" s="45">
        <f>Table3[[#This Row],[Verzekerde Waarde]]-Table3[[#This Row],[Mutaties]]</f>
        <v>0</v>
      </c>
      <c r="U63" s="45">
        <f t="shared" si="8"/>
        <v>0</v>
      </c>
      <c r="V63" s="41"/>
      <c r="W63" s="45">
        <f>X63+SUMIF(Table4[Subnummer],Table3[[#This Row],[Sub]],Table4[Som mutaties])</f>
        <v>0</v>
      </c>
      <c r="X63" s="46">
        <v>0</v>
      </c>
      <c r="Y63" s="41"/>
    </row>
    <row r="64" spans="1:25" ht="14.4" hidden="1" x14ac:dyDescent="0.3">
      <c r="A64" s="86"/>
      <c r="B64" s="42">
        <f>_xlfn.XLOOKUP(Table3[[#This Row],[Verzekerde]],Relatie,fin_sub)</f>
        <v>0</v>
      </c>
      <c r="C64" s="87">
        <v>58</v>
      </c>
      <c r="D64" s="41" t="s">
        <v>7</v>
      </c>
      <c r="E64" s="41"/>
      <c r="F64" s="43"/>
      <c r="G64" s="43"/>
      <c r="H64" s="43" t="s">
        <v>7</v>
      </c>
      <c r="I64" s="43" t="s">
        <v>7</v>
      </c>
      <c r="J64" s="127"/>
      <c r="K64" s="128"/>
      <c r="L64" s="127"/>
      <c r="M64" s="128"/>
      <c r="N64" s="127"/>
      <c r="O64" s="41"/>
      <c r="P64" s="41"/>
      <c r="Q64" s="41"/>
      <c r="R64" s="44">
        <v>0</v>
      </c>
      <c r="S64" s="45">
        <f t="shared" si="7"/>
        <v>0</v>
      </c>
      <c r="T64" s="45">
        <f>Table3[[#This Row],[Verzekerde Waarde]]-Table3[[#This Row],[Mutaties]]</f>
        <v>0</v>
      </c>
      <c r="U64" s="45">
        <f t="shared" si="8"/>
        <v>0</v>
      </c>
      <c r="V64" s="41"/>
      <c r="W64" s="45">
        <f>X64+SUMIF(Table4[Subnummer],Table3[[#This Row],[Sub]],Table4[Som mutaties])</f>
        <v>0</v>
      </c>
      <c r="X64" s="46">
        <v>0</v>
      </c>
      <c r="Y64" s="41"/>
    </row>
    <row r="65" spans="1:25" ht="14.4" hidden="1" x14ac:dyDescent="0.3">
      <c r="A65" s="86"/>
      <c r="B65" s="42">
        <f>_xlfn.XLOOKUP(Table3[[#This Row],[Verzekerde]],Relatie,fin_sub)</f>
        <v>0</v>
      </c>
      <c r="C65" s="87">
        <v>59</v>
      </c>
      <c r="D65" s="41" t="s">
        <v>7</v>
      </c>
      <c r="E65" s="41"/>
      <c r="F65" s="43"/>
      <c r="G65" s="43"/>
      <c r="H65" s="43" t="s">
        <v>7</v>
      </c>
      <c r="I65" s="43" t="s">
        <v>7</v>
      </c>
      <c r="J65" s="127"/>
      <c r="K65" s="128"/>
      <c r="L65" s="127"/>
      <c r="M65" s="128"/>
      <c r="N65" s="127"/>
      <c r="O65" s="41"/>
      <c r="P65" s="41"/>
      <c r="Q65" s="41"/>
      <c r="R65" s="44">
        <v>0</v>
      </c>
      <c r="S65" s="45">
        <f t="shared" si="7"/>
        <v>0</v>
      </c>
      <c r="T65" s="45">
        <f>Table3[[#This Row],[Verzekerde Waarde]]-Table3[[#This Row],[Mutaties]]</f>
        <v>0</v>
      </c>
      <c r="U65" s="45">
        <f t="shared" si="8"/>
        <v>0</v>
      </c>
      <c r="V65" s="41"/>
      <c r="W65" s="45">
        <f>X65+SUMIF(Table4[Subnummer],Table3[[#This Row],[Sub]],Table4[Som mutaties])</f>
        <v>0</v>
      </c>
      <c r="X65" s="46">
        <v>0</v>
      </c>
      <c r="Y65" s="41"/>
    </row>
    <row r="66" spans="1:25" ht="14.4" hidden="1" x14ac:dyDescent="0.3">
      <c r="A66" s="86"/>
      <c r="B66" s="42">
        <f>_xlfn.XLOOKUP(Table3[[#This Row],[Verzekerde]],Relatie,fin_sub)</f>
        <v>0</v>
      </c>
      <c r="C66" s="87">
        <v>60</v>
      </c>
      <c r="D66" s="41" t="s">
        <v>7</v>
      </c>
      <c r="E66" s="41"/>
      <c r="F66" s="43"/>
      <c r="G66" s="43"/>
      <c r="H66" s="43" t="s">
        <v>7</v>
      </c>
      <c r="I66" s="43" t="s">
        <v>7</v>
      </c>
      <c r="J66" s="127"/>
      <c r="K66" s="128"/>
      <c r="L66" s="127"/>
      <c r="M66" s="128"/>
      <c r="N66" s="127"/>
      <c r="O66" s="41"/>
      <c r="P66" s="41"/>
      <c r="Q66" s="41"/>
      <c r="R66" s="44">
        <v>0</v>
      </c>
      <c r="S66" s="45">
        <f t="shared" si="7"/>
        <v>0</v>
      </c>
      <c r="T66" s="45">
        <f>Table3[[#This Row],[Verzekerde Waarde]]-Table3[[#This Row],[Mutaties]]</f>
        <v>0</v>
      </c>
      <c r="U66" s="45">
        <f t="shared" si="8"/>
        <v>0</v>
      </c>
      <c r="V66" s="41"/>
      <c r="W66" s="45">
        <f>X66+SUMIF(Table4[Subnummer],Table3[[#This Row],[Sub]],Table4[Som mutaties])</f>
        <v>0</v>
      </c>
      <c r="X66" s="46">
        <v>0</v>
      </c>
      <c r="Y66" s="41"/>
    </row>
    <row r="67" spans="1:25" ht="14.4" hidden="1" x14ac:dyDescent="0.3">
      <c r="A67" s="86"/>
      <c r="B67" s="42">
        <f>_xlfn.XLOOKUP(Table3[[#This Row],[Verzekerde]],Relatie,fin_sub)</f>
        <v>0</v>
      </c>
      <c r="C67" s="87">
        <v>61</v>
      </c>
      <c r="D67" s="41" t="s">
        <v>7</v>
      </c>
      <c r="E67" s="41"/>
      <c r="F67" s="43"/>
      <c r="G67" s="43"/>
      <c r="H67" s="43" t="s">
        <v>7</v>
      </c>
      <c r="I67" s="43" t="s">
        <v>7</v>
      </c>
      <c r="J67" s="127"/>
      <c r="K67" s="128"/>
      <c r="L67" s="127"/>
      <c r="M67" s="128"/>
      <c r="N67" s="127"/>
      <c r="O67" s="41"/>
      <c r="P67" s="41"/>
      <c r="Q67" s="41"/>
      <c r="R67" s="44">
        <v>0</v>
      </c>
      <c r="S67" s="45">
        <f t="shared" si="7"/>
        <v>0</v>
      </c>
      <c r="T67" s="45">
        <f>Table3[[#This Row],[Verzekerde Waarde]]-Table3[[#This Row],[Mutaties]]</f>
        <v>0</v>
      </c>
      <c r="U67" s="45">
        <f t="shared" si="8"/>
        <v>0</v>
      </c>
      <c r="V67" s="41"/>
      <c r="W67" s="45">
        <f>X67+SUMIF(Table4[Subnummer],Table3[[#This Row],[Sub]],Table4[Som mutaties])</f>
        <v>0</v>
      </c>
      <c r="X67" s="46">
        <v>0</v>
      </c>
      <c r="Y67" s="41"/>
    </row>
    <row r="68" spans="1:25" ht="14.4" hidden="1" x14ac:dyDescent="0.3">
      <c r="A68" s="86"/>
      <c r="B68" s="42">
        <f>_xlfn.XLOOKUP(Table3[[#This Row],[Verzekerde]],Relatie,fin_sub)</f>
        <v>0</v>
      </c>
      <c r="C68" s="87">
        <v>62</v>
      </c>
      <c r="D68" s="41" t="s">
        <v>7</v>
      </c>
      <c r="E68" s="41"/>
      <c r="F68" s="43"/>
      <c r="G68" s="43"/>
      <c r="H68" s="43" t="s">
        <v>7</v>
      </c>
      <c r="I68" s="43" t="s">
        <v>7</v>
      </c>
      <c r="J68" s="127"/>
      <c r="K68" s="128"/>
      <c r="L68" s="127"/>
      <c r="M68" s="128"/>
      <c r="N68" s="127"/>
      <c r="O68" s="41"/>
      <c r="P68" s="41"/>
      <c r="Q68" s="41"/>
      <c r="R68" s="44">
        <v>0</v>
      </c>
      <c r="S68" s="45">
        <f t="shared" si="7"/>
        <v>0</v>
      </c>
      <c r="T68" s="45">
        <f>Table3[[#This Row],[Verzekerde Waarde]]-Table3[[#This Row],[Mutaties]]</f>
        <v>0</v>
      </c>
      <c r="U68" s="45">
        <f t="shared" si="8"/>
        <v>0</v>
      </c>
      <c r="V68" s="41"/>
      <c r="W68" s="45">
        <f>X68+SUMIF(Table4[Subnummer],Table3[[#This Row],[Sub]],Table4[Som mutaties])</f>
        <v>0</v>
      </c>
      <c r="X68" s="46">
        <v>0</v>
      </c>
      <c r="Y68" s="41"/>
    </row>
    <row r="69" spans="1:25" ht="14.4" hidden="1" x14ac:dyDescent="0.3">
      <c r="A69" s="86"/>
      <c r="B69" s="42">
        <f>_xlfn.XLOOKUP(Table3[[#This Row],[Verzekerde]],Relatie,fin_sub)</f>
        <v>0</v>
      </c>
      <c r="C69" s="87">
        <v>63</v>
      </c>
      <c r="D69" s="41" t="s">
        <v>7</v>
      </c>
      <c r="E69" s="41"/>
      <c r="F69" s="43"/>
      <c r="G69" s="43"/>
      <c r="H69" s="43" t="s">
        <v>7</v>
      </c>
      <c r="I69" s="43" t="s">
        <v>7</v>
      </c>
      <c r="J69" s="127"/>
      <c r="K69" s="128"/>
      <c r="L69" s="127"/>
      <c r="M69" s="128"/>
      <c r="N69" s="127"/>
      <c r="O69" s="41"/>
      <c r="P69" s="41"/>
      <c r="Q69" s="41"/>
      <c r="R69" s="44">
        <v>0</v>
      </c>
      <c r="S69" s="45">
        <f t="shared" ref="S69:S90" si="9">IF(R69=0,U69,(U69+R69)/2)</f>
        <v>0</v>
      </c>
      <c r="T69" s="45">
        <f>Table3[[#This Row],[Verzekerde Waarde]]-Table3[[#This Row],[Mutaties]]</f>
        <v>0</v>
      </c>
      <c r="U69" s="45">
        <f t="shared" ref="U69:U132" si="10">IF(V69=Y69,W69,ROUNDUP(W69/Y69*V69,-3))</f>
        <v>0</v>
      </c>
      <c r="V69" s="41"/>
      <c r="W69" s="45">
        <f>X69+SUMIF(Table4[Subnummer],Table3[[#This Row],[Sub]],Table4[Som mutaties])</f>
        <v>0</v>
      </c>
      <c r="X69" s="46">
        <v>0</v>
      </c>
      <c r="Y69" s="41"/>
    </row>
    <row r="70" spans="1:25" ht="14.4" hidden="1" x14ac:dyDescent="0.3">
      <c r="A70" s="86"/>
      <c r="B70" s="42">
        <f>_xlfn.XLOOKUP(Table3[[#This Row],[Verzekerde]],Relatie,fin_sub)</f>
        <v>0</v>
      </c>
      <c r="C70" s="87">
        <v>64</v>
      </c>
      <c r="D70" s="41" t="s">
        <v>7</v>
      </c>
      <c r="E70" s="41"/>
      <c r="F70" s="43"/>
      <c r="G70" s="43"/>
      <c r="H70" s="43" t="s">
        <v>7</v>
      </c>
      <c r="I70" s="43" t="s">
        <v>7</v>
      </c>
      <c r="J70" s="127"/>
      <c r="K70" s="128"/>
      <c r="L70" s="127"/>
      <c r="M70" s="128"/>
      <c r="N70" s="127"/>
      <c r="O70" s="41"/>
      <c r="P70" s="41"/>
      <c r="Q70" s="41"/>
      <c r="R70" s="44">
        <v>0</v>
      </c>
      <c r="S70" s="45">
        <f t="shared" si="9"/>
        <v>0</v>
      </c>
      <c r="T70" s="45">
        <f>Table3[[#This Row],[Verzekerde Waarde]]-Table3[[#This Row],[Mutaties]]</f>
        <v>0</v>
      </c>
      <c r="U70" s="45">
        <f t="shared" si="10"/>
        <v>0</v>
      </c>
      <c r="V70" s="41"/>
      <c r="W70" s="45">
        <f>X70+SUMIF(Table4[Subnummer],Table3[[#This Row],[Sub]],Table4[Som mutaties])</f>
        <v>0</v>
      </c>
      <c r="X70" s="46">
        <v>0</v>
      </c>
      <c r="Y70" s="41"/>
    </row>
    <row r="71" spans="1:25" ht="14.4" hidden="1" x14ac:dyDescent="0.3">
      <c r="A71" s="86"/>
      <c r="B71" s="42">
        <f>_xlfn.XLOOKUP(Table3[[#This Row],[Verzekerde]],Relatie,fin_sub)</f>
        <v>0</v>
      </c>
      <c r="C71" s="87">
        <v>65</v>
      </c>
      <c r="D71" s="41" t="s">
        <v>7</v>
      </c>
      <c r="E71" s="41"/>
      <c r="F71" s="43"/>
      <c r="G71" s="43"/>
      <c r="H71" s="43" t="s">
        <v>7</v>
      </c>
      <c r="I71" s="43" t="s">
        <v>7</v>
      </c>
      <c r="J71" s="127"/>
      <c r="K71" s="128"/>
      <c r="L71" s="127"/>
      <c r="M71" s="128"/>
      <c r="N71" s="127"/>
      <c r="O71" s="41"/>
      <c r="P71" s="41"/>
      <c r="Q71" s="41"/>
      <c r="R71" s="44">
        <v>0</v>
      </c>
      <c r="S71" s="45">
        <f t="shared" si="9"/>
        <v>0</v>
      </c>
      <c r="T71" s="45">
        <f>Table3[[#This Row],[Verzekerde Waarde]]-Table3[[#This Row],[Mutaties]]</f>
        <v>0</v>
      </c>
      <c r="U71" s="45">
        <f t="shared" si="10"/>
        <v>0</v>
      </c>
      <c r="V71" s="41"/>
      <c r="W71" s="45">
        <f>X71+SUMIF(Table4[Subnummer],Table3[[#This Row],[Sub]],Table4[Som mutaties])</f>
        <v>0</v>
      </c>
      <c r="X71" s="46">
        <v>0</v>
      </c>
      <c r="Y71" s="41"/>
    </row>
    <row r="72" spans="1:25" ht="14.4" hidden="1" x14ac:dyDescent="0.3">
      <c r="A72" s="86"/>
      <c r="B72" s="42">
        <f>_xlfn.XLOOKUP(Table3[[#This Row],[Verzekerde]],Relatie,fin_sub)</f>
        <v>0</v>
      </c>
      <c r="C72" s="87">
        <v>66</v>
      </c>
      <c r="D72" s="41" t="s">
        <v>7</v>
      </c>
      <c r="E72" s="41"/>
      <c r="F72" s="43"/>
      <c r="G72" s="43"/>
      <c r="H72" s="43" t="s">
        <v>7</v>
      </c>
      <c r="I72" s="43" t="s">
        <v>7</v>
      </c>
      <c r="J72" s="127"/>
      <c r="K72" s="128"/>
      <c r="L72" s="127"/>
      <c r="M72" s="128"/>
      <c r="N72" s="127"/>
      <c r="O72" s="41"/>
      <c r="P72" s="41"/>
      <c r="Q72" s="41"/>
      <c r="R72" s="44">
        <v>0</v>
      </c>
      <c r="S72" s="45">
        <f t="shared" si="9"/>
        <v>0</v>
      </c>
      <c r="T72" s="45">
        <f>Table3[[#This Row],[Verzekerde Waarde]]-Table3[[#This Row],[Mutaties]]</f>
        <v>0</v>
      </c>
      <c r="U72" s="45">
        <f t="shared" si="10"/>
        <v>0</v>
      </c>
      <c r="V72" s="41"/>
      <c r="W72" s="45">
        <f>X72+SUMIF(Table4[Subnummer],Table3[[#This Row],[Sub]],Table4[Som mutaties])</f>
        <v>0</v>
      </c>
      <c r="X72" s="46">
        <v>0</v>
      </c>
      <c r="Y72" s="41"/>
    </row>
    <row r="73" spans="1:25" ht="14.4" hidden="1" x14ac:dyDescent="0.3">
      <c r="A73" s="86"/>
      <c r="B73" s="42">
        <f>_xlfn.XLOOKUP(Table3[[#This Row],[Verzekerde]],Relatie,fin_sub)</f>
        <v>0</v>
      </c>
      <c r="C73" s="87">
        <v>67</v>
      </c>
      <c r="D73" s="41" t="s">
        <v>7</v>
      </c>
      <c r="E73" s="41"/>
      <c r="F73" s="43"/>
      <c r="G73" s="43"/>
      <c r="H73" s="43" t="s">
        <v>7</v>
      </c>
      <c r="I73" s="43" t="s">
        <v>7</v>
      </c>
      <c r="J73" s="127"/>
      <c r="K73" s="128"/>
      <c r="L73" s="127"/>
      <c r="M73" s="128"/>
      <c r="N73" s="127"/>
      <c r="O73" s="41"/>
      <c r="P73" s="41"/>
      <c r="Q73" s="41"/>
      <c r="R73" s="44">
        <v>0</v>
      </c>
      <c r="S73" s="45">
        <f t="shared" si="9"/>
        <v>0</v>
      </c>
      <c r="T73" s="45">
        <f>Table3[[#This Row],[Verzekerde Waarde]]-Table3[[#This Row],[Mutaties]]</f>
        <v>0</v>
      </c>
      <c r="U73" s="45">
        <f t="shared" si="10"/>
        <v>0</v>
      </c>
      <c r="V73" s="41"/>
      <c r="W73" s="45">
        <f>X73+SUMIF(Table4[Subnummer],Table3[[#This Row],[Sub]],Table4[Som mutaties])</f>
        <v>0</v>
      </c>
      <c r="X73" s="46">
        <v>0</v>
      </c>
      <c r="Y73" s="41"/>
    </row>
    <row r="74" spans="1:25" ht="14.4" hidden="1" x14ac:dyDescent="0.3">
      <c r="A74" s="86"/>
      <c r="B74" s="42">
        <f>_xlfn.XLOOKUP(Table3[[#This Row],[Verzekerde]],Relatie,fin_sub)</f>
        <v>0</v>
      </c>
      <c r="C74" s="87">
        <v>68</v>
      </c>
      <c r="D74" s="41" t="s">
        <v>7</v>
      </c>
      <c r="E74" s="41"/>
      <c r="F74" s="43"/>
      <c r="G74" s="43"/>
      <c r="H74" s="43" t="s">
        <v>7</v>
      </c>
      <c r="I74" s="43" t="s">
        <v>7</v>
      </c>
      <c r="J74" s="127"/>
      <c r="K74" s="128"/>
      <c r="L74" s="127"/>
      <c r="M74" s="128"/>
      <c r="N74" s="127"/>
      <c r="O74" s="41"/>
      <c r="P74" s="41"/>
      <c r="Q74" s="41"/>
      <c r="R74" s="44">
        <v>0</v>
      </c>
      <c r="S74" s="45">
        <f t="shared" si="9"/>
        <v>0</v>
      </c>
      <c r="T74" s="45">
        <f>Table3[[#This Row],[Verzekerde Waarde]]-Table3[[#This Row],[Mutaties]]</f>
        <v>0</v>
      </c>
      <c r="U74" s="45">
        <f t="shared" si="10"/>
        <v>0</v>
      </c>
      <c r="V74" s="41"/>
      <c r="W74" s="45">
        <f>X74+SUMIF(Table4[Subnummer],Table3[[#This Row],[Sub]],Table4[Som mutaties])</f>
        <v>0</v>
      </c>
      <c r="X74" s="46">
        <v>0</v>
      </c>
      <c r="Y74" s="41"/>
    </row>
    <row r="75" spans="1:25" ht="14.4" hidden="1" x14ac:dyDescent="0.3">
      <c r="A75" s="86"/>
      <c r="B75" s="42">
        <f>_xlfn.XLOOKUP(Table3[[#This Row],[Verzekerde]],Relatie,fin_sub)</f>
        <v>0</v>
      </c>
      <c r="C75" s="87">
        <v>69</v>
      </c>
      <c r="D75" s="41" t="s">
        <v>7</v>
      </c>
      <c r="E75" s="41"/>
      <c r="F75" s="43"/>
      <c r="G75" s="43"/>
      <c r="H75" s="43" t="s">
        <v>7</v>
      </c>
      <c r="I75" s="43" t="s">
        <v>7</v>
      </c>
      <c r="J75" s="127"/>
      <c r="K75" s="127"/>
      <c r="L75" s="127"/>
      <c r="M75" s="127"/>
      <c r="N75" s="127"/>
      <c r="O75" s="41"/>
      <c r="P75" s="41"/>
      <c r="Q75" s="41"/>
      <c r="R75" s="44">
        <v>0</v>
      </c>
      <c r="S75" s="45">
        <f t="shared" si="9"/>
        <v>0</v>
      </c>
      <c r="T75" s="45">
        <f>Table3[[#This Row],[Verzekerde Waarde]]-Table3[[#This Row],[Mutaties]]</f>
        <v>0</v>
      </c>
      <c r="U75" s="45">
        <f t="shared" si="10"/>
        <v>0</v>
      </c>
      <c r="V75" s="41"/>
      <c r="W75" s="45">
        <f>X75+SUMIF(Table4[Subnummer],Table3[[#This Row],[Sub]],Table4[Som mutaties])</f>
        <v>0</v>
      </c>
      <c r="X75" s="46">
        <v>0</v>
      </c>
      <c r="Y75" s="41"/>
    </row>
    <row r="76" spans="1:25" ht="14.4" hidden="1" x14ac:dyDescent="0.3">
      <c r="A76" s="86"/>
      <c r="B76" s="42">
        <f>_xlfn.XLOOKUP(Table3[[#This Row],[Verzekerde]],Relatie,fin_sub)</f>
        <v>0</v>
      </c>
      <c r="C76" s="87">
        <v>70</v>
      </c>
      <c r="D76" s="41" t="s">
        <v>7</v>
      </c>
      <c r="E76" s="41"/>
      <c r="F76" s="43"/>
      <c r="G76" s="43"/>
      <c r="H76" s="43" t="s">
        <v>7</v>
      </c>
      <c r="I76" s="43" t="s">
        <v>7</v>
      </c>
      <c r="J76" s="127"/>
      <c r="K76" s="127"/>
      <c r="L76" s="127"/>
      <c r="M76" s="127"/>
      <c r="N76" s="127"/>
      <c r="O76" s="41"/>
      <c r="P76" s="41"/>
      <c r="Q76" s="41"/>
      <c r="R76" s="44">
        <v>0</v>
      </c>
      <c r="S76" s="45">
        <f t="shared" si="9"/>
        <v>0</v>
      </c>
      <c r="T76" s="45">
        <f>Table3[[#This Row],[Verzekerde Waarde]]-Table3[[#This Row],[Mutaties]]</f>
        <v>0</v>
      </c>
      <c r="U76" s="45">
        <f t="shared" si="10"/>
        <v>0</v>
      </c>
      <c r="V76" s="41"/>
      <c r="W76" s="45">
        <f>X76+SUMIF(Table4[Subnummer],Table3[[#This Row],[Sub]],Table4[Som mutaties])</f>
        <v>0</v>
      </c>
      <c r="X76" s="46">
        <v>0</v>
      </c>
      <c r="Y76" s="41"/>
    </row>
    <row r="77" spans="1:25" ht="14.4" hidden="1" x14ac:dyDescent="0.3">
      <c r="A77" s="86"/>
      <c r="B77" s="42">
        <f>_xlfn.XLOOKUP(Table3[[#This Row],[Verzekerde]],Relatie,fin_sub)</f>
        <v>0</v>
      </c>
      <c r="C77" s="87">
        <v>71</v>
      </c>
      <c r="D77" s="41" t="s">
        <v>7</v>
      </c>
      <c r="E77" s="41"/>
      <c r="F77" s="43"/>
      <c r="G77" s="43"/>
      <c r="H77" s="43" t="s">
        <v>7</v>
      </c>
      <c r="I77" s="43" t="s">
        <v>7</v>
      </c>
      <c r="J77" s="127"/>
      <c r="K77" s="127"/>
      <c r="L77" s="127"/>
      <c r="M77" s="127"/>
      <c r="N77" s="127"/>
      <c r="O77" s="41"/>
      <c r="P77" s="41"/>
      <c r="Q77" s="41"/>
      <c r="R77" s="44">
        <v>0</v>
      </c>
      <c r="S77" s="45">
        <f t="shared" si="9"/>
        <v>0</v>
      </c>
      <c r="T77" s="45">
        <f>Table3[[#This Row],[Verzekerde Waarde]]-Table3[[#This Row],[Mutaties]]</f>
        <v>0</v>
      </c>
      <c r="U77" s="45">
        <f t="shared" si="10"/>
        <v>0</v>
      </c>
      <c r="V77" s="41"/>
      <c r="W77" s="45">
        <f>X77+SUMIF(Table4[Subnummer],Table3[[#This Row],[Sub]],Table4[Som mutaties])</f>
        <v>0</v>
      </c>
      <c r="X77" s="46">
        <v>0</v>
      </c>
      <c r="Y77" s="41"/>
    </row>
    <row r="78" spans="1:25" ht="14.4" hidden="1" x14ac:dyDescent="0.3">
      <c r="A78" s="86"/>
      <c r="B78" s="42">
        <f>_xlfn.XLOOKUP(Table3[[#This Row],[Verzekerde]],Relatie,fin_sub)</f>
        <v>0</v>
      </c>
      <c r="C78" s="87">
        <v>72</v>
      </c>
      <c r="D78" s="41" t="s">
        <v>7</v>
      </c>
      <c r="E78" s="41"/>
      <c r="F78" s="43"/>
      <c r="G78" s="43"/>
      <c r="H78" s="43" t="s">
        <v>7</v>
      </c>
      <c r="I78" s="43" t="s">
        <v>7</v>
      </c>
      <c r="J78" s="127"/>
      <c r="K78" s="127"/>
      <c r="L78" s="127"/>
      <c r="M78" s="127"/>
      <c r="N78" s="127"/>
      <c r="O78" s="41"/>
      <c r="P78" s="41"/>
      <c r="Q78" s="41"/>
      <c r="R78" s="44">
        <v>0</v>
      </c>
      <c r="S78" s="45">
        <f t="shared" si="9"/>
        <v>0</v>
      </c>
      <c r="T78" s="45">
        <f>Table3[[#This Row],[Verzekerde Waarde]]-Table3[[#This Row],[Mutaties]]</f>
        <v>0</v>
      </c>
      <c r="U78" s="45">
        <f t="shared" si="10"/>
        <v>0</v>
      </c>
      <c r="V78" s="41"/>
      <c r="W78" s="45">
        <f>X78+SUMIF(Table4[Subnummer],Table3[[#This Row],[Sub]],Table4[Som mutaties])</f>
        <v>0</v>
      </c>
      <c r="X78" s="46">
        <v>0</v>
      </c>
      <c r="Y78" s="41"/>
    </row>
    <row r="79" spans="1:25" ht="14.4" hidden="1" x14ac:dyDescent="0.3">
      <c r="A79" s="86"/>
      <c r="B79" s="42">
        <f>_xlfn.XLOOKUP(Table3[[#This Row],[Verzekerde]],Relatie,fin_sub)</f>
        <v>0</v>
      </c>
      <c r="C79" s="87">
        <v>73</v>
      </c>
      <c r="D79" s="41" t="s">
        <v>7</v>
      </c>
      <c r="E79" s="41"/>
      <c r="F79" s="43"/>
      <c r="G79" s="43"/>
      <c r="H79" s="43" t="s">
        <v>7</v>
      </c>
      <c r="I79" s="43" t="s">
        <v>7</v>
      </c>
      <c r="J79" s="127"/>
      <c r="K79" s="127"/>
      <c r="L79" s="127"/>
      <c r="M79" s="127"/>
      <c r="N79" s="127"/>
      <c r="O79" s="41"/>
      <c r="P79" s="41"/>
      <c r="Q79" s="41"/>
      <c r="R79" s="44">
        <v>0</v>
      </c>
      <c r="S79" s="45">
        <f t="shared" si="9"/>
        <v>0</v>
      </c>
      <c r="T79" s="45">
        <f>Table3[[#This Row],[Verzekerde Waarde]]-Table3[[#This Row],[Mutaties]]</f>
        <v>0</v>
      </c>
      <c r="U79" s="45">
        <f t="shared" si="10"/>
        <v>0</v>
      </c>
      <c r="V79" s="41"/>
      <c r="W79" s="45">
        <f>X79+SUMIF(Table4[Subnummer],Table3[[#This Row],[Sub]],Table4[Som mutaties])</f>
        <v>0</v>
      </c>
      <c r="X79" s="46">
        <v>0</v>
      </c>
      <c r="Y79" s="41"/>
    </row>
    <row r="80" spans="1:25" ht="14.4" hidden="1" x14ac:dyDescent="0.3">
      <c r="A80" s="86"/>
      <c r="B80" s="42">
        <f>_xlfn.XLOOKUP(Table3[[#This Row],[Verzekerde]],Relatie,fin_sub)</f>
        <v>0</v>
      </c>
      <c r="C80" s="87">
        <v>74</v>
      </c>
      <c r="D80" s="41" t="s">
        <v>7</v>
      </c>
      <c r="E80" s="41"/>
      <c r="F80" s="43"/>
      <c r="G80" s="43"/>
      <c r="H80" s="43" t="s">
        <v>7</v>
      </c>
      <c r="I80" s="43" t="s">
        <v>7</v>
      </c>
      <c r="J80" s="127"/>
      <c r="K80" s="127"/>
      <c r="L80" s="127"/>
      <c r="M80" s="127"/>
      <c r="N80" s="127"/>
      <c r="O80" s="41"/>
      <c r="P80" s="41"/>
      <c r="Q80" s="41"/>
      <c r="R80" s="44">
        <v>0</v>
      </c>
      <c r="S80" s="45">
        <f t="shared" si="9"/>
        <v>0</v>
      </c>
      <c r="T80" s="45">
        <f>Table3[[#This Row],[Verzekerde Waarde]]-Table3[[#This Row],[Mutaties]]</f>
        <v>0</v>
      </c>
      <c r="U80" s="45">
        <f t="shared" si="10"/>
        <v>0</v>
      </c>
      <c r="V80" s="41"/>
      <c r="W80" s="45">
        <f>X80+SUMIF(Table4[Subnummer],Table3[[#This Row],[Sub]],Table4[Som mutaties])</f>
        <v>0</v>
      </c>
      <c r="X80" s="46">
        <v>0</v>
      </c>
      <c r="Y80" s="41"/>
    </row>
    <row r="81" spans="1:25" ht="14.4" hidden="1" x14ac:dyDescent="0.3">
      <c r="A81" s="86"/>
      <c r="B81" s="42">
        <f>_xlfn.XLOOKUP(Table3[[#This Row],[Verzekerde]],Relatie,fin_sub)</f>
        <v>0</v>
      </c>
      <c r="C81" s="87">
        <v>75</v>
      </c>
      <c r="D81" s="41" t="s">
        <v>7</v>
      </c>
      <c r="E81" s="41"/>
      <c r="F81" s="43"/>
      <c r="G81" s="43"/>
      <c r="H81" s="43" t="s">
        <v>7</v>
      </c>
      <c r="I81" s="43" t="s">
        <v>7</v>
      </c>
      <c r="J81" s="127"/>
      <c r="K81" s="127"/>
      <c r="L81" s="127"/>
      <c r="M81" s="127"/>
      <c r="N81" s="127"/>
      <c r="O81" s="41"/>
      <c r="P81" s="41"/>
      <c r="Q81" s="41"/>
      <c r="R81" s="44">
        <v>0</v>
      </c>
      <c r="S81" s="45">
        <f t="shared" si="9"/>
        <v>0</v>
      </c>
      <c r="T81" s="45">
        <f>Table3[[#This Row],[Verzekerde Waarde]]-Table3[[#This Row],[Mutaties]]</f>
        <v>0</v>
      </c>
      <c r="U81" s="45">
        <f t="shared" si="10"/>
        <v>0</v>
      </c>
      <c r="V81" s="41"/>
      <c r="W81" s="45">
        <f>X81+SUMIF(Table4[Subnummer],Table3[[#This Row],[Sub]],Table4[Som mutaties])</f>
        <v>0</v>
      </c>
      <c r="X81" s="46">
        <v>0</v>
      </c>
      <c r="Y81" s="41"/>
    </row>
    <row r="82" spans="1:25" ht="14.4" hidden="1" x14ac:dyDescent="0.3">
      <c r="A82" s="86"/>
      <c r="B82" s="42">
        <f>_xlfn.XLOOKUP(Table3[[#This Row],[Verzekerde]],Relatie,fin_sub)</f>
        <v>0</v>
      </c>
      <c r="C82" s="87">
        <v>76</v>
      </c>
      <c r="D82" s="41" t="s">
        <v>7</v>
      </c>
      <c r="E82" s="41"/>
      <c r="F82" s="43"/>
      <c r="G82" s="43"/>
      <c r="H82" s="43" t="s">
        <v>7</v>
      </c>
      <c r="I82" s="43" t="s">
        <v>7</v>
      </c>
      <c r="J82" s="127"/>
      <c r="K82" s="127"/>
      <c r="L82" s="127"/>
      <c r="M82" s="127"/>
      <c r="N82" s="127"/>
      <c r="O82" s="41"/>
      <c r="P82" s="41"/>
      <c r="Q82" s="41"/>
      <c r="R82" s="44">
        <v>0</v>
      </c>
      <c r="S82" s="45">
        <f t="shared" si="9"/>
        <v>0</v>
      </c>
      <c r="T82" s="45">
        <f>Table3[[#This Row],[Verzekerde Waarde]]-Table3[[#This Row],[Mutaties]]</f>
        <v>0</v>
      </c>
      <c r="U82" s="45">
        <f t="shared" si="10"/>
        <v>0</v>
      </c>
      <c r="V82" s="41"/>
      <c r="W82" s="45">
        <f>X82+SUMIF(Table4[Subnummer],Table3[[#This Row],[Sub]],Table4[Som mutaties])</f>
        <v>0</v>
      </c>
      <c r="X82" s="46">
        <v>0</v>
      </c>
      <c r="Y82" s="41"/>
    </row>
    <row r="83" spans="1:25" ht="14.4" hidden="1" x14ac:dyDescent="0.3">
      <c r="A83" s="86"/>
      <c r="B83" s="42">
        <f>_xlfn.XLOOKUP(Table3[[#This Row],[Verzekerde]],Relatie,fin_sub)</f>
        <v>0</v>
      </c>
      <c r="C83" s="87">
        <v>77</v>
      </c>
      <c r="D83" s="41" t="s">
        <v>7</v>
      </c>
      <c r="E83" s="41"/>
      <c r="F83" s="43"/>
      <c r="G83" s="43"/>
      <c r="H83" s="43" t="s">
        <v>7</v>
      </c>
      <c r="I83" s="43" t="s">
        <v>7</v>
      </c>
      <c r="J83" s="127"/>
      <c r="K83" s="127"/>
      <c r="L83" s="127"/>
      <c r="M83" s="127"/>
      <c r="N83" s="127"/>
      <c r="O83" s="41"/>
      <c r="P83" s="41"/>
      <c r="Q83" s="41"/>
      <c r="R83" s="44">
        <v>0</v>
      </c>
      <c r="S83" s="45">
        <f t="shared" si="9"/>
        <v>0</v>
      </c>
      <c r="T83" s="45">
        <f>Table3[[#This Row],[Verzekerde Waarde]]-Table3[[#This Row],[Mutaties]]</f>
        <v>0</v>
      </c>
      <c r="U83" s="45">
        <f t="shared" si="10"/>
        <v>0</v>
      </c>
      <c r="V83" s="41"/>
      <c r="W83" s="45">
        <f>X83+SUMIF(Table4[Subnummer],Table3[[#This Row],[Sub]],Table4[Som mutaties])</f>
        <v>0</v>
      </c>
      <c r="X83" s="46">
        <v>0</v>
      </c>
      <c r="Y83" s="41"/>
    </row>
    <row r="84" spans="1:25" ht="14.4" hidden="1" x14ac:dyDescent="0.3">
      <c r="A84" s="86"/>
      <c r="B84" s="42">
        <f>_xlfn.XLOOKUP(Table3[[#This Row],[Verzekerde]],Relatie,fin_sub)</f>
        <v>0</v>
      </c>
      <c r="C84" s="87">
        <v>78</v>
      </c>
      <c r="D84" s="41" t="s">
        <v>7</v>
      </c>
      <c r="E84" s="41"/>
      <c r="F84" s="43"/>
      <c r="G84" s="43"/>
      <c r="H84" s="43" t="s">
        <v>7</v>
      </c>
      <c r="I84" s="43" t="s">
        <v>7</v>
      </c>
      <c r="J84" s="127"/>
      <c r="K84" s="127"/>
      <c r="L84" s="127"/>
      <c r="M84" s="127"/>
      <c r="N84" s="127"/>
      <c r="O84" s="41"/>
      <c r="P84" s="41"/>
      <c r="Q84" s="41"/>
      <c r="R84" s="44">
        <v>0</v>
      </c>
      <c r="S84" s="45">
        <f t="shared" si="9"/>
        <v>0</v>
      </c>
      <c r="T84" s="45">
        <f>Table3[[#This Row],[Verzekerde Waarde]]-Table3[[#This Row],[Mutaties]]</f>
        <v>0</v>
      </c>
      <c r="U84" s="45">
        <f t="shared" si="10"/>
        <v>0</v>
      </c>
      <c r="V84" s="41"/>
      <c r="W84" s="45">
        <f>X84+SUMIF(Table4[Subnummer],Table3[[#This Row],[Sub]],Table4[Som mutaties])</f>
        <v>0</v>
      </c>
      <c r="X84" s="46">
        <v>0</v>
      </c>
      <c r="Y84" s="41"/>
    </row>
    <row r="85" spans="1:25" ht="14.4" hidden="1" x14ac:dyDescent="0.3">
      <c r="A85" s="86"/>
      <c r="B85" s="42">
        <f>_xlfn.XLOOKUP(Table3[[#This Row],[Verzekerde]],Relatie,fin_sub)</f>
        <v>0</v>
      </c>
      <c r="C85" s="87">
        <v>79</v>
      </c>
      <c r="D85" s="41" t="s">
        <v>7</v>
      </c>
      <c r="E85" s="41"/>
      <c r="F85" s="43"/>
      <c r="G85" s="43"/>
      <c r="H85" s="43" t="s">
        <v>7</v>
      </c>
      <c r="I85" s="43" t="s">
        <v>7</v>
      </c>
      <c r="J85" s="127"/>
      <c r="K85" s="127"/>
      <c r="L85" s="127"/>
      <c r="M85" s="127"/>
      <c r="N85" s="127"/>
      <c r="O85" s="41"/>
      <c r="P85" s="41"/>
      <c r="Q85" s="41"/>
      <c r="R85" s="44">
        <v>0</v>
      </c>
      <c r="S85" s="45">
        <f t="shared" si="9"/>
        <v>0</v>
      </c>
      <c r="T85" s="45">
        <f>Table3[[#This Row],[Verzekerde Waarde]]-Table3[[#This Row],[Mutaties]]</f>
        <v>0</v>
      </c>
      <c r="U85" s="45">
        <f t="shared" si="10"/>
        <v>0</v>
      </c>
      <c r="V85" s="41"/>
      <c r="W85" s="45">
        <f>X85+SUMIF(Table4[Subnummer],Table3[[#This Row],[Sub]],Table4[Som mutaties])</f>
        <v>0</v>
      </c>
      <c r="X85" s="46">
        <v>0</v>
      </c>
      <c r="Y85" s="41"/>
    </row>
    <row r="86" spans="1:25" ht="14.4" hidden="1" x14ac:dyDescent="0.3">
      <c r="A86" s="86"/>
      <c r="B86" s="42">
        <f>_xlfn.XLOOKUP(Table3[[#This Row],[Verzekerde]],Relatie,fin_sub)</f>
        <v>0</v>
      </c>
      <c r="C86" s="87">
        <v>80</v>
      </c>
      <c r="D86" s="41" t="s">
        <v>7</v>
      </c>
      <c r="E86" s="41"/>
      <c r="F86" s="43"/>
      <c r="G86" s="43"/>
      <c r="H86" s="43" t="s">
        <v>7</v>
      </c>
      <c r="I86" s="43" t="s">
        <v>7</v>
      </c>
      <c r="J86" s="127"/>
      <c r="K86" s="127"/>
      <c r="L86" s="127"/>
      <c r="M86" s="127"/>
      <c r="N86" s="127"/>
      <c r="O86" s="41"/>
      <c r="P86" s="41"/>
      <c r="Q86" s="41"/>
      <c r="R86" s="44">
        <v>0</v>
      </c>
      <c r="S86" s="45">
        <f t="shared" si="9"/>
        <v>0</v>
      </c>
      <c r="T86" s="45">
        <f>Table3[[#This Row],[Verzekerde Waarde]]-Table3[[#This Row],[Mutaties]]</f>
        <v>0</v>
      </c>
      <c r="U86" s="45">
        <f t="shared" si="10"/>
        <v>0</v>
      </c>
      <c r="V86" s="41"/>
      <c r="W86" s="45">
        <f>X86+SUMIF(Table4[Subnummer],Table3[[#This Row],[Sub]],Table4[Som mutaties])</f>
        <v>0</v>
      </c>
      <c r="X86" s="46">
        <v>0</v>
      </c>
      <c r="Y86" s="41"/>
    </row>
    <row r="87" spans="1:25" ht="14.4" hidden="1" x14ac:dyDescent="0.3">
      <c r="A87" s="86"/>
      <c r="B87" s="42">
        <f>_xlfn.XLOOKUP(Table3[[#This Row],[Verzekerde]],Relatie,fin_sub)</f>
        <v>0</v>
      </c>
      <c r="C87" s="87">
        <v>81</v>
      </c>
      <c r="D87" s="41" t="s">
        <v>7</v>
      </c>
      <c r="E87" s="41"/>
      <c r="F87" s="43"/>
      <c r="G87" s="43"/>
      <c r="H87" s="43" t="s">
        <v>7</v>
      </c>
      <c r="I87" s="43" t="s">
        <v>7</v>
      </c>
      <c r="J87" s="127"/>
      <c r="K87" s="127"/>
      <c r="L87" s="127"/>
      <c r="M87" s="127"/>
      <c r="N87" s="127"/>
      <c r="O87" s="41"/>
      <c r="P87" s="41"/>
      <c r="Q87" s="41"/>
      <c r="R87" s="44">
        <v>0</v>
      </c>
      <c r="S87" s="45">
        <f t="shared" si="9"/>
        <v>0</v>
      </c>
      <c r="T87" s="45">
        <f>Table3[[#This Row],[Verzekerde Waarde]]-Table3[[#This Row],[Mutaties]]</f>
        <v>0</v>
      </c>
      <c r="U87" s="45">
        <f t="shared" si="10"/>
        <v>0</v>
      </c>
      <c r="V87" s="41"/>
      <c r="W87" s="45">
        <f>X87+SUMIF(Table4[Subnummer],Table3[[#This Row],[Sub]],Table4[Som mutaties])</f>
        <v>0</v>
      </c>
      <c r="X87" s="46">
        <v>0</v>
      </c>
      <c r="Y87" s="41"/>
    </row>
    <row r="88" spans="1:25" ht="14.4" hidden="1" x14ac:dyDescent="0.3">
      <c r="A88" s="86"/>
      <c r="B88" s="42">
        <f>_xlfn.XLOOKUP(Table3[[#This Row],[Verzekerde]],Relatie,fin_sub)</f>
        <v>0</v>
      </c>
      <c r="C88" s="87">
        <v>82</v>
      </c>
      <c r="D88" s="41" t="s">
        <v>7</v>
      </c>
      <c r="E88" s="41"/>
      <c r="F88" s="43"/>
      <c r="G88" s="43"/>
      <c r="H88" s="43" t="s">
        <v>7</v>
      </c>
      <c r="I88" s="43" t="s">
        <v>7</v>
      </c>
      <c r="J88" s="127"/>
      <c r="K88" s="127"/>
      <c r="L88" s="127"/>
      <c r="M88" s="127"/>
      <c r="N88" s="127"/>
      <c r="O88" s="41"/>
      <c r="P88" s="41"/>
      <c r="Q88" s="41"/>
      <c r="R88" s="44">
        <v>0</v>
      </c>
      <c r="S88" s="45">
        <f t="shared" si="9"/>
        <v>0</v>
      </c>
      <c r="T88" s="45">
        <f>Table3[[#This Row],[Verzekerde Waarde]]-Table3[[#This Row],[Mutaties]]</f>
        <v>0</v>
      </c>
      <c r="U88" s="45">
        <f t="shared" si="10"/>
        <v>0</v>
      </c>
      <c r="V88" s="41"/>
      <c r="W88" s="45">
        <f>X88+SUMIF(Table4[Subnummer],Table3[[#This Row],[Sub]],Table4[Som mutaties])</f>
        <v>0</v>
      </c>
      <c r="X88" s="46">
        <v>0</v>
      </c>
      <c r="Y88" s="41"/>
    </row>
    <row r="89" spans="1:25" ht="14.4" hidden="1" x14ac:dyDescent="0.3">
      <c r="A89" s="86"/>
      <c r="B89" s="42">
        <f>_xlfn.XLOOKUP(Table3[[#This Row],[Verzekerde]],Relatie,fin_sub)</f>
        <v>0</v>
      </c>
      <c r="C89" s="87">
        <v>83</v>
      </c>
      <c r="D89" s="41" t="s">
        <v>7</v>
      </c>
      <c r="E89" s="41"/>
      <c r="F89" s="43"/>
      <c r="G89" s="43"/>
      <c r="H89" s="43" t="s">
        <v>7</v>
      </c>
      <c r="I89" s="43" t="s">
        <v>7</v>
      </c>
      <c r="J89" s="127"/>
      <c r="K89" s="127"/>
      <c r="L89" s="127"/>
      <c r="M89" s="127"/>
      <c r="N89" s="127"/>
      <c r="O89" s="41"/>
      <c r="P89" s="41"/>
      <c r="Q89" s="41"/>
      <c r="R89" s="44">
        <v>0</v>
      </c>
      <c r="S89" s="45">
        <f t="shared" si="9"/>
        <v>0</v>
      </c>
      <c r="T89" s="45">
        <f>Table3[[#This Row],[Verzekerde Waarde]]-Table3[[#This Row],[Mutaties]]</f>
        <v>0</v>
      </c>
      <c r="U89" s="45">
        <f t="shared" si="10"/>
        <v>0</v>
      </c>
      <c r="V89" s="41"/>
      <c r="W89" s="45">
        <f>X89+SUMIF(Table4[Subnummer],Table3[[#This Row],[Sub]],Table4[Som mutaties])</f>
        <v>0</v>
      </c>
      <c r="X89" s="46">
        <v>0</v>
      </c>
      <c r="Y89" s="41"/>
    </row>
    <row r="90" spans="1:25" ht="14.4" hidden="1" x14ac:dyDescent="0.3">
      <c r="A90" s="86"/>
      <c r="B90" s="42">
        <f>_xlfn.XLOOKUP(Table3[[#This Row],[Verzekerde]],Relatie,fin_sub)</f>
        <v>0</v>
      </c>
      <c r="C90" s="87">
        <v>84</v>
      </c>
      <c r="D90" s="41" t="s">
        <v>7</v>
      </c>
      <c r="E90" s="41"/>
      <c r="F90" s="43"/>
      <c r="G90" s="43"/>
      <c r="H90" s="43" t="s">
        <v>7</v>
      </c>
      <c r="I90" s="43" t="s">
        <v>7</v>
      </c>
      <c r="J90" s="127"/>
      <c r="K90" s="127"/>
      <c r="L90" s="127"/>
      <c r="M90" s="127"/>
      <c r="N90" s="127"/>
      <c r="O90" s="41"/>
      <c r="P90" s="41"/>
      <c r="Q90" s="41"/>
      <c r="R90" s="44">
        <v>0</v>
      </c>
      <c r="S90" s="45">
        <f t="shared" si="9"/>
        <v>0</v>
      </c>
      <c r="T90" s="45">
        <f>Table3[[#This Row],[Verzekerde Waarde]]-Table3[[#This Row],[Mutaties]]</f>
        <v>0</v>
      </c>
      <c r="U90" s="45">
        <f t="shared" si="10"/>
        <v>0</v>
      </c>
      <c r="V90" s="41"/>
      <c r="W90" s="45">
        <f>X90+SUMIF(Table4[Subnummer],Table3[[#This Row],[Sub]],Table4[Som mutaties])</f>
        <v>0</v>
      </c>
      <c r="X90" s="46">
        <v>0</v>
      </c>
      <c r="Y90" s="41"/>
    </row>
    <row r="91" spans="1:25" ht="14.4" hidden="1" x14ac:dyDescent="0.3">
      <c r="A91" s="86"/>
      <c r="B91" s="42">
        <f>_xlfn.XLOOKUP(Table3[[#This Row],[Verzekerde]],Relatie,fin_sub)</f>
        <v>0</v>
      </c>
      <c r="C91" s="87">
        <v>85</v>
      </c>
      <c r="D91" s="41" t="s">
        <v>7</v>
      </c>
      <c r="E91" s="41"/>
      <c r="F91" s="43"/>
      <c r="G91" s="43"/>
      <c r="H91" s="43" t="s">
        <v>7</v>
      </c>
      <c r="I91" s="43" t="s">
        <v>7</v>
      </c>
      <c r="J91" s="127"/>
      <c r="K91" s="127"/>
      <c r="L91" s="127"/>
      <c r="M91" s="127"/>
      <c r="N91" s="127"/>
      <c r="O91" s="41"/>
      <c r="P91" s="41"/>
      <c r="Q91" s="41"/>
      <c r="R91" s="44">
        <v>0</v>
      </c>
      <c r="S91" s="45">
        <f t="shared" ref="S91:S154" si="11">IF(R91=0,U91,(U91+R91)/2)</f>
        <v>0</v>
      </c>
      <c r="T91" s="45">
        <f>Table3[[#This Row],[Verzekerde Waarde]]-Table3[[#This Row],[Mutaties]]</f>
        <v>0</v>
      </c>
      <c r="U91" s="45">
        <f t="shared" si="10"/>
        <v>0</v>
      </c>
      <c r="V91" s="41"/>
      <c r="W91" s="45">
        <f>X91+SUMIF(Table4[Subnummer],Table3[[#This Row],[Sub]],Table4[Som mutaties])</f>
        <v>0</v>
      </c>
      <c r="X91" s="46"/>
      <c r="Y91" s="41"/>
    </row>
    <row r="92" spans="1:25" ht="14.4" hidden="1" x14ac:dyDescent="0.3">
      <c r="A92" s="86"/>
      <c r="B92" s="42">
        <f>_xlfn.XLOOKUP(Table3[[#This Row],[Verzekerde]],Relatie,fin_sub)</f>
        <v>0</v>
      </c>
      <c r="C92" s="87">
        <v>86</v>
      </c>
      <c r="D92" s="41" t="s">
        <v>7</v>
      </c>
      <c r="E92" s="41"/>
      <c r="F92" s="43"/>
      <c r="G92" s="43"/>
      <c r="H92" s="43" t="s">
        <v>7</v>
      </c>
      <c r="I92" s="43" t="s">
        <v>7</v>
      </c>
      <c r="J92" s="127"/>
      <c r="K92" s="127"/>
      <c r="L92" s="127"/>
      <c r="M92" s="127"/>
      <c r="N92" s="127"/>
      <c r="O92" s="41"/>
      <c r="P92" s="41"/>
      <c r="Q92" s="41"/>
      <c r="R92" s="44">
        <v>0</v>
      </c>
      <c r="S92" s="45">
        <f t="shared" si="11"/>
        <v>0</v>
      </c>
      <c r="T92" s="45">
        <f>Table3[[#This Row],[Verzekerde Waarde]]-Table3[[#This Row],[Mutaties]]</f>
        <v>0</v>
      </c>
      <c r="U92" s="45">
        <f t="shared" si="10"/>
        <v>0</v>
      </c>
      <c r="V92" s="41"/>
      <c r="W92" s="45">
        <f>X92+SUMIF(Table4[Subnummer],Table3[[#This Row],[Sub]],Table4[Som mutaties])</f>
        <v>0</v>
      </c>
      <c r="X92" s="46"/>
      <c r="Y92" s="41"/>
    </row>
    <row r="93" spans="1:25" ht="14.4" hidden="1" x14ac:dyDescent="0.3">
      <c r="A93" s="86"/>
      <c r="B93" s="42">
        <f>_xlfn.XLOOKUP(Table3[[#This Row],[Verzekerde]],Relatie,fin_sub)</f>
        <v>0</v>
      </c>
      <c r="C93" s="87">
        <v>87</v>
      </c>
      <c r="D93" s="41" t="s">
        <v>7</v>
      </c>
      <c r="E93" s="41"/>
      <c r="F93" s="43"/>
      <c r="G93" s="43"/>
      <c r="H93" s="43" t="s">
        <v>7</v>
      </c>
      <c r="I93" s="43" t="s">
        <v>7</v>
      </c>
      <c r="J93" s="127"/>
      <c r="K93" s="127"/>
      <c r="L93" s="127"/>
      <c r="M93" s="127"/>
      <c r="N93" s="127"/>
      <c r="O93" s="41"/>
      <c r="P93" s="41"/>
      <c r="Q93" s="41"/>
      <c r="R93" s="44">
        <v>0</v>
      </c>
      <c r="S93" s="45">
        <f t="shared" si="11"/>
        <v>0</v>
      </c>
      <c r="T93" s="45">
        <f>Table3[[#This Row],[Verzekerde Waarde]]-Table3[[#This Row],[Mutaties]]</f>
        <v>0</v>
      </c>
      <c r="U93" s="45">
        <f t="shared" si="10"/>
        <v>0</v>
      </c>
      <c r="V93" s="41"/>
      <c r="W93" s="45">
        <f>X93+SUMIF(Table4[Subnummer],Table3[[#This Row],[Sub]],Table4[Som mutaties])</f>
        <v>0</v>
      </c>
      <c r="X93" s="46"/>
      <c r="Y93" s="41"/>
    </row>
    <row r="94" spans="1:25" ht="14.4" hidden="1" x14ac:dyDescent="0.3">
      <c r="A94" s="86"/>
      <c r="B94" s="42">
        <f>_xlfn.XLOOKUP(Table3[[#This Row],[Verzekerde]],Relatie,fin_sub)</f>
        <v>0</v>
      </c>
      <c r="C94" s="87">
        <v>88</v>
      </c>
      <c r="D94" s="41" t="s">
        <v>7</v>
      </c>
      <c r="E94" s="41"/>
      <c r="F94" s="43"/>
      <c r="G94" s="43"/>
      <c r="H94" s="43" t="s">
        <v>7</v>
      </c>
      <c r="I94" s="43" t="s">
        <v>7</v>
      </c>
      <c r="J94" s="127"/>
      <c r="K94" s="127"/>
      <c r="L94" s="127"/>
      <c r="M94" s="127"/>
      <c r="N94" s="127"/>
      <c r="O94" s="41"/>
      <c r="P94" s="41"/>
      <c r="Q94" s="41"/>
      <c r="R94" s="44">
        <v>0</v>
      </c>
      <c r="S94" s="45">
        <f t="shared" si="11"/>
        <v>0</v>
      </c>
      <c r="T94" s="45">
        <f>Table3[[#This Row],[Verzekerde Waarde]]-Table3[[#This Row],[Mutaties]]</f>
        <v>0</v>
      </c>
      <c r="U94" s="45">
        <f t="shared" si="10"/>
        <v>0</v>
      </c>
      <c r="V94" s="41"/>
      <c r="W94" s="45">
        <f>X94+SUMIF(Table4[Subnummer],Table3[[#This Row],[Sub]],Table4[Som mutaties])</f>
        <v>0</v>
      </c>
      <c r="X94" s="46"/>
      <c r="Y94" s="41"/>
    </row>
    <row r="95" spans="1:25" ht="14.4" hidden="1" x14ac:dyDescent="0.3">
      <c r="A95" s="86"/>
      <c r="B95" s="42">
        <f>_xlfn.XLOOKUP(Table3[[#This Row],[Verzekerde]],Relatie,fin_sub)</f>
        <v>0</v>
      </c>
      <c r="C95" s="87">
        <v>89</v>
      </c>
      <c r="D95" s="41" t="s">
        <v>7</v>
      </c>
      <c r="E95" s="41"/>
      <c r="F95" s="43"/>
      <c r="G95" s="43"/>
      <c r="H95" s="43" t="s">
        <v>7</v>
      </c>
      <c r="I95" s="43" t="s">
        <v>7</v>
      </c>
      <c r="J95" s="127"/>
      <c r="K95" s="127"/>
      <c r="L95" s="127"/>
      <c r="M95" s="127"/>
      <c r="N95" s="127"/>
      <c r="O95" s="41"/>
      <c r="P95" s="41"/>
      <c r="Q95" s="41"/>
      <c r="R95" s="44">
        <v>0</v>
      </c>
      <c r="S95" s="45">
        <f t="shared" si="11"/>
        <v>0</v>
      </c>
      <c r="T95" s="45">
        <f>Table3[[#This Row],[Verzekerde Waarde]]-Table3[[#This Row],[Mutaties]]</f>
        <v>0</v>
      </c>
      <c r="U95" s="45">
        <f t="shared" si="10"/>
        <v>0</v>
      </c>
      <c r="V95" s="41"/>
      <c r="W95" s="45">
        <f>X95+SUMIF(Table4[Subnummer],Table3[[#This Row],[Sub]],Table4[Som mutaties])</f>
        <v>0</v>
      </c>
      <c r="X95" s="46"/>
      <c r="Y95" s="41"/>
    </row>
    <row r="96" spans="1:25" ht="14.4" hidden="1" x14ac:dyDescent="0.3">
      <c r="A96" s="86"/>
      <c r="B96" s="42">
        <f>_xlfn.XLOOKUP(Table3[[#This Row],[Verzekerde]],Relatie,fin_sub)</f>
        <v>0</v>
      </c>
      <c r="C96" s="87">
        <v>90</v>
      </c>
      <c r="D96" s="41" t="s">
        <v>7</v>
      </c>
      <c r="E96" s="41"/>
      <c r="F96" s="43"/>
      <c r="G96" s="43"/>
      <c r="H96" s="43" t="s">
        <v>7</v>
      </c>
      <c r="I96" s="43" t="s">
        <v>7</v>
      </c>
      <c r="J96" s="127"/>
      <c r="K96" s="127"/>
      <c r="L96" s="127"/>
      <c r="M96" s="127"/>
      <c r="N96" s="127"/>
      <c r="O96" s="41"/>
      <c r="P96" s="41"/>
      <c r="Q96" s="41"/>
      <c r="R96" s="44">
        <v>0</v>
      </c>
      <c r="S96" s="45">
        <f t="shared" si="11"/>
        <v>0</v>
      </c>
      <c r="T96" s="45">
        <f>Table3[[#This Row],[Verzekerde Waarde]]-Table3[[#This Row],[Mutaties]]</f>
        <v>0</v>
      </c>
      <c r="U96" s="45">
        <f t="shared" si="10"/>
        <v>0</v>
      </c>
      <c r="V96" s="41"/>
      <c r="W96" s="45">
        <f>X96+SUMIF(Table4[Subnummer],Table3[[#This Row],[Sub]],Table4[Som mutaties])</f>
        <v>0</v>
      </c>
      <c r="X96" s="46"/>
      <c r="Y96" s="41"/>
    </row>
    <row r="97" spans="1:25" ht="14.4" hidden="1" x14ac:dyDescent="0.3">
      <c r="A97" s="86"/>
      <c r="B97" s="42">
        <f>_xlfn.XLOOKUP(Table3[[#This Row],[Verzekerde]],Relatie,fin_sub)</f>
        <v>0</v>
      </c>
      <c r="C97" s="87">
        <v>91</v>
      </c>
      <c r="D97" s="41" t="s">
        <v>7</v>
      </c>
      <c r="E97" s="41"/>
      <c r="F97" s="43"/>
      <c r="G97" s="43"/>
      <c r="H97" s="43" t="s">
        <v>7</v>
      </c>
      <c r="I97" s="43" t="s">
        <v>7</v>
      </c>
      <c r="J97" s="127"/>
      <c r="K97" s="127"/>
      <c r="L97" s="127"/>
      <c r="M97" s="127"/>
      <c r="N97" s="127"/>
      <c r="O97" s="41"/>
      <c r="P97" s="41"/>
      <c r="Q97" s="41"/>
      <c r="R97" s="44">
        <v>0</v>
      </c>
      <c r="S97" s="45">
        <f t="shared" si="11"/>
        <v>0</v>
      </c>
      <c r="T97" s="45">
        <f>Table3[[#This Row],[Verzekerde Waarde]]-Table3[[#This Row],[Mutaties]]</f>
        <v>0</v>
      </c>
      <c r="U97" s="45">
        <f t="shared" si="10"/>
        <v>0</v>
      </c>
      <c r="V97" s="41"/>
      <c r="W97" s="45">
        <f>X97+SUMIF(Table4[Subnummer],Table3[[#This Row],[Sub]],Table4[Som mutaties])</f>
        <v>0</v>
      </c>
      <c r="X97" s="46"/>
      <c r="Y97" s="41"/>
    </row>
    <row r="98" spans="1:25" ht="14.4" hidden="1" x14ac:dyDescent="0.3">
      <c r="A98" s="86"/>
      <c r="B98" s="42">
        <f>_xlfn.XLOOKUP(Table3[[#This Row],[Verzekerde]],Relatie,fin_sub)</f>
        <v>0</v>
      </c>
      <c r="C98" s="87">
        <v>92</v>
      </c>
      <c r="D98" s="41" t="s">
        <v>7</v>
      </c>
      <c r="E98" s="41"/>
      <c r="F98" s="43"/>
      <c r="G98" s="43"/>
      <c r="H98" s="43" t="s">
        <v>7</v>
      </c>
      <c r="I98" s="43" t="s">
        <v>7</v>
      </c>
      <c r="J98" s="127"/>
      <c r="K98" s="127"/>
      <c r="L98" s="127"/>
      <c r="M98" s="127"/>
      <c r="N98" s="127"/>
      <c r="O98" s="41"/>
      <c r="P98" s="41"/>
      <c r="Q98" s="41"/>
      <c r="R98" s="44">
        <v>0</v>
      </c>
      <c r="S98" s="45">
        <f t="shared" si="11"/>
        <v>0</v>
      </c>
      <c r="T98" s="45">
        <f>Table3[[#This Row],[Verzekerde Waarde]]-Table3[[#This Row],[Mutaties]]</f>
        <v>0</v>
      </c>
      <c r="U98" s="45">
        <f t="shared" si="10"/>
        <v>0</v>
      </c>
      <c r="V98" s="41"/>
      <c r="W98" s="45">
        <f>X98+SUMIF(Table4[Subnummer],Table3[[#This Row],[Sub]],Table4[Som mutaties])</f>
        <v>0</v>
      </c>
      <c r="X98" s="46"/>
      <c r="Y98" s="41"/>
    </row>
    <row r="99" spans="1:25" ht="14.4" hidden="1" x14ac:dyDescent="0.3">
      <c r="A99" s="86"/>
      <c r="B99" s="42">
        <f>_xlfn.XLOOKUP(Table3[[#This Row],[Verzekerde]],Relatie,fin_sub)</f>
        <v>0</v>
      </c>
      <c r="C99" s="87">
        <v>93</v>
      </c>
      <c r="D99" s="41" t="s">
        <v>7</v>
      </c>
      <c r="E99" s="41"/>
      <c r="F99" s="43"/>
      <c r="G99" s="43"/>
      <c r="H99" s="43" t="s">
        <v>7</v>
      </c>
      <c r="I99" s="43" t="s">
        <v>7</v>
      </c>
      <c r="J99" s="127"/>
      <c r="K99" s="127"/>
      <c r="L99" s="127"/>
      <c r="M99" s="127"/>
      <c r="N99" s="127"/>
      <c r="O99" s="41"/>
      <c r="P99" s="41"/>
      <c r="Q99" s="41"/>
      <c r="R99" s="44">
        <v>0</v>
      </c>
      <c r="S99" s="45">
        <f t="shared" si="11"/>
        <v>0</v>
      </c>
      <c r="T99" s="45">
        <f>Table3[[#This Row],[Verzekerde Waarde]]-Table3[[#This Row],[Mutaties]]</f>
        <v>0</v>
      </c>
      <c r="U99" s="45">
        <f t="shared" si="10"/>
        <v>0</v>
      </c>
      <c r="V99" s="41"/>
      <c r="W99" s="45">
        <f>X99+SUMIF(Table4[Subnummer],Table3[[#This Row],[Sub]],Table4[Som mutaties])</f>
        <v>0</v>
      </c>
      <c r="X99" s="46"/>
      <c r="Y99" s="41"/>
    </row>
    <row r="100" spans="1:25" ht="14.4" hidden="1" x14ac:dyDescent="0.3">
      <c r="A100" s="86"/>
      <c r="B100" s="42">
        <f>_xlfn.XLOOKUP(Table3[[#This Row],[Verzekerde]],Relatie,fin_sub)</f>
        <v>0</v>
      </c>
      <c r="C100" s="87">
        <v>94</v>
      </c>
      <c r="D100" s="41" t="s">
        <v>7</v>
      </c>
      <c r="E100" s="41"/>
      <c r="F100" s="43"/>
      <c r="G100" s="43"/>
      <c r="H100" s="43" t="s">
        <v>7</v>
      </c>
      <c r="I100" s="43" t="s">
        <v>7</v>
      </c>
      <c r="J100" s="127"/>
      <c r="K100" s="127"/>
      <c r="L100" s="127"/>
      <c r="M100" s="127"/>
      <c r="N100" s="127"/>
      <c r="O100" s="41"/>
      <c r="P100" s="41"/>
      <c r="Q100" s="41"/>
      <c r="R100" s="44">
        <v>0</v>
      </c>
      <c r="S100" s="45">
        <f t="shared" si="11"/>
        <v>0</v>
      </c>
      <c r="T100" s="45">
        <f>Table3[[#This Row],[Verzekerde Waarde]]-Table3[[#This Row],[Mutaties]]</f>
        <v>0</v>
      </c>
      <c r="U100" s="45">
        <f t="shared" si="10"/>
        <v>0</v>
      </c>
      <c r="V100" s="41"/>
      <c r="W100" s="45">
        <f>X100+SUMIF(Table4[Subnummer],Table3[[#This Row],[Sub]],Table4[Som mutaties])</f>
        <v>0</v>
      </c>
      <c r="X100" s="46"/>
      <c r="Y100" s="41"/>
    </row>
    <row r="101" spans="1:25" ht="14.4" hidden="1" x14ac:dyDescent="0.3">
      <c r="A101" s="86"/>
      <c r="B101" s="42">
        <f>_xlfn.XLOOKUP(Table3[[#This Row],[Verzekerde]],Relatie,fin_sub)</f>
        <v>0</v>
      </c>
      <c r="C101" s="87">
        <v>95</v>
      </c>
      <c r="D101" s="41" t="s">
        <v>7</v>
      </c>
      <c r="E101" s="41"/>
      <c r="F101" s="43"/>
      <c r="G101" s="43"/>
      <c r="H101" s="43" t="s">
        <v>7</v>
      </c>
      <c r="I101" s="43" t="s">
        <v>7</v>
      </c>
      <c r="J101" s="127"/>
      <c r="K101" s="127"/>
      <c r="L101" s="127"/>
      <c r="M101" s="127"/>
      <c r="N101" s="127"/>
      <c r="O101" s="41"/>
      <c r="P101" s="41"/>
      <c r="Q101" s="41"/>
      <c r="R101" s="44">
        <v>0</v>
      </c>
      <c r="S101" s="45">
        <f t="shared" si="11"/>
        <v>0</v>
      </c>
      <c r="T101" s="45">
        <f>Table3[[#This Row],[Verzekerde Waarde]]-Table3[[#This Row],[Mutaties]]</f>
        <v>0</v>
      </c>
      <c r="U101" s="45">
        <f t="shared" si="10"/>
        <v>0</v>
      </c>
      <c r="V101" s="41"/>
      <c r="W101" s="45">
        <f>X101+SUMIF(Table4[Subnummer],Table3[[#This Row],[Sub]],Table4[Som mutaties])</f>
        <v>0</v>
      </c>
      <c r="X101" s="46"/>
      <c r="Y101" s="41"/>
    </row>
    <row r="102" spans="1:25" ht="14.4" hidden="1" x14ac:dyDescent="0.3">
      <c r="A102" s="86"/>
      <c r="B102" s="42">
        <f>_xlfn.XLOOKUP(Table3[[#This Row],[Verzekerde]],Relatie,fin_sub)</f>
        <v>0</v>
      </c>
      <c r="C102" s="87">
        <v>96</v>
      </c>
      <c r="D102" s="41" t="s">
        <v>7</v>
      </c>
      <c r="E102" s="41"/>
      <c r="F102" s="43"/>
      <c r="G102" s="43"/>
      <c r="H102" s="43" t="s">
        <v>7</v>
      </c>
      <c r="I102" s="43" t="s">
        <v>7</v>
      </c>
      <c r="J102" s="127"/>
      <c r="K102" s="127"/>
      <c r="L102" s="127"/>
      <c r="M102" s="127"/>
      <c r="N102" s="127"/>
      <c r="O102" s="41"/>
      <c r="P102" s="41"/>
      <c r="Q102" s="41"/>
      <c r="R102" s="44">
        <v>0</v>
      </c>
      <c r="S102" s="45">
        <f t="shared" si="11"/>
        <v>0</v>
      </c>
      <c r="T102" s="45">
        <f>Table3[[#This Row],[Verzekerde Waarde]]-Table3[[#This Row],[Mutaties]]</f>
        <v>0</v>
      </c>
      <c r="U102" s="45">
        <f t="shared" si="10"/>
        <v>0</v>
      </c>
      <c r="V102" s="41"/>
      <c r="W102" s="45">
        <f>X102+SUMIF(Table4[Subnummer],Table3[[#This Row],[Sub]],Table4[Som mutaties])</f>
        <v>0</v>
      </c>
      <c r="X102" s="46"/>
      <c r="Y102" s="41"/>
    </row>
    <row r="103" spans="1:25" ht="14.4" hidden="1" x14ac:dyDescent="0.3">
      <c r="A103" s="86"/>
      <c r="B103" s="42">
        <f>_xlfn.XLOOKUP(Table3[[#This Row],[Verzekerde]],Relatie,fin_sub)</f>
        <v>0</v>
      </c>
      <c r="C103" s="87">
        <v>97</v>
      </c>
      <c r="D103" s="41" t="s">
        <v>7</v>
      </c>
      <c r="E103" s="41"/>
      <c r="F103" s="43"/>
      <c r="G103" s="43"/>
      <c r="H103" s="43" t="s">
        <v>7</v>
      </c>
      <c r="I103" s="43" t="s">
        <v>7</v>
      </c>
      <c r="J103" s="127"/>
      <c r="K103" s="127"/>
      <c r="L103" s="127"/>
      <c r="M103" s="127"/>
      <c r="N103" s="127"/>
      <c r="O103" s="41"/>
      <c r="P103" s="41"/>
      <c r="Q103" s="41"/>
      <c r="R103" s="44">
        <v>0</v>
      </c>
      <c r="S103" s="45">
        <f t="shared" si="11"/>
        <v>0</v>
      </c>
      <c r="T103" s="45">
        <f>Table3[[#This Row],[Verzekerde Waarde]]-Table3[[#This Row],[Mutaties]]</f>
        <v>0</v>
      </c>
      <c r="U103" s="45">
        <f t="shared" si="10"/>
        <v>0</v>
      </c>
      <c r="V103" s="41"/>
      <c r="W103" s="45">
        <f>X103+SUMIF(Table4[Subnummer],Table3[[#This Row],[Sub]],Table4[Som mutaties])</f>
        <v>0</v>
      </c>
      <c r="X103" s="46"/>
      <c r="Y103" s="41"/>
    </row>
    <row r="104" spans="1:25" ht="14.4" hidden="1" x14ac:dyDescent="0.3">
      <c r="A104" s="86"/>
      <c r="B104" s="42">
        <f>_xlfn.XLOOKUP(Table3[[#This Row],[Verzekerde]],Relatie,fin_sub)</f>
        <v>0</v>
      </c>
      <c r="C104" s="87">
        <v>98</v>
      </c>
      <c r="D104" s="41" t="s">
        <v>7</v>
      </c>
      <c r="E104" s="41"/>
      <c r="F104" s="43"/>
      <c r="G104" s="43"/>
      <c r="H104" s="43" t="s">
        <v>7</v>
      </c>
      <c r="I104" s="43" t="s">
        <v>7</v>
      </c>
      <c r="J104" s="127"/>
      <c r="K104" s="127"/>
      <c r="L104" s="127"/>
      <c r="M104" s="127"/>
      <c r="N104" s="127"/>
      <c r="O104" s="41"/>
      <c r="P104" s="41"/>
      <c r="Q104" s="41"/>
      <c r="R104" s="44">
        <v>0</v>
      </c>
      <c r="S104" s="45">
        <f t="shared" si="11"/>
        <v>0</v>
      </c>
      <c r="T104" s="45">
        <f>Table3[[#This Row],[Verzekerde Waarde]]-Table3[[#This Row],[Mutaties]]</f>
        <v>0</v>
      </c>
      <c r="U104" s="45">
        <f t="shared" si="10"/>
        <v>0</v>
      </c>
      <c r="V104" s="41"/>
      <c r="W104" s="45">
        <f>X104+SUMIF(Table4[Subnummer],Table3[[#This Row],[Sub]],Table4[Som mutaties])</f>
        <v>0</v>
      </c>
      <c r="X104" s="46"/>
      <c r="Y104" s="41"/>
    </row>
    <row r="105" spans="1:25" ht="14.4" hidden="1" x14ac:dyDescent="0.3">
      <c r="A105" s="86"/>
      <c r="B105" s="42">
        <f>_xlfn.XLOOKUP(Table3[[#This Row],[Verzekerde]],Relatie,fin_sub)</f>
        <v>0</v>
      </c>
      <c r="C105" s="87">
        <v>99</v>
      </c>
      <c r="D105" s="41" t="s">
        <v>7</v>
      </c>
      <c r="E105" s="41"/>
      <c r="F105" s="43"/>
      <c r="G105" s="43"/>
      <c r="H105" s="43" t="s">
        <v>7</v>
      </c>
      <c r="I105" s="43" t="s">
        <v>7</v>
      </c>
      <c r="J105" s="127"/>
      <c r="K105" s="127"/>
      <c r="L105" s="127"/>
      <c r="M105" s="127"/>
      <c r="N105" s="127"/>
      <c r="O105" s="41"/>
      <c r="P105" s="41"/>
      <c r="Q105" s="41"/>
      <c r="R105" s="44">
        <v>0</v>
      </c>
      <c r="S105" s="45">
        <f t="shared" si="11"/>
        <v>0</v>
      </c>
      <c r="T105" s="45">
        <f>Table3[[#This Row],[Verzekerde Waarde]]-Table3[[#This Row],[Mutaties]]</f>
        <v>0</v>
      </c>
      <c r="U105" s="45">
        <f t="shared" si="10"/>
        <v>0</v>
      </c>
      <c r="V105" s="41"/>
      <c r="W105" s="45">
        <f>X105+SUMIF(Table4[Subnummer],Table3[[#This Row],[Sub]],Table4[Som mutaties])</f>
        <v>0</v>
      </c>
      <c r="X105" s="46"/>
      <c r="Y105" s="41"/>
    </row>
    <row r="106" spans="1:25" ht="14.4" hidden="1" x14ac:dyDescent="0.3">
      <c r="A106" s="86"/>
      <c r="B106" s="42">
        <f>_xlfn.XLOOKUP(Table3[[#This Row],[Verzekerde]],Relatie,fin_sub)</f>
        <v>0</v>
      </c>
      <c r="C106" s="87">
        <v>100</v>
      </c>
      <c r="D106" s="41" t="s">
        <v>7</v>
      </c>
      <c r="E106" s="41"/>
      <c r="F106" s="43"/>
      <c r="G106" s="43"/>
      <c r="H106" s="43" t="s">
        <v>7</v>
      </c>
      <c r="I106" s="43" t="s">
        <v>7</v>
      </c>
      <c r="J106" s="127"/>
      <c r="K106" s="127"/>
      <c r="L106" s="127"/>
      <c r="M106" s="127"/>
      <c r="N106" s="127"/>
      <c r="O106" s="41"/>
      <c r="P106" s="41"/>
      <c r="Q106" s="41"/>
      <c r="R106" s="44">
        <v>0</v>
      </c>
      <c r="S106" s="45">
        <f t="shared" si="11"/>
        <v>0</v>
      </c>
      <c r="T106" s="45">
        <f>Table3[[#This Row],[Verzekerde Waarde]]-Table3[[#This Row],[Mutaties]]</f>
        <v>0</v>
      </c>
      <c r="U106" s="45">
        <f t="shared" si="10"/>
        <v>0</v>
      </c>
      <c r="V106" s="41"/>
      <c r="W106" s="45">
        <f>X106+SUMIF(Table4[Subnummer],Table3[[#This Row],[Sub]],Table4[Som mutaties])</f>
        <v>0</v>
      </c>
      <c r="X106" s="46"/>
      <c r="Y106" s="41"/>
    </row>
    <row r="107" spans="1:25" ht="14.4" hidden="1" x14ac:dyDescent="0.3">
      <c r="A107" s="86"/>
      <c r="B107" s="42">
        <f>_xlfn.XLOOKUP(Table3[[#This Row],[Verzekerde]],Relatie,fin_sub)</f>
        <v>0</v>
      </c>
      <c r="C107" s="87">
        <v>101</v>
      </c>
      <c r="D107" s="41" t="s">
        <v>7</v>
      </c>
      <c r="E107" s="41"/>
      <c r="F107" s="43"/>
      <c r="G107" s="43"/>
      <c r="H107" s="43" t="s">
        <v>7</v>
      </c>
      <c r="I107" s="43" t="s">
        <v>7</v>
      </c>
      <c r="J107" s="127"/>
      <c r="K107" s="127"/>
      <c r="L107" s="127"/>
      <c r="M107" s="127"/>
      <c r="N107" s="127"/>
      <c r="O107" s="41"/>
      <c r="P107" s="41"/>
      <c r="Q107" s="41"/>
      <c r="R107" s="44">
        <v>0</v>
      </c>
      <c r="S107" s="45">
        <f t="shared" si="11"/>
        <v>0</v>
      </c>
      <c r="T107" s="45">
        <f>Table3[[#This Row],[Verzekerde Waarde]]-Table3[[#This Row],[Mutaties]]</f>
        <v>0</v>
      </c>
      <c r="U107" s="45">
        <f t="shared" si="10"/>
        <v>0</v>
      </c>
      <c r="V107" s="41"/>
      <c r="W107" s="45">
        <f>X107+SUMIF(Table4[Subnummer],Table3[[#This Row],[Sub]],Table4[Som mutaties])</f>
        <v>0</v>
      </c>
      <c r="X107" s="46"/>
      <c r="Y107" s="41"/>
    </row>
    <row r="108" spans="1:25" ht="14.4" hidden="1" x14ac:dyDescent="0.3">
      <c r="A108" s="86"/>
      <c r="B108" s="42">
        <f>_xlfn.XLOOKUP(Table3[[#This Row],[Verzekerde]],Relatie,fin_sub)</f>
        <v>0</v>
      </c>
      <c r="C108" s="87">
        <v>102</v>
      </c>
      <c r="D108" s="41" t="s">
        <v>7</v>
      </c>
      <c r="E108" s="41"/>
      <c r="F108" s="43"/>
      <c r="G108" s="43"/>
      <c r="H108" s="43" t="s">
        <v>7</v>
      </c>
      <c r="I108" s="43" t="s">
        <v>7</v>
      </c>
      <c r="J108" s="127"/>
      <c r="K108" s="127"/>
      <c r="L108" s="127"/>
      <c r="M108" s="127"/>
      <c r="N108" s="127"/>
      <c r="O108" s="41"/>
      <c r="P108" s="41"/>
      <c r="Q108" s="41"/>
      <c r="R108" s="44">
        <v>0</v>
      </c>
      <c r="S108" s="45">
        <f t="shared" si="11"/>
        <v>0</v>
      </c>
      <c r="T108" s="45">
        <f>Table3[[#This Row],[Verzekerde Waarde]]-Table3[[#This Row],[Mutaties]]</f>
        <v>0</v>
      </c>
      <c r="U108" s="45">
        <f t="shared" si="10"/>
        <v>0</v>
      </c>
      <c r="V108" s="41"/>
      <c r="W108" s="45">
        <f>X108+SUMIF(Table4[Subnummer],Table3[[#This Row],[Sub]],Table4[Som mutaties])</f>
        <v>0</v>
      </c>
      <c r="X108" s="46"/>
      <c r="Y108" s="41"/>
    </row>
    <row r="109" spans="1:25" ht="14.4" hidden="1" x14ac:dyDescent="0.3">
      <c r="A109" s="86"/>
      <c r="B109" s="42">
        <f>_xlfn.XLOOKUP(Table3[[#This Row],[Verzekerde]],Relatie,fin_sub)</f>
        <v>0</v>
      </c>
      <c r="C109" s="87">
        <v>103</v>
      </c>
      <c r="D109" s="41" t="s">
        <v>7</v>
      </c>
      <c r="E109" s="41"/>
      <c r="F109" s="43"/>
      <c r="G109" s="43"/>
      <c r="H109" s="43" t="s">
        <v>7</v>
      </c>
      <c r="I109" s="43" t="s">
        <v>7</v>
      </c>
      <c r="J109" s="127"/>
      <c r="K109" s="127"/>
      <c r="L109" s="127"/>
      <c r="M109" s="127"/>
      <c r="N109" s="127"/>
      <c r="O109" s="41"/>
      <c r="P109" s="41"/>
      <c r="Q109" s="41"/>
      <c r="R109" s="44">
        <v>0</v>
      </c>
      <c r="S109" s="45">
        <f t="shared" si="11"/>
        <v>0</v>
      </c>
      <c r="T109" s="45">
        <f>Table3[[#This Row],[Verzekerde Waarde]]-Table3[[#This Row],[Mutaties]]</f>
        <v>0</v>
      </c>
      <c r="U109" s="45">
        <f t="shared" si="10"/>
        <v>0</v>
      </c>
      <c r="V109" s="41"/>
      <c r="W109" s="45">
        <f>X109+SUMIF(Table4[Subnummer],Table3[[#This Row],[Sub]],Table4[Som mutaties])</f>
        <v>0</v>
      </c>
      <c r="X109" s="46"/>
      <c r="Y109" s="41"/>
    </row>
    <row r="110" spans="1:25" ht="14.4" hidden="1" x14ac:dyDescent="0.3">
      <c r="A110" s="86"/>
      <c r="B110" s="42">
        <f>_xlfn.XLOOKUP(Table3[[#This Row],[Verzekerde]],Relatie,fin_sub)</f>
        <v>0</v>
      </c>
      <c r="C110" s="87">
        <v>104</v>
      </c>
      <c r="D110" s="41" t="s">
        <v>7</v>
      </c>
      <c r="E110" s="41"/>
      <c r="F110" s="43"/>
      <c r="G110" s="43"/>
      <c r="H110" s="43" t="s">
        <v>7</v>
      </c>
      <c r="I110" s="43" t="s">
        <v>7</v>
      </c>
      <c r="J110" s="127"/>
      <c r="K110" s="127"/>
      <c r="L110" s="127"/>
      <c r="M110" s="127"/>
      <c r="N110" s="127"/>
      <c r="O110" s="41"/>
      <c r="P110" s="41"/>
      <c r="Q110" s="41"/>
      <c r="R110" s="44">
        <v>0</v>
      </c>
      <c r="S110" s="45">
        <f t="shared" si="11"/>
        <v>0</v>
      </c>
      <c r="T110" s="45">
        <f>Table3[[#This Row],[Verzekerde Waarde]]-Table3[[#This Row],[Mutaties]]</f>
        <v>0</v>
      </c>
      <c r="U110" s="45">
        <f t="shared" si="10"/>
        <v>0</v>
      </c>
      <c r="V110" s="41"/>
      <c r="W110" s="45">
        <f>X110+SUMIF(Table4[Subnummer],Table3[[#This Row],[Sub]],Table4[Som mutaties])</f>
        <v>0</v>
      </c>
      <c r="X110" s="46"/>
      <c r="Y110" s="41"/>
    </row>
    <row r="111" spans="1:25" ht="14.4" hidden="1" x14ac:dyDescent="0.3">
      <c r="A111" s="86"/>
      <c r="B111" s="42">
        <f>_xlfn.XLOOKUP(Table3[[#This Row],[Verzekerde]],Relatie,fin_sub)</f>
        <v>0</v>
      </c>
      <c r="C111" s="87">
        <v>105</v>
      </c>
      <c r="D111" s="41" t="s">
        <v>7</v>
      </c>
      <c r="E111" s="41"/>
      <c r="F111" s="43"/>
      <c r="G111" s="43"/>
      <c r="H111" s="43" t="s">
        <v>7</v>
      </c>
      <c r="I111" s="43" t="s">
        <v>7</v>
      </c>
      <c r="J111" s="127"/>
      <c r="K111" s="127"/>
      <c r="L111" s="127"/>
      <c r="M111" s="127"/>
      <c r="N111" s="127"/>
      <c r="O111" s="41"/>
      <c r="P111" s="41"/>
      <c r="Q111" s="41"/>
      <c r="R111" s="44">
        <v>0</v>
      </c>
      <c r="S111" s="45">
        <f t="shared" si="11"/>
        <v>0</v>
      </c>
      <c r="T111" s="45">
        <f>Table3[[#This Row],[Verzekerde Waarde]]-Table3[[#This Row],[Mutaties]]</f>
        <v>0</v>
      </c>
      <c r="U111" s="45">
        <f t="shared" si="10"/>
        <v>0</v>
      </c>
      <c r="V111" s="41"/>
      <c r="W111" s="45">
        <f>X111+SUMIF(Table4[Subnummer],Table3[[#This Row],[Sub]],Table4[Som mutaties])</f>
        <v>0</v>
      </c>
      <c r="X111" s="46"/>
      <c r="Y111" s="41"/>
    </row>
    <row r="112" spans="1:25" ht="14.4" hidden="1" x14ac:dyDescent="0.3">
      <c r="A112" s="86"/>
      <c r="B112" s="42">
        <f>_xlfn.XLOOKUP(Table3[[#This Row],[Verzekerde]],Relatie,fin_sub)</f>
        <v>0</v>
      </c>
      <c r="C112" s="87">
        <v>106</v>
      </c>
      <c r="D112" s="41" t="s">
        <v>7</v>
      </c>
      <c r="E112" s="41"/>
      <c r="F112" s="43"/>
      <c r="G112" s="43"/>
      <c r="H112" s="43" t="s">
        <v>7</v>
      </c>
      <c r="I112" s="43" t="s">
        <v>7</v>
      </c>
      <c r="J112" s="127"/>
      <c r="K112" s="127"/>
      <c r="L112" s="127"/>
      <c r="M112" s="127"/>
      <c r="N112" s="127"/>
      <c r="O112" s="41"/>
      <c r="P112" s="41"/>
      <c r="Q112" s="41"/>
      <c r="R112" s="44">
        <v>0</v>
      </c>
      <c r="S112" s="45">
        <f t="shared" si="11"/>
        <v>0</v>
      </c>
      <c r="T112" s="45">
        <f>Table3[[#This Row],[Verzekerde Waarde]]-Table3[[#This Row],[Mutaties]]</f>
        <v>0</v>
      </c>
      <c r="U112" s="45">
        <f t="shared" si="10"/>
        <v>0</v>
      </c>
      <c r="V112" s="41"/>
      <c r="W112" s="45">
        <f>X112+SUMIF(Table4[Subnummer],Table3[[#This Row],[Sub]],Table4[Som mutaties])</f>
        <v>0</v>
      </c>
      <c r="X112" s="46"/>
      <c r="Y112" s="41"/>
    </row>
    <row r="113" spans="1:25" ht="14.4" hidden="1" x14ac:dyDescent="0.3">
      <c r="A113" s="86"/>
      <c r="B113" s="42">
        <f>_xlfn.XLOOKUP(Table3[[#This Row],[Verzekerde]],Relatie,fin_sub)</f>
        <v>0</v>
      </c>
      <c r="C113" s="87">
        <v>107</v>
      </c>
      <c r="D113" s="41" t="s">
        <v>7</v>
      </c>
      <c r="E113" s="41"/>
      <c r="F113" s="43"/>
      <c r="G113" s="43"/>
      <c r="H113" s="43" t="s">
        <v>7</v>
      </c>
      <c r="I113" s="43" t="s">
        <v>7</v>
      </c>
      <c r="J113" s="127"/>
      <c r="K113" s="127"/>
      <c r="L113" s="127"/>
      <c r="M113" s="127"/>
      <c r="N113" s="127"/>
      <c r="O113" s="41"/>
      <c r="P113" s="41"/>
      <c r="Q113" s="41"/>
      <c r="R113" s="44">
        <v>0</v>
      </c>
      <c r="S113" s="45">
        <f t="shared" si="11"/>
        <v>0</v>
      </c>
      <c r="T113" s="45">
        <f>Table3[[#This Row],[Verzekerde Waarde]]-Table3[[#This Row],[Mutaties]]</f>
        <v>0</v>
      </c>
      <c r="U113" s="45">
        <f t="shared" si="10"/>
        <v>0</v>
      </c>
      <c r="V113" s="41"/>
      <c r="W113" s="45">
        <f>X113+SUMIF(Table4[Subnummer],Table3[[#This Row],[Sub]],Table4[Som mutaties])</f>
        <v>0</v>
      </c>
      <c r="X113" s="46"/>
      <c r="Y113" s="41"/>
    </row>
    <row r="114" spans="1:25" ht="14.4" hidden="1" x14ac:dyDescent="0.3">
      <c r="A114" s="86"/>
      <c r="B114" s="42">
        <f>_xlfn.XLOOKUP(Table3[[#This Row],[Verzekerde]],Relatie,fin_sub)</f>
        <v>0</v>
      </c>
      <c r="C114" s="87">
        <v>108</v>
      </c>
      <c r="D114" s="41" t="s">
        <v>7</v>
      </c>
      <c r="E114" s="41"/>
      <c r="F114" s="43"/>
      <c r="G114" s="43"/>
      <c r="H114" s="43" t="s">
        <v>7</v>
      </c>
      <c r="I114" s="43" t="s">
        <v>7</v>
      </c>
      <c r="J114" s="127"/>
      <c r="K114" s="127"/>
      <c r="L114" s="127"/>
      <c r="M114" s="127"/>
      <c r="N114" s="127"/>
      <c r="O114" s="41"/>
      <c r="P114" s="41"/>
      <c r="Q114" s="41"/>
      <c r="R114" s="44">
        <v>0</v>
      </c>
      <c r="S114" s="45">
        <f t="shared" si="11"/>
        <v>0</v>
      </c>
      <c r="T114" s="45">
        <f>Table3[[#This Row],[Verzekerde Waarde]]-Table3[[#This Row],[Mutaties]]</f>
        <v>0</v>
      </c>
      <c r="U114" s="45">
        <f t="shared" si="10"/>
        <v>0</v>
      </c>
      <c r="V114" s="41"/>
      <c r="W114" s="45">
        <f>X114+SUMIF(Table4[Subnummer],Table3[[#This Row],[Sub]],Table4[Som mutaties])</f>
        <v>0</v>
      </c>
      <c r="X114" s="46"/>
      <c r="Y114" s="41"/>
    </row>
    <row r="115" spans="1:25" ht="14.4" hidden="1" x14ac:dyDescent="0.3">
      <c r="A115" s="86"/>
      <c r="B115" s="42">
        <f>_xlfn.XLOOKUP(Table3[[#This Row],[Verzekerde]],Relatie,fin_sub)</f>
        <v>0</v>
      </c>
      <c r="C115" s="87">
        <v>109</v>
      </c>
      <c r="D115" s="41" t="s">
        <v>7</v>
      </c>
      <c r="E115" s="41"/>
      <c r="F115" s="43"/>
      <c r="G115" s="43"/>
      <c r="H115" s="43" t="s">
        <v>7</v>
      </c>
      <c r="I115" s="43" t="s">
        <v>7</v>
      </c>
      <c r="J115" s="127"/>
      <c r="K115" s="127"/>
      <c r="L115" s="127"/>
      <c r="M115" s="127"/>
      <c r="N115" s="127"/>
      <c r="O115" s="41"/>
      <c r="P115" s="41"/>
      <c r="Q115" s="41"/>
      <c r="R115" s="44">
        <v>0</v>
      </c>
      <c r="S115" s="45">
        <f t="shared" si="11"/>
        <v>0</v>
      </c>
      <c r="T115" s="45">
        <f>Table3[[#This Row],[Verzekerde Waarde]]-Table3[[#This Row],[Mutaties]]</f>
        <v>0</v>
      </c>
      <c r="U115" s="45">
        <f t="shared" si="10"/>
        <v>0</v>
      </c>
      <c r="V115" s="41"/>
      <c r="W115" s="45">
        <f>X115+SUMIF(Table4[Subnummer],Table3[[#This Row],[Sub]],Table4[Som mutaties])</f>
        <v>0</v>
      </c>
      <c r="X115" s="46"/>
      <c r="Y115" s="41"/>
    </row>
    <row r="116" spans="1:25" ht="14.4" hidden="1" x14ac:dyDescent="0.3">
      <c r="A116" s="86"/>
      <c r="B116" s="42">
        <f>_xlfn.XLOOKUP(Table3[[#This Row],[Verzekerde]],Relatie,fin_sub)</f>
        <v>0</v>
      </c>
      <c r="C116" s="87">
        <v>110</v>
      </c>
      <c r="D116" s="41" t="s">
        <v>7</v>
      </c>
      <c r="E116" s="41"/>
      <c r="F116" s="43"/>
      <c r="G116" s="43"/>
      <c r="H116" s="43" t="s">
        <v>7</v>
      </c>
      <c r="I116" s="43" t="s">
        <v>7</v>
      </c>
      <c r="J116" s="127"/>
      <c r="K116" s="127"/>
      <c r="L116" s="127"/>
      <c r="M116" s="127"/>
      <c r="N116" s="127"/>
      <c r="O116" s="41"/>
      <c r="P116" s="41"/>
      <c r="Q116" s="41"/>
      <c r="R116" s="44">
        <v>0</v>
      </c>
      <c r="S116" s="45">
        <f t="shared" si="11"/>
        <v>0</v>
      </c>
      <c r="T116" s="45">
        <f>Table3[[#This Row],[Verzekerde Waarde]]-Table3[[#This Row],[Mutaties]]</f>
        <v>0</v>
      </c>
      <c r="U116" s="45">
        <f t="shared" si="10"/>
        <v>0</v>
      </c>
      <c r="V116" s="41"/>
      <c r="W116" s="45">
        <f>X116+SUMIF(Table4[Subnummer],Table3[[#This Row],[Sub]],Table4[Som mutaties])</f>
        <v>0</v>
      </c>
      <c r="X116" s="46"/>
      <c r="Y116" s="41"/>
    </row>
    <row r="117" spans="1:25" ht="14.4" hidden="1" x14ac:dyDescent="0.3">
      <c r="A117" s="86"/>
      <c r="B117" s="42">
        <f>_xlfn.XLOOKUP(Table3[[#This Row],[Verzekerde]],Relatie,fin_sub)</f>
        <v>0</v>
      </c>
      <c r="C117" s="87">
        <v>111</v>
      </c>
      <c r="D117" s="41" t="s">
        <v>7</v>
      </c>
      <c r="E117" s="41"/>
      <c r="F117" s="43"/>
      <c r="G117" s="43"/>
      <c r="H117" s="43" t="s">
        <v>7</v>
      </c>
      <c r="I117" s="43" t="s">
        <v>7</v>
      </c>
      <c r="J117" s="127"/>
      <c r="K117" s="127"/>
      <c r="L117" s="127"/>
      <c r="M117" s="127"/>
      <c r="N117" s="127"/>
      <c r="O117" s="41"/>
      <c r="P117" s="41"/>
      <c r="Q117" s="41"/>
      <c r="R117" s="44">
        <v>0</v>
      </c>
      <c r="S117" s="45">
        <f t="shared" si="11"/>
        <v>0</v>
      </c>
      <c r="T117" s="45">
        <f>Table3[[#This Row],[Verzekerde Waarde]]-Table3[[#This Row],[Mutaties]]</f>
        <v>0</v>
      </c>
      <c r="U117" s="45">
        <f t="shared" si="10"/>
        <v>0</v>
      </c>
      <c r="V117" s="41"/>
      <c r="W117" s="45">
        <f>X117+SUMIF(Table4[Subnummer],Table3[[#This Row],[Sub]],Table4[Som mutaties])</f>
        <v>0</v>
      </c>
      <c r="X117" s="46"/>
      <c r="Y117" s="41"/>
    </row>
    <row r="118" spans="1:25" ht="14.4" hidden="1" x14ac:dyDescent="0.3">
      <c r="A118" s="86"/>
      <c r="B118" s="42">
        <f>_xlfn.XLOOKUP(Table3[[#This Row],[Verzekerde]],Relatie,fin_sub)</f>
        <v>0</v>
      </c>
      <c r="C118" s="87">
        <v>112</v>
      </c>
      <c r="D118" s="41" t="s">
        <v>7</v>
      </c>
      <c r="E118" s="41"/>
      <c r="F118" s="43"/>
      <c r="G118" s="43"/>
      <c r="H118" s="43" t="s">
        <v>7</v>
      </c>
      <c r="I118" s="43" t="s">
        <v>7</v>
      </c>
      <c r="J118" s="127"/>
      <c r="K118" s="127"/>
      <c r="L118" s="127"/>
      <c r="M118" s="127"/>
      <c r="N118" s="127"/>
      <c r="O118" s="41"/>
      <c r="P118" s="41"/>
      <c r="Q118" s="41"/>
      <c r="R118" s="44">
        <v>0</v>
      </c>
      <c r="S118" s="45">
        <f t="shared" si="11"/>
        <v>0</v>
      </c>
      <c r="T118" s="45">
        <f>Table3[[#This Row],[Verzekerde Waarde]]-Table3[[#This Row],[Mutaties]]</f>
        <v>0</v>
      </c>
      <c r="U118" s="45">
        <f t="shared" si="10"/>
        <v>0</v>
      </c>
      <c r="V118" s="41"/>
      <c r="W118" s="45">
        <f>X118+SUMIF(Table4[Subnummer],Table3[[#This Row],[Sub]],Table4[Som mutaties])</f>
        <v>0</v>
      </c>
      <c r="X118" s="46"/>
      <c r="Y118" s="41"/>
    </row>
    <row r="119" spans="1:25" ht="14.4" hidden="1" x14ac:dyDescent="0.3">
      <c r="A119" s="86"/>
      <c r="B119" s="42">
        <f>_xlfn.XLOOKUP(Table3[[#This Row],[Verzekerde]],Relatie,fin_sub)</f>
        <v>0</v>
      </c>
      <c r="C119" s="87">
        <v>113</v>
      </c>
      <c r="D119" s="41" t="s">
        <v>7</v>
      </c>
      <c r="E119" s="41"/>
      <c r="F119" s="43"/>
      <c r="G119" s="43"/>
      <c r="H119" s="43" t="s">
        <v>7</v>
      </c>
      <c r="I119" s="43" t="s">
        <v>7</v>
      </c>
      <c r="J119" s="127"/>
      <c r="K119" s="127"/>
      <c r="L119" s="127"/>
      <c r="M119" s="127"/>
      <c r="N119" s="127"/>
      <c r="O119" s="41"/>
      <c r="P119" s="41"/>
      <c r="Q119" s="41"/>
      <c r="R119" s="44">
        <v>0</v>
      </c>
      <c r="S119" s="45">
        <f t="shared" si="11"/>
        <v>0</v>
      </c>
      <c r="T119" s="45">
        <f>Table3[[#This Row],[Verzekerde Waarde]]-Table3[[#This Row],[Mutaties]]</f>
        <v>0</v>
      </c>
      <c r="U119" s="45">
        <f t="shared" si="10"/>
        <v>0</v>
      </c>
      <c r="V119" s="41"/>
      <c r="W119" s="45">
        <f>X119+SUMIF(Table4[Subnummer],Table3[[#This Row],[Sub]],Table4[Som mutaties])</f>
        <v>0</v>
      </c>
      <c r="X119" s="46"/>
      <c r="Y119" s="41"/>
    </row>
    <row r="120" spans="1:25" ht="14.4" hidden="1" x14ac:dyDescent="0.3">
      <c r="A120" s="86"/>
      <c r="B120" s="42">
        <f>_xlfn.XLOOKUP(Table3[[#This Row],[Verzekerde]],Relatie,fin_sub)</f>
        <v>0</v>
      </c>
      <c r="C120" s="87">
        <v>114</v>
      </c>
      <c r="D120" s="41" t="s">
        <v>7</v>
      </c>
      <c r="E120" s="41"/>
      <c r="F120" s="43"/>
      <c r="G120" s="43"/>
      <c r="H120" s="43" t="s">
        <v>7</v>
      </c>
      <c r="I120" s="43" t="s">
        <v>7</v>
      </c>
      <c r="J120" s="127"/>
      <c r="K120" s="127"/>
      <c r="L120" s="127"/>
      <c r="M120" s="127"/>
      <c r="N120" s="127"/>
      <c r="O120" s="41"/>
      <c r="P120" s="41"/>
      <c r="Q120" s="41"/>
      <c r="R120" s="44">
        <v>0</v>
      </c>
      <c r="S120" s="45">
        <f t="shared" si="11"/>
        <v>0</v>
      </c>
      <c r="T120" s="45">
        <f>Table3[[#This Row],[Verzekerde Waarde]]-Table3[[#This Row],[Mutaties]]</f>
        <v>0</v>
      </c>
      <c r="U120" s="45">
        <f t="shared" si="10"/>
        <v>0</v>
      </c>
      <c r="V120" s="41"/>
      <c r="W120" s="45">
        <f>X120+SUMIF(Table4[Subnummer],Table3[[#This Row],[Sub]],Table4[Som mutaties])</f>
        <v>0</v>
      </c>
      <c r="X120" s="46"/>
      <c r="Y120" s="41"/>
    </row>
    <row r="121" spans="1:25" ht="14.4" hidden="1" x14ac:dyDescent="0.3">
      <c r="A121" s="86"/>
      <c r="B121" s="42">
        <f>_xlfn.XLOOKUP(Table3[[#This Row],[Verzekerde]],Relatie,fin_sub)</f>
        <v>0</v>
      </c>
      <c r="C121" s="87">
        <v>115</v>
      </c>
      <c r="D121" s="41" t="s">
        <v>7</v>
      </c>
      <c r="E121" s="41"/>
      <c r="F121" s="43"/>
      <c r="G121" s="43"/>
      <c r="H121" s="43" t="s">
        <v>7</v>
      </c>
      <c r="I121" s="43" t="s">
        <v>7</v>
      </c>
      <c r="J121" s="127"/>
      <c r="K121" s="127"/>
      <c r="L121" s="127"/>
      <c r="M121" s="127"/>
      <c r="N121" s="127"/>
      <c r="O121" s="41"/>
      <c r="P121" s="41"/>
      <c r="Q121" s="41"/>
      <c r="R121" s="44">
        <v>0</v>
      </c>
      <c r="S121" s="45">
        <f t="shared" si="11"/>
        <v>0</v>
      </c>
      <c r="T121" s="45">
        <f>Table3[[#This Row],[Verzekerde Waarde]]-Table3[[#This Row],[Mutaties]]</f>
        <v>0</v>
      </c>
      <c r="U121" s="45">
        <f t="shared" si="10"/>
        <v>0</v>
      </c>
      <c r="V121" s="41"/>
      <c r="W121" s="45">
        <f>X121+SUMIF(Table4[Subnummer],Table3[[#This Row],[Sub]],Table4[Som mutaties])</f>
        <v>0</v>
      </c>
      <c r="X121" s="46"/>
      <c r="Y121" s="41"/>
    </row>
    <row r="122" spans="1:25" ht="14.4" hidden="1" x14ac:dyDescent="0.3">
      <c r="A122" s="86"/>
      <c r="B122" s="42">
        <f>_xlfn.XLOOKUP(Table3[[#This Row],[Verzekerde]],Relatie,fin_sub)</f>
        <v>0</v>
      </c>
      <c r="C122" s="87">
        <v>116</v>
      </c>
      <c r="D122" s="41" t="s">
        <v>7</v>
      </c>
      <c r="E122" s="41"/>
      <c r="F122" s="43"/>
      <c r="G122" s="43"/>
      <c r="H122" s="43" t="s">
        <v>7</v>
      </c>
      <c r="I122" s="43" t="s">
        <v>7</v>
      </c>
      <c r="J122" s="127"/>
      <c r="K122" s="127"/>
      <c r="L122" s="127"/>
      <c r="M122" s="127"/>
      <c r="N122" s="127"/>
      <c r="O122" s="41"/>
      <c r="P122" s="41"/>
      <c r="Q122" s="41"/>
      <c r="R122" s="44">
        <v>0</v>
      </c>
      <c r="S122" s="45">
        <f t="shared" si="11"/>
        <v>0</v>
      </c>
      <c r="T122" s="45">
        <f>Table3[[#This Row],[Verzekerde Waarde]]-Table3[[#This Row],[Mutaties]]</f>
        <v>0</v>
      </c>
      <c r="U122" s="45">
        <f t="shared" si="10"/>
        <v>0</v>
      </c>
      <c r="V122" s="41"/>
      <c r="W122" s="45">
        <f>X122+SUMIF(Table4[Subnummer],Table3[[#This Row],[Sub]],Table4[Som mutaties])</f>
        <v>0</v>
      </c>
      <c r="X122" s="46"/>
      <c r="Y122" s="41"/>
    </row>
    <row r="123" spans="1:25" ht="14.4" hidden="1" x14ac:dyDescent="0.3">
      <c r="A123" s="86"/>
      <c r="B123" s="42">
        <f>_xlfn.XLOOKUP(Table3[[#This Row],[Verzekerde]],Relatie,fin_sub)</f>
        <v>0</v>
      </c>
      <c r="C123" s="87">
        <v>117</v>
      </c>
      <c r="D123" s="41" t="s">
        <v>7</v>
      </c>
      <c r="E123" s="41"/>
      <c r="F123" s="43"/>
      <c r="G123" s="43"/>
      <c r="H123" s="43" t="s">
        <v>7</v>
      </c>
      <c r="I123" s="43" t="s">
        <v>7</v>
      </c>
      <c r="J123" s="127"/>
      <c r="K123" s="127"/>
      <c r="L123" s="127"/>
      <c r="M123" s="127"/>
      <c r="N123" s="127"/>
      <c r="O123" s="41"/>
      <c r="P123" s="41"/>
      <c r="Q123" s="41"/>
      <c r="R123" s="44">
        <v>0</v>
      </c>
      <c r="S123" s="45">
        <f t="shared" si="11"/>
        <v>0</v>
      </c>
      <c r="T123" s="45">
        <f>Table3[[#This Row],[Verzekerde Waarde]]-Table3[[#This Row],[Mutaties]]</f>
        <v>0</v>
      </c>
      <c r="U123" s="45">
        <f t="shared" si="10"/>
        <v>0</v>
      </c>
      <c r="V123" s="41"/>
      <c r="W123" s="45">
        <f>X123+SUMIF(Table4[Subnummer],Table3[[#This Row],[Sub]],Table4[Som mutaties])</f>
        <v>0</v>
      </c>
      <c r="X123" s="46"/>
      <c r="Y123" s="41"/>
    </row>
    <row r="124" spans="1:25" ht="14.4" hidden="1" x14ac:dyDescent="0.3">
      <c r="A124" s="86"/>
      <c r="B124" s="42">
        <f>_xlfn.XLOOKUP(Table3[[#This Row],[Verzekerde]],Relatie,fin_sub)</f>
        <v>0</v>
      </c>
      <c r="C124" s="87">
        <v>118</v>
      </c>
      <c r="D124" s="41" t="s">
        <v>7</v>
      </c>
      <c r="E124" s="41"/>
      <c r="F124" s="43"/>
      <c r="G124" s="43"/>
      <c r="H124" s="43" t="s">
        <v>7</v>
      </c>
      <c r="I124" s="43" t="s">
        <v>7</v>
      </c>
      <c r="J124" s="127"/>
      <c r="K124" s="127"/>
      <c r="L124" s="127"/>
      <c r="M124" s="127"/>
      <c r="N124" s="127"/>
      <c r="O124" s="41"/>
      <c r="P124" s="41"/>
      <c r="Q124" s="41"/>
      <c r="R124" s="44">
        <v>0</v>
      </c>
      <c r="S124" s="45">
        <f t="shared" si="11"/>
        <v>0</v>
      </c>
      <c r="T124" s="45">
        <f>Table3[[#This Row],[Verzekerde Waarde]]-Table3[[#This Row],[Mutaties]]</f>
        <v>0</v>
      </c>
      <c r="U124" s="45">
        <f t="shared" si="10"/>
        <v>0</v>
      </c>
      <c r="V124" s="41"/>
      <c r="W124" s="45">
        <f>X124+SUMIF(Table4[Subnummer],Table3[[#This Row],[Sub]],Table4[Som mutaties])</f>
        <v>0</v>
      </c>
      <c r="X124" s="46"/>
      <c r="Y124" s="41"/>
    </row>
    <row r="125" spans="1:25" ht="14.4" hidden="1" x14ac:dyDescent="0.3">
      <c r="A125" s="86"/>
      <c r="B125" s="42">
        <f>_xlfn.XLOOKUP(Table3[[#This Row],[Verzekerde]],Relatie,fin_sub)</f>
        <v>0</v>
      </c>
      <c r="C125" s="87">
        <v>119</v>
      </c>
      <c r="D125" s="41" t="s">
        <v>7</v>
      </c>
      <c r="E125" s="41"/>
      <c r="F125" s="43"/>
      <c r="G125" s="43"/>
      <c r="H125" s="43" t="s">
        <v>7</v>
      </c>
      <c r="I125" s="43" t="s">
        <v>7</v>
      </c>
      <c r="J125" s="127"/>
      <c r="K125" s="127"/>
      <c r="L125" s="127"/>
      <c r="M125" s="127"/>
      <c r="N125" s="127"/>
      <c r="O125" s="41"/>
      <c r="P125" s="41"/>
      <c r="Q125" s="41"/>
      <c r="R125" s="44">
        <v>0</v>
      </c>
      <c r="S125" s="45">
        <f t="shared" si="11"/>
        <v>0</v>
      </c>
      <c r="T125" s="45">
        <f>Table3[[#This Row],[Verzekerde Waarde]]-Table3[[#This Row],[Mutaties]]</f>
        <v>0</v>
      </c>
      <c r="U125" s="45">
        <f t="shared" si="10"/>
        <v>0</v>
      </c>
      <c r="V125" s="41"/>
      <c r="W125" s="45">
        <f>X125+SUMIF(Table4[Subnummer],Table3[[#This Row],[Sub]],Table4[Som mutaties])</f>
        <v>0</v>
      </c>
      <c r="X125" s="46"/>
      <c r="Y125" s="41"/>
    </row>
    <row r="126" spans="1:25" ht="14.4" hidden="1" x14ac:dyDescent="0.3">
      <c r="A126" s="86"/>
      <c r="B126" s="42">
        <f>_xlfn.XLOOKUP(Table3[[#This Row],[Verzekerde]],Relatie,fin_sub)</f>
        <v>0</v>
      </c>
      <c r="C126" s="87">
        <v>120</v>
      </c>
      <c r="D126" s="41" t="s">
        <v>7</v>
      </c>
      <c r="E126" s="41"/>
      <c r="F126" s="43"/>
      <c r="G126" s="43"/>
      <c r="H126" s="43" t="s">
        <v>7</v>
      </c>
      <c r="I126" s="43" t="s">
        <v>7</v>
      </c>
      <c r="J126" s="127"/>
      <c r="K126" s="127"/>
      <c r="L126" s="127"/>
      <c r="M126" s="127"/>
      <c r="N126" s="127"/>
      <c r="O126" s="41"/>
      <c r="P126" s="41"/>
      <c r="Q126" s="41"/>
      <c r="R126" s="44">
        <v>0</v>
      </c>
      <c r="S126" s="45">
        <f t="shared" si="11"/>
        <v>0</v>
      </c>
      <c r="T126" s="45">
        <f>Table3[[#This Row],[Verzekerde Waarde]]-Table3[[#This Row],[Mutaties]]</f>
        <v>0</v>
      </c>
      <c r="U126" s="45">
        <f t="shared" si="10"/>
        <v>0</v>
      </c>
      <c r="V126" s="41"/>
      <c r="W126" s="45">
        <f>X126+SUMIF(Table4[Subnummer],Table3[[#This Row],[Sub]],Table4[Som mutaties])</f>
        <v>0</v>
      </c>
      <c r="X126" s="46"/>
      <c r="Y126" s="41"/>
    </row>
    <row r="127" spans="1:25" ht="14.4" hidden="1" x14ac:dyDescent="0.3">
      <c r="A127" s="86"/>
      <c r="B127" s="42">
        <f>_xlfn.XLOOKUP(Table3[[#This Row],[Verzekerde]],Relatie,fin_sub)</f>
        <v>0</v>
      </c>
      <c r="C127" s="87">
        <v>121</v>
      </c>
      <c r="D127" s="41" t="s">
        <v>7</v>
      </c>
      <c r="E127" s="41"/>
      <c r="F127" s="43"/>
      <c r="G127" s="43"/>
      <c r="H127" s="43" t="s">
        <v>7</v>
      </c>
      <c r="I127" s="43" t="s">
        <v>7</v>
      </c>
      <c r="J127" s="127"/>
      <c r="K127" s="127"/>
      <c r="L127" s="127"/>
      <c r="M127" s="127"/>
      <c r="N127" s="127"/>
      <c r="O127" s="41"/>
      <c r="P127" s="41"/>
      <c r="Q127" s="41"/>
      <c r="R127" s="44">
        <v>0</v>
      </c>
      <c r="S127" s="45">
        <f t="shared" si="11"/>
        <v>0</v>
      </c>
      <c r="T127" s="45">
        <f>Table3[[#This Row],[Verzekerde Waarde]]-Table3[[#This Row],[Mutaties]]</f>
        <v>0</v>
      </c>
      <c r="U127" s="45">
        <f t="shared" si="10"/>
        <v>0</v>
      </c>
      <c r="V127" s="41"/>
      <c r="W127" s="45">
        <f>X127+SUMIF(Table4[Subnummer],Table3[[#This Row],[Sub]],Table4[Som mutaties])</f>
        <v>0</v>
      </c>
      <c r="X127" s="46"/>
      <c r="Y127" s="41"/>
    </row>
    <row r="128" spans="1:25" ht="14.4" hidden="1" x14ac:dyDescent="0.3">
      <c r="A128" s="86"/>
      <c r="B128" s="42">
        <f>_xlfn.XLOOKUP(Table3[[#This Row],[Verzekerde]],Relatie,fin_sub)</f>
        <v>0</v>
      </c>
      <c r="C128" s="87">
        <v>122</v>
      </c>
      <c r="D128" s="41" t="s">
        <v>7</v>
      </c>
      <c r="E128" s="41"/>
      <c r="F128" s="43"/>
      <c r="G128" s="43"/>
      <c r="H128" s="43" t="s">
        <v>7</v>
      </c>
      <c r="I128" s="43" t="s">
        <v>7</v>
      </c>
      <c r="J128" s="127"/>
      <c r="K128" s="127"/>
      <c r="L128" s="127"/>
      <c r="M128" s="127"/>
      <c r="N128" s="127"/>
      <c r="O128" s="41"/>
      <c r="P128" s="41"/>
      <c r="Q128" s="41"/>
      <c r="R128" s="44">
        <v>0</v>
      </c>
      <c r="S128" s="45">
        <f t="shared" si="11"/>
        <v>0</v>
      </c>
      <c r="T128" s="45">
        <f>Table3[[#This Row],[Verzekerde Waarde]]-Table3[[#This Row],[Mutaties]]</f>
        <v>0</v>
      </c>
      <c r="U128" s="45">
        <f t="shared" si="10"/>
        <v>0</v>
      </c>
      <c r="V128" s="41"/>
      <c r="W128" s="45">
        <f>X128+SUMIF(Table4[Subnummer],Table3[[#This Row],[Sub]],Table4[Som mutaties])</f>
        <v>0</v>
      </c>
      <c r="X128" s="46"/>
      <c r="Y128" s="41"/>
    </row>
    <row r="129" spans="1:25" ht="14.4" hidden="1" x14ac:dyDescent="0.3">
      <c r="A129" s="86"/>
      <c r="B129" s="42">
        <f>_xlfn.XLOOKUP(Table3[[#This Row],[Verzekerde]],Relatie,fin_sub)</f>
        <v>0</v>
      </c>
      <c r="C129" s="87">
        <v>123</v>
      </c>
      <c r="D129" s="41" t="s">
        <v>7</v>
      </c>
      <c r="E129" s="41"/>
      <c r="F129" s="43"/>
      <c r="G129" s="43"/>
      <c r="H129" s="43" t="s">
        <v>7</v>
      </c>
      <c r="I129" s="43" t="s">
        <v>7</v>
      </c>
      <c r="J129" s="127"/>
      <c r="K129" s="127"/>
      <c r="L129" s="127"/>
      <c r="M129" s="127"/>
      <c r="N129" s="127"/>
      <c r="O129" s="41"/>
      <c r="P129" s="41"/>
      <c r="Q129" s="41"/>
      <c r="R129" s="44">
        <v>0</v>
      </c>
      <c r="S129" s="45">
        <f t="shared" si="11"/>
        <v>0</v>
      </c>
      <c r="T129" s="45">
        <f>Table3[[#This Row],[Verzekerde Waarde]]-Table3[[#This Row],[Mutaties]]</f>
        <v>0</v>
      </c>
      <c r="U129" s="45">
        <f t="shared" si="10"/>
        <v>0</v>
      </c>
      <c r="V129" s="41"/>
      <c r="W129" s="45">
        <f>X129+SUMIF(Table4[Subnummer],Table3[[#This Row],[Sub]],Table4[Som mutaties])</f>
        <v>0</v>
      </c>
      <c r="X129" s="46"/>
      <c r="Y129" s="41"/>
    </row>
    <row r="130" spans="1:25" ht="14.4" hidden="1" x14ac:dyDescent="0.3">
      <c r="A130" s="86"/>
      <c r="B130" s="42">
        <f>_xlfn.XLOOKUP(Table3[[#This Row],[Verzekerde]],Relatie,fin_sub)</f>
        <v>0</v>
      </c>
      <c r="C130" s="87">
        <v>124</v>
      </c>
      <c r="D130" s="41" t="s">
        <v>7</v>
      </c>
      <c r="E130" s="41"/>
      <c r="F130" s="43"/>
      <c r="G130" s="43"/>
      <c r="H130" s="43" t="s">
        <v>7</v>
      </c>
      <c r="I130" s="43" t="s">
        <v>7</v>
      </c>
      <c r="J130" s="127"/>
      <c r="K130" s="127"/>
      <c r="L130" s="127"/>
      <c r="M130" s="127"/>
      <c r="N130" s="127"/>
      <c r="O130" s="41"/>
      <c r="P130" s="41"/>
      <c r="Q130" s="41"/>
      <c r="R130" s="44">
        <v>0</v>
      </c>
      <c r="S130" s="45">
        <f t="shared" si="11"/>
        <v>0</v>
      </c>
      <c r="T130" s="45">
        <f>Table3[[#This Row],[Verzekerde Waarde]]-Table3[[#This Row],[Mutaties]]</f>
        <v>0</v>
      </c>
      <c r="U130" s="45">
        <f t="shared" si="10"/>
        <v>0</v>
      </c>
      <c r="V130" s="41"/>
      <c r="W130" s="45">
        <f>X130+SUMIF(Table4[Subnummer],Table3[[#This Row],[Sub]],Table4[Som mutaties])</f>
        <v>0</v>
      </c>
      <c r="X130" s="46"/>
      <c r="Y130" s="41"/>
    </row>
    <row r="131" spans="1:25" ht="14.4" hidden="1" x14ac:dyDescent="0.3">
      <c r="A131" s="86"/>
      <c r="B131" s="42">
        <f>_xlfn.XLOOKUP(Table3[[#This Row],[Verzekerde]],Relatie,fin_sub)</f>
        <v>0</v>
      </c>
      <c r="C131" s="87">
        <v>125</v>
      </c>
      <c r="D131" s="41" t="s">
        <v>7</v>
      </c>
      <c r="E131" s="41"/>
      <c r="F131" s="43"/>
      <c r="G131" s="43"/>
      <c r="H131" s="43" t="s">
        <v>7</v>
      </c>
      <c r="I131" s="43" t="s">
        <v>7</v>
      </c>
      <c r="J131" s="127"/>
      <c r="K131" s="127"/>
      <c r="L131" s="127"/>
      <c r="M131" s="127"/>
      <c r="N131" s="127"/>
      <c r="O131" s="41"/>
      <c r="P131" s="41"/>
      <c r="Q131" s="41"/>
      <c r="R131" s="44">
        <v>0</v>
      </c>
      <c r="S131" s="45">
        <f t="shared" si="11"/>
        <v>0</v>
      </c>
      <c r="T131" s="45">
        <f>Table3[[#This Row],[Verzekerde Waarde]]-Table3[[#This Row],[Mutaties]]</f>
        <v>0</v>
      </c>
      <c r="U131" s="45">
        <f t="shared" si="10"/>
        <v>0</v>
      </c>
      <c r="V131" s="41"/>
      <c r="W131" s="45">
        <f>X131+SUMIF(Table4[Subnummer],Table3[[#This Row],[Sub]],Table4[Som mutaties])</f>
        <v>0</v>
      </c>
      <c r="X131" s="46"/>
      <c r="Y131" s="41"/>
    </row>
    <row r="132" spans="1:25" ht="14.4" hidden="1" x14ac:dyDescent="0.3">
      <c r="A132" s="86"/>
      <c r="B132" s="42">
        <f>_xlfn.XLOOKUP(Table3[[#This Row],[Verzekerde]],Relatie,fin_sub)</f>
        <v>0</v>
      </c>
      <c r="C132" s="87">
        <v>126</v>
      </c>
      <c r="D132" s="41" t="s">
        <v>7</v>
      </c>
      <c r="E132" s="41"/>
      <c r="F132" s="43"/>
      <c r="G132" s="43"/>
      <c r="H132" s="43" t="s">
        <v>7</v>
      </c>
      <c r="I132" s="43" t="s">
        <v>7</v>
      </c>
      <c r="J132" s="127"/>
      <c r="K132" s="127"/>
      <c r="L132" s="127"/>
      <c r="M132" s="127"/>
      <c r="N132" s="127"/>
      <c r="O132" s="41"/>
      <c r="P132" s="41"/>
      <c r="Q132" s="41"/>
      <c r="R132" s="44">
        <v>0</v>
      </c>
      <c r="S132" s="45">
        <f t="shared" si="11"/>
        <v>0</v>
      </c>
      <c r="T132" s="45">
        <f>Table3[[#This Row],[Verzekerde Waarde]]-Table3[[#This Row],[Mutaties]]</f>
        <v>0</v>
      </c>
      <c r="U132" s="45">
        <f t="shared" si="10"/>
        <v>0</v>
      </c>
      <c r="V132" s="41"/>
      <c r="W132" s="45">
        <f>X132+SUMIF(Table4[Subnummer],Table3[[#This Row],[Sub]],Table4[Som mutaties])</f>
        <v>0</v>
      </c>
      <c r="X132" s="46"/>
      <c r="Y132" s="41"/>
    </row>
    <row r="133" spans="1:25" ht="14.4" hidden="1" x14ac:dyDescent="0.3">
      <c r="A133" s="86"/>
      <c r="B133" s="42">
        <f>_xlfn.XLOOKUP(Table3[[#This Row],[Verzekerde]],Relatie,fin_sub)</f>
        <v>0</v>
      </c>
      <c r="C133" s="87">
        <v>127</v>
      </c>
      <c r="D133" s="41" t="s">
        <v>7</v>
      </c>
      <c r="E133" s="41"/>
      <c r="F133" s="43"/>
      <c r="G133" s="43"/>
      <c r="H133" s="43" t="s">
        <v>7</v>
      </c>
      <c r="I133" s="43" t="s">
        <v>7</v>
      </c>
      <c r="J133" s="127"/>
      <c r="K133" s="127"/>
      <c r="L133" s="127"/>
      <c r="M133" s="127"/>
      <c r="N133" s="127"/>
      <c r="O133" s="41"/>
      <c r="P133" s="41"/>
      <c r="Q133" s="41"/>
      <c r="R133" s="44">
        <v>0</v>
      </c>
      <c r="S133" s="45">
        <f t="shared" si="11"/>
        <v>0</v>
      </c>
      <c r="T133" s="45">
        <f>Table3[[#This Row],[Verzekerde Waarde]]-Table3[[#This Row],[Mutaties]]</f>
        <v>0</v>
      </c>
      <c r="U133" s="45">
        <f t="shared" ref="U133:U196" si="12">IF(V133=Y133,W133,ROUNDUP(W133/Y133*V133,-3))</f>
        <v>0</v>
      </c>
      <c r="V133" s="41"/>
      <c r="W133" s="45">
        <f>X133+SUMIF(Table4[Subnummer],Table3[[#This Row],[Sub]],Table4[Som mutaties])</f>
        <v>0</v>
      </c>
      <c r="X133" s="46"/>
      <c r="Y133" s="41"/>
    </row>
    <row r="134" spans="1:25" ht="14.4" hidden="1" x14ac:dyDescent="0.3">
      <c r="A134" s="86"/>
      <c r="B134" s="42">
        <f>_xlfn.XLOOKUP(Table3[[#This Row],[Verzekerde]],Relatie,fin_sub)</f>
        <v>0</v>
      </c>
      <c r="C134" s="87">
        <v>128</v>
      </c>
      <c r="D134" s="41" t="s">
        <v>7</v>
      </c>
      <c r="E134" s="41"/>
      <c r="F134" s="43"/>
      <c r="G134" s="43"/>
      <c r="H134" s="43" t="s">
        <v>7</v>
      </c>
      <c r="I134" s="43" t="s">
        <v>7</v>
      </c>
      <c r="J134" s="127"/>
      <c r="K134" s="127"/>
      <c r="L134" s="127"/>
      <c r="M134" s="127"/>
      <c r="N134" s="127"/>
      <c r="O134" s="41"/>
      <c r="P134" s="41"/>
      <c r="Q134" s="41"/>
      <c r="R134" s="44">
        <v>0</v>
      </c>
      <c r="S134" s="45">
        <f t="shared" si="11"/>
        <v>0</v>
      </c>
      <c r="T134" s="45">
        <f>Table3[[#This Row],[Verzekerde Waarde]]-Table3[[#This Row],[Mutaties]]</f>
        <v>0</v>
      </c>
      <c r="U134" s="45">
        <f t="shared" si="12"/>
        <v>0</v>
      </c>
      <c r="V134" s="41"/>
      <c r="W134" s="45">
        <f>X134+SUMIF(Table4[Subnummer],Table3[[#This Row],[Sub]],Table4[Som mutaties])</f>
        <v>0</v>
      </c>
      <c r="X134" s="46"/>
      <c r="Y134" s="41"/>
    </row>
    <row r="135" spans="1:25" ht="14.4" hidden="1" x14ac:dyDescent="0.3">
      <c r="A135" s="86"/>
      <c r="B135" s="42">
        <f>_xlfn.XLOOKUP(Table3[[#This Row],[Verzekerde]],Relatie,fin_sub)</f>
        <v>0</v>
      </c>
      <c r="C135" s="87">
        <v>129</v>
      </c>
      <c r="D135" s="41" t="s">
        <v>7</v>
      </c>
      <c r="E135" s="41"/>
      <c r="F135" s="43"/>
      <c r="G135" s="43"/>
      <c r="H135" s="43" t="s">
        <v>7</v>
      </c>
      <c r="I135" s="43" t="s">
        <v>7</v>
      </c>
      <c r="J135" s="127"/>
      <c r="K135" s="127"/>
      <c r="L135" s="127"/>
      <c r="M135" s="127"/>
      <c r="N135" s="127"/>
      <c r="O135" s="41"/>
      <c r="P135" s="41"/>
      <c r="Q135" s="41"/>
      <c r="R135" s="44">
        <v>0</v>
      </c>
      <c r="S135" s="45">
        <f t="shared" si="11"/>
        <v>0</v>
      </c>
      <c r="T135" s="45">
        <f>Table3[[#This Row],[Verzekerde Waarde]]-Table3[[#This Row],[Mutaties]]</f>
        <v>0</v>
      </c>
      <c r="U135" s="45">
        <f t="shared" si="12"/>
        <v>0</v>
      </c>
      <c r="V135" s="41"/>
      <c r="W135" s="45">
        <f>X135+SUMIF(Table4[Subnummer],Table3[[#This Row],[Sub]],Table4[Som mutaties])</f>
        <v>0</v>
      </c>
      <c r="X135" s="46"/>
      <c r="Y135" s="41"/>
    </row>
    <row r="136" spans="1:25" ht="14.4" hidden="1" x14ac:dyDescent="0.3">
      <c r="A136" s="86"/>
      <c r="B136" s="42">
        <f>_xlfn.XLOOKUP(Table3[[#This Row],[Verzekerde]],Relatie,fin_sub)</f>
        <v>0</v>
      </c>
      <c r="C136" s="87">
        <v>130</v>
      </c>
      <c r="D136" s="41" t="s">
        <v>7</v>
      </c>
      <c r="E136" s="41"/>
      <c r="F136" s="43"/>
      <c r="G136" s="43"/>
      <c r="H136" s="43" t="s">
        <v>7</v>
      </c>
      <c r="I136" s="43" t="s">
        <v>7</v>
      </c>
      <c r="J136" s="127"/>
      <c r="K136" s="127"/>
      <c r="L136" s="127"/>
      <c r="M136" s="127"/>
      <c r="N136" s="127"/>
      <c r="O136" s="41"/>
      <c r="P136" s="41"/>
      <c r="Q136" s="41"/>
      <c r="R136" s="44">
        <v>0</v>
      </c>
      <c r="S136" s="45">
        <f t="shared" si="11"/>
        <v>0</v>
      </c>
      <c r="T136" s="45">
        <f>Table3[[#This Row],[Verzekerde Waarde]]-Table3[[#This Row],[Mutaties]]</f>
        <v>0</v>
      </c>
      <c r="U136" s="45">
        <f t="shared" si="12"/>
        <v>0</v>
      </c>
      <c r="V136" s="41"/>
      <c r="W136" s="45">
        <f>X136+SUMIF(Table4[Subnummer],Table3[[#This Row],[Sub]],Table4[Som mutaties])</f>
        <v>0</v>
      </c>
      <c r="X136" s="46"/>
      <c r="Y136" s="41"/>
    </row>
    <row r="137" spans="1:25" ht="14.4" hidden="1" x14ac:dyDescent="0.3">
      <c r="A137" s="86"/>
      <c r="B137" s="42">
        <f>_xlfn.XLOOKUP(Table3[[#This Row],[Verzekerde]],Relatie,fin_sub)</f>
        <v>0</v>
      </c>
      <c r="C137" s="87">
        <v>131</v>
      </c>
      <c r="D137" s="41" t="s">
        <v>7</v>
      </c>
      <c r="E137" s="41"/>
      <c r="F137" s="43"/>
      <c r="G137" s="43"/>
      <c r="H137" s="43" t="s">
        <v>7</v>
      </c>
      <c r="I137" s="43" t="s">
        <v>7</v>
      </c>
      <c r="J137" s="127"/>
      <c r="K137" s="127"/>
      <c r="L137" s="127"/>
      <c r="M137" s="127"/>
      <c r="N137" s="127"/>
      <c r="O137" s="41"/>
      <c r="P137" s="41"/>
      <c r="Q137" s="41"/>
      <c r="R137" s="44">
        <v>0</v>
      </c>
      <c r="S137" s="45">
        <f t="shared" si="11"/>
        <v>0</v>
      </c>
      <c r="T137" s="45">
        <f>Table3[[#This Row],[Verzekerde Waarde]]-Table3[[#This Row],[Mutaties]]</f>
        <v>0</v>
      </c>
      <c r="U137" s="45">
        <f t="shared" si="12"/>
        <v>0</v>
      </c>
      <c r="V137" s="41"/>
      <c r="W137" s="45">
        <f>X137+SUMIF(Table4[Subnummer],Table3[[#This Row],[Sub]],Table4[Som mutaties])</f>
        <v>0</v>
      </c>
      <c r="X137" s="46"/>
      <c r="Y137" s="41"/>
    </row>
    <row r="138" spans="1:25" ht="14.4" hidden="1" x14ac:dyDescent="0.3">
      <c r="A138" s="86"/>
      <c r="B138" s="42">
        <f>_xlfn.XLOOKUP(Table3[[#This Row],[Verzekerde]],Relatie,fin_sub)</f>
        <v>0</v>
      </c>
      <c r="C138" s="87">
        <v>132</v>
      </c>
      <c r="D138" s="41" t="s">
        <v>7</v>
      </c>
      <c r="E138" s="41"/>
      <c r="F138" s="43"/>
      <c r="G138" s="43"/>
      <c r="H138" s="43" t="s">
        <v>7</v>
      </c>
      <c r="I138" s="43" t="s">
        <v>7</v>
      </c>
      <c r="J138" s="127"/>
      <c r="K138" s="127"/>
      <c r="L138" s="127"/>
      <c r="M138" s="127"/>
      <c r="N138" s="127"/>
      <c r="O138" s="41"/>
      <c r="P138" s="41"/>
      <c r="Q138" s="41"/>
      <c r="R138" s="44">
        <v>0</v>
      </c>
      <c r="S138" s="45">
        <f t="shared" si="11"/>
        <v>0</v>
      </c>
      <c r="T138" s="45">
        <f>Table3[[#This Row],[Verzekerde Waarde]]-Table3[[#This Row],[Mutaties]]</f>
        <v>0</v>
      </c>
      <c r="U138" s="45">
        <f t="shared" si="12"/>
        <v>0</v>
      </c>
      <c r="V138" s="41"/>
      <c r="W138" s="45">
        <f>X138+SUMIF(Table4[Subnummer],Table3[[#This Row],[Sub]],Table4[Som mutaties])</f>
        <v>0</v>
      </c>
      <c r="X138" s="46"/>
      <c r="Y138" s="41"/>
    </row>
    <row r="139" spans="1:25" ht="14.4" hidden="1" x14ac:dyDescent="0.3">
      <c r="A139" s="86"/>
      <c r="B139" s="42">
        <f>_xlfn.XLOOKUP(Table3[[#This Row],[Verzekerde]],Relatie,fin_sub)</f>
        <v>0</v>
      </c>
      <c r="C139" s="87">
        <v>133</v>
      </c>
      <c r="D139" s="41" t="s">
        <v>7</v>
      </c>
      <c r="E139" s="41"/>
      <c r="F139" s="43"/>
      <c r="G139" s="43"/>
      <c r="H139" s="43" t="s">
        <v>7</v>
      </c>
      <c r="I139" s="43" t="s">
        <v>7</v>
      </c>
      <c r="J139" s="127"/>
      <c r="K139" s="127"/>
      <c r="L139" s="127"/>
      <c r="M139" s="127"/>
      <c r="N139" s="127"/>
      <c r="O139" s="41"/>
      <c r="P139" s="41"/>
      <c r="Q139" s="41"/>
      <c r="R139" s="44">
        <v>0</v>
      </c>
      <c r="S139" s="45">
        <f t="shared" si="11"/>
        <v>0</v>
      </c>
      <c r="T139" s="45">
        <f>Table3[[#This Row],[Verzekerde Waarde]]-Table3[[#This Row],[Mutaties]]</f>
        <v>0</v>
      </c>
      <c r="U139" s="45">
        <f t="shared" si="12"/>
        <v>0</v>
      </c>
      <c r="V139" s="41"/>
      <c r="W139" s="45">
        <f>X139+SUMIF(Table4[Subnummer],Table3[[#This Row],[Sub]],Table4[Som mutaties])</f>
        <v>0</v>
      </c>
      <c r="X139" s="46"/>
      <c r="Y139" s="41"/>
    </row>
    <row r="140" spans="1:25" ht="14.4" hidden="1" x14ac:dyDescent="0.3">
      <c r="A140" s="86"/>
      <c r="B140" s="42">
        <f>_xlfn.XLOOKUP(Table3[[#This Row],[Verzekerde]],Relatie,fin_sub)</f>
        <v>0</v>
      </c>
      <c r="C140" s="87">
        <v>134</v>
      </c>
      <c r="D140" s="41" t="s">
        <v>7</v>
      </c>
      <c r="E140" s="41"/>
      <c r="F140" s="43"/>
      <c r="G140" s="43"/>
      <c r="H140" s="43" t="s">
        <v>7</v>
      </c>
      <c r="I140" s="43" t="s">
        <v>7</v>
      </c>
      <c r="J140" s="127"/>
      <c r="K140" s="127"/>
      <c r="L140" s="127"/>
      <c r="M140" s="127"/>
      <c r="N140" s="127"/>
      <c r="O140" s="41"/>
      <c r="P140" s="41"/>
      <c r="Q140" s="41"/>
      <c r="R140" s="44">
        <v>0</v>
      </c>
      <c r="S140" s="45">
        <f t="shared" si="11"/>
        <v>0</v>
      </c>
      <c r="T140" s="45">
        <f>Table3[[#This Row],[Verzekerde Waarde]]-Table3[[#This Row],[Mutaties]]</f>
        <v>0</v>
      </c>
      <c r="U140" s="45">
        <f t="shared" si="12"/>
        <v>0</v>
      </c>
      <c r="V140" s="41"/>
      <c r="W140" s="45">
        <f>X140+SUMIF(Table4[Subnummer],Table3[[#This Row],[Sub]],Table4[Som mutaties])</f>
        <v>0</v>
      </c>
      <c r="X140" s="46"/>
      <c r="Y140" s="41"/>
    </row>
    <row r="141" spans="1:25" ht="14.4" hidden="1" x14ac:dyDescent="0.3">
      <c r="A141" s="86"/>
      <c r="B141" s="42">
        <f>_xlfn.XLOOKUP(Table3[[#This Row],[Verzekerde]],Relatie,fin_sub)</f>
        <v>0</v>
      </c>
      <c r="C141" s="87">
        <v>135</v>
      </c>
      <c r="D141" s="41" t="s">
        <v>7</v>
      </c>
      <c r="E141" s="41"/>
      <c r="F141" s="43"/>
      <c r="G141" s="43"/>
      <c r="H141" s="43" t="s">
        <v>7</v>
      </c>
      <c r="I141" s="43" t="s">
        <v>7</v>
      </c>
      <c r="J141" s="127"/>
      <c r="K141" s="127"/>
      <c r="L141" s="127"/>
      <c r="M141" s="127"/>
      <c r="N141" s="127"/>
      <c r="O141" s="41"/>
      <c r="P141" s="41"/>
      <c r="Q141" s="41"/>
      <c r="R141" s="44">
        <v>0</v>
      </c>
      <c r="S141" s="45">
        <f t="shared" si="11"/>
        <v>0</v>
      </c>
      <c r="T141" s="45">
        <f>Table3[[#This Row],[Verzekerde Waarde]]-Table3[[#This Row],[Mutaties]]</f>
        <v>0</v>
      </c>
      <c r="U141" s="45">
        <f t="shared" si="12"/>
        <v>0</v>
      </c>
      <c r="V141" s="41"/>
      <c r="W141" s="45">
        <f>X141+SUMIF(Table4[Subnummer],Table3[[#This Row],[Sub]],Table4[Som mutaties])</f>
        <v>0</v>
      </c>
      <c r="X141" s="46"/>
      <c r="Y141" s="41"/>
    </row>
    <row r="142" spans="1:25" ht="14.4" hidden="1" x14ac:dyDescent="0.3">
      <c r="A142" s="86"/>
      <c r="B142" s="42">
        <f>_xlfn.XLOOKUP(Table3[[#This Row],[Verzekerde]],Relatie,fin_sub)</f>
        <v>0</v>
      </c>
      <c r="C142" s="87">
        <v>136</v>
      </c>
      <c r="D142" s="41" t="s">
        <v>7</v>
      </c>
      <c r="E142" s="41"/>
      <c r="F142" s="43"/>
      <c r="G142" s="43"/>
      <c r="H142" s="43" t="s">
        <v>7</v>
      </c>
      <c r="I142" s="43" t="s">
        <v>7</v>
      </c>
      <c r="J142" s="127"/>
      <c r="K142" s="127"/>
      <c r="L142" s="127"/>
      <c r="M142" s="127"/>
      <c r="N142" s="127"/>
      <c r="O142" s="41"/>
      <c r="P142" s="41"/>
      <c r="Q142" s="41"/>
      <c r="R142" s="44">
        <v>0</v>
      </c>
      <c r="S142" s="45">
        <f t="shared" si="11"/>
        <v>0</v>
      </c>
      <c r="T142" s="45">
        <f>Table3[[#This Row],[Verzekerde Waarde]]-Table3[[#This Row],[Mutaties]]</f>
        <v>0</v>
      </c>
      <c r="U142" s="45">
        <f t="shared" si="12"/>
        <v>0</v>
      </c>
      <c r="V142" s="41"/>
      <c r="W142" s="45">
        <f>X142+SUMIF(Table4[Subnummer],Table3[[#This Row],[Sub]],Table4[Som mutaties])</f>
        <v>0</v>
      </c>
      <c r="X142" s="46"/>
      <c r="Y142" s="41"/>
    </row>
    <row r="143" spans="1:25" ht="14.4" hidden="1" x14ac:dyDescent="0.3">
      <c r="A143" s="86"/>
      <c r="B143" s="42">
        <f>_xlfn.XLOOKUP(Table3[[#This Row],[Verzekerde]],Relatie,fin_sub)</f>
        <v>0</v>
      </c>
      <c r="C143" s="87">
        <v>137</v>
      </c>
      <c r="D143" s="41" t="s">
        <v>7</v>
      </c>
      <c r="E143" s="41"/>
      <c r="F143" s="43"/>
      <c r="G143" s="43"/>
      <c r="H143" s="43" t="s">
        <v>7</v>
      </c>
      <c r="I143" s="43" t="s">
        <v>7</v>
      </c>
      <c r="J143" s="127"/>
      <c r="K143" s="127"/>
      <c r="L143" s="127"/>
      <c r="M143" s="127"/>
      <c r="N143" s="127"/>
      <c r="O143" s="41"/>
      <c r="P143" s="41"/>
      <c r="Q143" s="41"/>
      <c r="R143" s="44">
        <v>0</v>
      </c>
      <c r="S143" s="45">
        <f t="shared" si="11"/>
        <v>0</v>
      </c>
      <c r="T143" s="45">
        <f>Table3[[#This Row],[Verzekerde Waarde]]-Table3[[#This Row],[Mutaties]]</f>
        <v>0</v>
      </c>
      <c r="U143" s="45">
        <f t="shared" si="12"/>
        <v>0</v>
      </c>
      <c r="V143" s="41"/>
      <c r="W143" s="45">
        <f>X143+SUMIF(Table4[Subnummer],Table3[[#This Row],[Sub]],Table4[Som mutaties])</f>
        <v>0</v>
      </c>
      <c r="X143" s="46"/>
      <c r="Y143" s="41"/>
    </row>
    <row r="144" spans="1:25" ht="14.4" hidden="1" x14ac:dyDescent="0.3">
      <c r="A144" s="86"/>
      <c r="B144" s="42">
        <f>_xlfn.XLOOKUP(Table3[[#This Row],[Verzekerde]],Relatie,fin_sub)</f>
        <v>0</v>
      </c>
      <c r="C144" s="87">
        <v>138</v>
      </c>
      <c r="D144" s="41" t="s">
        <v>7</v>
      </c>
      <c r="E144" s="41"/>
      <c r="F144" s="43"/>
      <c r="G144" s="43"/>
      <c r="H144" s="43" t="s">
        <v>7</v>
      </c>
      <c r="I144" s="43" t="s">
        <v>7</v>
      </c>
      <c r="J144" s="127"/>
      <c r="K144" s="127"/>
      <c r="L144" s="127"/>
      <c r="M144" s="127"/>
      <c r="N144" s="127"/>
      <c r="O144" s="41"/>
      <c r="P144" s="41"/>
      <c r="Q144" s="41"/>
      <c r="R144" s="44">
        <v>0</v>
      </c>
      <c r="S144" s="45">
        <f t="shared" si="11"/>
        <v>0</v>
      </c>
      <c r="T144" s="45">
        <f>Table3[[#This Row],[Verzekerde Waarde]]-Table3[[#This Row],[Mutaties]]</f>
        <v>0</v>
      </c>
      <c r="U144" s="45">
        <f t="shared" si="12"/>
        <v>0</v>
      </c>
      <c r="V144" s="41"/>
      <c r="W144" s="45">
        <f>X144+SUMIF(Table4[Subnummer],Table3[[#This Row],[Sub]],Table4[Som mutaties])</f>
        <v>0</v>
      </c>
      <c r="X144" s="46"/>
      <c r="Y144" s="41"/>
    </row>
    <row r="145" spans="1:25" ht="14.4" hidden="1" x14ac:dyDescent="0.3">
      <c r="A145" s="86"/>
      <c r="B145" s="42">
        <f>_xlfn.XLOOKUP(Table3[[#This Row],[Verzekerde]],Relatie,fin_sub)</f>
        <v>0</v>
      </c>
      <c r="C145" s="87">
        <v>139</v>
      </c>
      <c r="D145" s="41" t="s">
        <v>7</v>
      </c>
      <c r="E145" s="41"/>
      <c r="F145" s="43"/>
      <c r="G145" s="43"/>
      <c r="H145" s="43" t="s">
        <v>7</v>
      </c>
      <c r="I145" s="43" t="s">
        <v>7</v>
      </c>
      <c r="J145" s="127"/>
      <c r="K145" s="127"/>
      <c r="L145" s="127"/>
      <c r="M145" s="127"/>
      <c r="N145" s="127"/>
      <c r="O145" s="41"/>
      <c r="P145" s="41"/>
      <c r="Q145" s="41"/>
      <c r="R145" s="44">
        <v>0</v>
      </c>
      <c r="S145" s="45">
        <f t="shared" si="11"/>
        <v>0</v>
      </c>
      <c r="T145" s="45">
        <f>Table3[[#This Row],[Verzekerde Waarde]]-Table3[[#This Row],[Mutaties]]</f>
        <v>0</v>
      </c>
      <c r="U145" s="45">
        <f t="shared" si="12"/>
        <v>0</v>
      </c>
      <c r="V145" s="41"/>
      <c r="W145" s="45">
        <f>X145+SUMIF(Table4[Subnummer],Table3[[#This Row],[Sub]],Table4[Som mutaties])</f>
        <v>0</v>
      </c>
      <c r="X145" s="46"/>
      <c r="Y145" s="41"/>
    </row>
    <row r="146" spans="1:25" ht="14.4" hidden="1" x14ac:dyDescent="0.3">
      <c r="A146" s="86"/>
      <c r="B146" s="42">
        <f>_xlfn.XLOOKUP(Table3[[#This Row],[Verzekerde]],Relatie,fin_sub)</f>
        <v>0</v>
      </c>
      <c r="C146" s="87">
        <v>140</v>
      </c>
      <c r="D146" s="41" t="s">
        <v>7</v>
      </c>
      <c r="E146" s="41"/>
      <c r="F146" s="43"/>
      <c r="G146" s="43"/>
      <c r="H146" s="43" t="s">
        <v>7</v>
      </c>
      <c r="I146" s="43" t="s">
        <v>7</v>
      </c>
      <c r="J146" s="127"/>
      <c r="K146" s="127"/>
      <c r="L146" s="127"/>
      <c r="M146" s="127"/>
      <c r="N146" s="127"/>
      <c r="O146" s="41"/>
      <c r="P146" s="41"/>
      <c r="Q146" s="41"/>
      <c r="R146" s="44">
        <v>0</v>
      </c>
      <c r="S146" s="45">
        <f t="shared" si="11"/>
        <v>0</v>
      </c>
      <c r="T146" s="45">
        <f>Table3[[#This Row],[Verzekerde Waarde]]-Table3[[#This Row],[Mutaties]]</f>
        <v>0</v>
      </c>
      <c r="U146" s="45">
        <f t="shared" si="12"/>
        <v>0</v>
      </c>
      <c r="V146" s="41"/>
      <c r="W146" s="45">
        <f>X146+SUMIF(Table4[Subnummer],Table3[[#This Row],[Sub]],Table4[Som mutaties])</f>
        <v>0</v>
      </c>
      <c r="X146" s="46"/>
      <c r="Y146" s="41"/>
    </row>
    <row r="147" spans="1:25" ht="14.4" hidden="1" x14ac:dyDescent="0.3">
      <c r="A147" s="86"/>
      <c r="B147" s="42">
        <f>_xlfn.XLOOKUP(Table3[[#This Row],[Verzekerde]],Relatie,fin_sub)</f>
        <v>0</v>
      </c>
      <c r="C147" s="87">
        <v>141</v>
      </c>
      <c r="D147" s="41" t="s">
        <v>7</v>
      </c>
      <c r="E147" s="41"/>
      <c r="F147" s="43"/>
      <c r="G147" s="43"/>
      <c r="H147" s="43" t="s">
        <v>7</v>
      </c>
      <c r="I147" s="43" t="s">
        <v>7</v>
      </c>
      <c r="J147" s="127"/>
      <c r="K147" s="127"/>
      <c r="L147" s="127"/>
      <c r="M147" s="127"/>
      <c r="N147" s="127"/>
      <c r="O147" s="41"/>
      <c r="P147" s="41"/>
      <c r="Q147" s="41"/>
      <c r="R147" s="44">
        <v>0</v>
      </c>
      <c r="S147" s="45">
        <f t="shared" si="11"/>
        <v>0</v>
      </c>
      <c r="T147" s="45">
        <f>Table3[[#This Row],[Verzekerde Waarde]]-Table3[[#This Row],[Mutaties]]</f>
        <v>0</v>
      </c>
      <c r="U147" s="45">
        <f t="shared" si="12"/>
        <v>0</v>
      </c>
      <c r="V147" s="41"/>
      <c r="W147" s="45">
        <f>X147+SUMIF(Table4[Subnummer],Table3[[#This Row],[Sub]],Table4[Som mutaties])</f>
        <v>0</v>
      </c>
      <c r="X147" s="46"/>
      <c r="Y147" s="41"/>
    </row>
    <row r="148" spans="1:25" ht="14.4" hidden="1" x14ac:dyDescent="0.3">
      <c r="A148" s="86"/>
      <c r="B148" s="42">
        <f>_xlfn.XLOOKUP(Table3[[#This Row],[Verzekerde]],Relatie,fin_sub)</f>
        <v>0</v>
      </c>
      <c r="C148" s="87">
        <v>142</v>
      </c>
      <c r="D148" s="41" t="s">
        <v>7</v>
      </c>
      <c r="E148" s="41"/>
      <c r="F148" s="43"/>
      <c r="G148" s="43"/>
      <c r="H148" s="43" t="s">
        <v>7</v>
      </c>
      <c r="I148" s="43" t="s">
        <v>7</v>
      </c>
      <c r="J148" s="127"/>
      <c r="K148" s="127"/>
      <c r="L148" s="127"/>
      <c r="M148" s="127"/>
      <c r="N148" s="127"/>
      <c r="O148" s="41"/>
      <c r="P148" s="41"/>
      <c r="Q148" s="41"/>
      <c r="R148" s="44">
        <v>0</v>
      </c>
      <c r="S148" s="45">
        <f t="shared" si="11"/>
        <v>0</v>
      </c>
      <c r="T148" s="45">
        <f>Table3[[#This Row],[Verzekerde Waarde]]-Table3[[#This Row],[Mutaties]]</f>
        <v>0</v>
      </c>
      <c r="U148" s="45">
        <f t="shared" si="12"/>
        <v>0</v>
      </c>
      <c r="V148" s="41"/>
      <c r="W148" s="45">
        <f>X148+SUMIF(Table4[Subnummer],Table3[[#This Row],[Sub]],Table4[Som mutaties])</f>
        <v>0</v>
      </c>
      <c r="X148" s="46"/>
      <c r="Y148" s="41"/>
    </row>
    <row r="149" spans="1:25" ht="14.4" hidden="1" x14ac:dyDescent="0.3">
      <c r="A149" s="86"/>
      <c r="B149" s="42">
        <f>_xlfn.XLOOKUP(Table3[[#This Row],[Verzekerde]],Relatie,fin_sub)</f>
        <v>0</v>
      </c>
      <c r="C149" s="87">
        <v>143</v>
      </c>
      <c r="D149" s="41" t="s">
        <v>7</v>
      </c>
      <c r="E149" s="41"/>
      <c r="F149" s="43"/>
      <c r="G149" s="43"/>
      <c r="H149" s="43" t="s">
        <v>7</v>
      </c>
      <c r="I149" s="43" t="s">
        <v>7</v>
      </c>
      <c r="J149" s="127"/>
      <c r="K149" s="127"/>
      <c r="L149" s="127"/>
      <c r="M149" s="127"/>
      <c r="N149" s="127"/>
      <c r="O149" s="41"/>
      <c r="P149" s="41"/>
      <c r="Q149" s="41"/>
      <c r="R149" s="44">
        <v>0</v>
      </c>
      <c r="S149" s="45">
        <f t="shared" si="11"/>
        <v>0</v>
      </c>
      <c r="T149" s="45">
        <f>Table3[[#This Row],[Verzekerde Waarde]]-Table3[[#This Row],[Mutaties]]</f>
        <v>0</v>
      </c>
      <c r="U149" s="45">
        <f t="shared" si="12"/>
        <v>0</v>
      </c>
      <c r="V149" s="41"/>
      <c r="W149" s="45">
        <f>X149+SUMIF(Table4[Subnummer],Table3[[#This Row],[Sub]],Table4[Som mutaties])</f>
        <v>0</v>
      </c>
      <c r="X149" s="46"/>
      <c r="Y149" s="41"/>
    </row>
    <row r="150" spans="1:25" ht="14.4" hidden="1" x14ac:dyDescent="0.3">
      <c r="A150" s="86"/>
      <c r="B150" s="42">
        <f>_xlfn.XLOOKUP(Table3[[#This Row],[Verzekerde]],Relatie,fin_sub)</f>
        <v>0</v>
      </c>
      <c r="C150" s="87">
        <v>144</v>
      </c>
      <c r="D150" s="41" t="s">
        <v>7</v>
      </c>
      <c r="E150" s="41"/>
      <c r="F150" s="43"/>
      <c r="G150" s="43"/>
      <c r="H150" s="43" t="s">
        <v>7</v>
      </c>
      <c r="I150" s="43" t="s">
        <v>7</v>
      </c>
      <c r="J150" s="127"/>
      <c r="K150" s="127"/>
      <c r="L150" s="127"/>
      <c r="M150" s="127"/>
      <c r="N150" s="127"/>
      <c r="O150" s="41"/>
      <c r="P150" s="41"/>
      <c r="Q150" s="41"/>
      <c r="R150" s="44">
        <v>0</v>
      </c>
      <c r="S150" s="45">
        <f t="shared" si="11"/>
        <v>0</v>
      </c>
      <c r="T150" s="45">
        <f>Table3[[#This Row],[Verzekerde Waarde]]-Table3[[#This Row],[Mutaties]]</f>
        <v>0</v>
      </c>
      <c r="U150" s="45">
        <f t="shared" si="12"/>
        <v>0</v>
      </c>
      <c r="V150" s="41"/>
      <c r="W150" s="45">
        <f>X150+SUMIF(Table4[Subnummer],Table3[[#This Row],[Sub]],Table4[Som mutaties])</f>
        <v>0</v>
      </c>
      <c r="X150" s="46"/>
      <c r="Y150" s="41"/>
    </row>
    <row r="151" spans="1:25" ht="14.4" hidden="1" x14ac:dyDescent="0.3">
      <c r="A151" s="86"/>
      <c r="B151" s="42">
        <f>_xlfn.XLOOKUP(Table3[[#This Row],[Verzekerde]],Relatie,fin_sub)</f>
        <v>0</v>
      </c>
      <c r="C151" s="87">
        <v>145</v>
      </c>
      <c r="D151" s="41" t="s">
        <v>7</v>
      </c>
      <c r="E151" s="41"/>
      <c r="F151" s="43"/>
      <c r="G151" s="43"/>
      <c r="H151" s="43" t="s">
        <v>7</v>
      </c>
      <c r="I151" s="43" t="s">
        <v>7</v>
      </c>
      <c r="J151" s="127"/>
      <c r="K151" s="127"/>
      <c r="L151" s="127"/>
      <c r="M151" s="127"/>
      <c r="N151" s="127"/>
      <c r="O151" s="41"/>
      <c r="P151" s="41"/>
      <c r="Q151" s="41"/>
      <c r="R151" s="44">
        <v>0</v>
      </c>
      <c r="S151" s="45">
        <f t="shared" si="11"/>
        <v>0</v>
      </c>
      <c r="T151" s="45">
        <f>Table3[[#This Row],[Verzekerde Waarde]]-Table3[[#This Row],[Mutaties]]</f>
        <v>0</v>
      </c>
      <c r="U151" s="45">
        <f t="shared" si="12"/>
        <v>0</v>
      </c>
      <c r="V151" s="41"/>
      <c r="W151" s="45">
        <f>X151+SUMIF(Table4[Subnummer],Table3[[#This Row],[Sub]],Table4[Som mutaties])</f>
        <v>0</v>
      </c>
      <c r="X151" s="46"/>
      <c r="Y151" s="41"/>
    </row>
    <row r="152" spans="1:25" ht="14.4" hidden="1" x14ac:dyDescent="0.3">
      <c r="A152" s="86"/>
      <c r="B152" s="42">
        <f>_xlfn.XLOOKUP(Table3[[#This Row],[Verzekerde]],Relatie,fin_sub)</f>
        <v>0</v>
      </c>
      <c r="C152" s="87">
        <v>146</v>
      </c>
      <c r="D152" s="41" t="s">
        <v>7</v>
      </c>
      <c r="E152" s="41"/>
      <c r="F152" s="43"/>
      <c r="G152" s="43"/>
      <c r="H152" s="43" t="s">
        <v>7</v>
      </c>
      <c r="I152" s="43" t="s">
        <v>7</v>
      </c>
      <c r="J152" s="127"/>
      <c r="K152" s="127"/>
      <c r="L152" s="127"/>
      <c r="M152" s="127"/>
      <c r="N152" s="127"/>
      <c r="O152" s="41"/>
      <c r="P152" s="41"/>
      <c r="Q152" s="41"/>
      <c r="R152" s="44">
        <v>0</v>
      </c>
      <c r="S152" s="45">
        <f t="shared" si="11"/>
        <v>0</v>
      </c>
      <c r="T152" s="45">
        <f>Table3[[#This Row],[Verzekerde Waarde]]-Table3[[#This Row],[Mutaties]]</f>
        <v>0</v>
      </c>
      <c r="U152" s="45">
        <f t="shared" si="12"/>
        <v>0</v>
      </c>
      <c r="V152" s="41"/>
      <c r="W152" s="45">
        <f>X152+SUMIF(Table4[Subnummer],Table3[[#This Row],[Sub]],Table4[Som mutaties])</f>
        <v>0</v>
      </c>
      <c r="X152" s="46"/>
      <c r="Y152" s="41"/>
    </row>
    <row r="153" spans="1:25" ht="14.4" hidden="1" x14ac:dyDescent="0.3">
      <c r="A153" s="86"/>
      <c r="B153" s="42">
        <f>_xlfn.XLOOKUP(Table3[[#This Row],[Verzekerde]],Relatie,fin_sub)</f>
        <v>0</v>
      </c>
      <c r="C153" s="87">
        <v>147</v>
      </c>
      <c r="D153" s="41" t="s">
        <v>7</v>
      </c>
      <c r="E153" s="41"/>
      <c r="F153" s="43"/>
      <c r="G153" s="43"/>
      <c r="H153" s="43" t="s">
        <v>7</v>
      </c>
      <c r="I153" s="43" t="s">
        <v>7</v>
      </c>
      <c r="J153" s="127"/>
      <c r="K153" s="127"/>
      <c r="L153" s="127"/>
      <c r="M153" s="127"/>
      <c r="N153" s="127"/>
      <c r="O153" s="41"/>
      <c r="P153" s="41"/>
      <c r="Q153" s="41"/>
      <c r="R153" s="44">
        <v>0</v>
      </c>
      <c r="S153" s="45">
        <f t="shared" si="11"/>
        <v>0</v>
      </c>
      <c r="T153" s="45">
        <f>Table3[[#This Row],[Verzekerde Waarde]]-Table3[[#This Row],[Mutaties]]</f>
        <v>0</v>
      </c>
      <c r="U153" s="45">
        <f t="shared" si="12"/>
        <v>0</v>
      </c>
      <c r="V153" s="41"/>
      <c r="W153" s="45">
        <f>X153+SUMIF(Table4[Subnummer],Table3[[#This Row],[Sub]],Table4[Som mutaties])</f>
        <v>0</v>
      </c>
      <c r="X153" s="46"/>
      <c r="Y153" s="41"/>
    </row>
    <row r="154" spans="1:25" ht="14.4" hidden="1" x14ac:dyDescent="0.3">
      <c r="A154" s="86"/>
      <c r="B154" s="42">
        <f>_xlfn.XLOOKUP(Table3[[#This Row],[Verzekerde]],Relatie,fin_sub)</f>
        <v>0</v>
      </c>
      <c r="C154" s="87">
        <v>148</v>
      </c>
      <c r="D154" s="41" t="s">
        <v>7</v>
      </c>
      <c r="E154" s="41"/>
      <c r="F154" s="43"/>
      <c r="G154" s="43"/>
      <c r="H154" s="43" t="s">
        <v>7</v>
      </c>
      <c r="I154" s="43" t="s">
        <v>7</v>
      </c>
      <c r="J154" s="127"/>
      <c r="K154" s="127"/>
      <c r="L154" s="127"/>
      <c r="M154" s="127"/>
      <c r="N154" s="127"/>
      <c r="O154" s="41"/>
      <c r="P154" s="41"/>
      <c r="Q154" s="41"/>
      <c r="R154" s="44">
        <v>0</v>
      </c>
      <c r="S154" s="45">
        <f t="shared" si="11"/>
        <v>0</v>
      </c>
      <c r="T154" s="45">
        <f>Table3[[#This Row],[Verzekerde Waarde]]-Table3[[#This Row],[Mutaties]]</f>
        <v>0</v>
      </c>
      <c r="U154" s="45">
        <f t="shared" si="12"/>
        <v>0</v>
      </c>
      <c r="V154" s="41"/>
      <c r="W154" s="45">
        <f>X154+SUMIF(Table4[Subnummer],Table3[[#This Row],[Sub]],Table4[Som mutaties])</f>
        <v>0</v>
      </c>
      <c r="X154" s="46"/>
      <c r="Y154" s="41"/>
    </row>
    <row r="155" spans="1:25" ht="14.4" hidden="1" x14ac:dyDescent="0.3">
      <c r="A155" s="86"/>
      <c r="B155" s="42">
        <f>_xlfn.XLOOKUP(Table3[[#This Row],[Verzekerde]],Relatie,fin_sub)</f>
        <v>0</v>
      </c>
      <c r="C155" s="87">
        <v>149</v>
      </c>
      <c r="D155" s="41" t="s">
        <v>7</v>
      </c>
      <c r="E155" s="41"/>
      <c r="F155" s="43"/>
      <c r="G155" s="43"/>
      <c r="H155" s="43" t="s">
        <v>7</v>
      </c>
      <c r="I155" s="43" t="s">
        <v>7</v>
      </c>
      <c r="J155" s="127"/>
      <c r="K155" s="127"/>
      <c r="L155" s="127"/>
      <c r="M155" s="127"/>
      <c r="N155" s="127"/>
      <c r="O155" s="41"/>
      <c r="P155" s="41"/>
      <c r="Q155" s="41"/>
      <c r="R155" s="44">
        <v>0</v>
      </c>
      <c r="S155" s="45">
        <f t="shared" ref="S155:S218" si="13">IF(R155=0,U155,(U155+R155)/2)</f>
        <v>0</v>
      </c>
      <c r="T155" s="45">
        <f>Table3[[#This Row],[Verzekerde Waarde]]-Table3[[#This Row],[Mutaties]]</f>
        <v>0</v>
      </c>
      <c r="U155" s="45">
        <f t="shared" si="12"/>
        <v>0</v>
      </c>
      <c r="V155" s="41"/>
      <c r="W155" s="45">
        <f>X155+SUMIF(Table4[Subnummer],Table3[[#This Row],[Sub]],Table4[Som mutaties])</f>
        <v>0</v>
      </c>
      <c r="X155" s="46"/>
      <c r="Y155" s="41"/>
    </row>
    <row r="156" spans="1:25" ht="14.4" hidden="1" x14ac:dyDescent="0.3">
      <c r="A156" s="86"/>
      <c r="B156" s="42">
        <f>_xlfn.XLOOKUP(Table3[[#This Row],[Verzekerde]],Relatie,fin_sub)</f>
        <v>0</v>
      </c>
      <c r="C156" s="87">
        <v>150</v>
      </c>
      <c r="D156" s="41" t="s">
        <v>7</v>
      </c>
      <c r="E156" s="41"/>
      <c r="F156" s="43"/>
      <c r="G156" s="43"/>
      <c r="H156" s="43" t="s">
        <v>7</v>
      </c>
      <c r="I156" s="43" t="s">
        <v>7</v>
      </c>
      <c r="J156" s="127"/>
      <c r="K156" s="127"/>
      <c r="L156" s="127"/>
      <c r="M156" s="127"/>
      <c r="N156" s="127"/>
      <c r="O156" s="41"/>
      <c r="P156" s="41"/>
      <c r="Q156" s="41"/>
      <c r="R156" s="44">
        <v>0</v>
      </c>
      <c r="S156" s="45">
        <f t="shared" si="13"/>
        <v>0</v>
      </c>
      <c r="T156" s="45">
        <f>Table3[[#This Row],[Verzekerde Waarde]]-Table3[[#This Row],[Mutaties]]</f>
        <v>0</v>
      </c>
      <c r="U156" s="45">
        <f t="shared" si="12"/>
        <v>0</v>
      </c>
      <c r="V156" s="41"/>
      <c r="W156" s="45">
        <f>X156+SUMIF(Table4[Subnummer],Table3[[#This Row],[Sub]],Table4[Som mutaties])</f>
        <v>0</v>
      </c>
      <c r="X156" s="46"/>
      <c r="Y156" s="41"/>
    </row>
    <row r="157" spans="1:25" ht="14.4" hidden="1" x14ac:dyDescent="0.3">
      <c r="A157" s="86"/>
      <c r="B157" s="42">
        <f>_xlfn.XLOOKUP(Table3[[#This Row],[Verzekerde]],Relatie,fin_sub)</f>
        <v>0</v>
      </c>
      <c r="C157" s="87">
        <v>151</v>
      </c>
      <c r="D157" s="41" t="s">
        <v>7</v>
      </c>
      <c r="E157" s="41"/>
      <c r="F157" s="43"/>
      <c r="G157" s="43"/>
      <c r="H157" s="43" t="s">
        <v>7</v>
      </c>
      <c r="I157" s="43" t="s">
        <v>7</v>
      </c>
      <c r="J157" s="127"/>
      <c r="K157" s="127"/>
      <c r="L157" s="127"/>
      <c r="M157" s="127"/>
      <c r="N157" s="127"/>
      <c r="O157" s="41"/>
      <c r="P157" s="41"/>
      <c r="Q157" s="41"/>
      <c r="R157" s="44">
        <v>0</v>
      </c>
      <c r="S157" s="45">
        <f t="shared" si="13"/>
        <v>0</v>
      </c>
      <c r="T157" s="45">
        <f>Table3[[#This Row],[Verzekerde Waarde]]-Table3[[#This Row],[Mutaties]]</f>
        <v>0</v>
      </c>
      <c r="U157" s="45">
        <f t="shared" si="12"/>
        <v>0</v>
      </c>
      <c r="V157" s="41"/>
      <c r="W157" s="45">
        <f>X157+SUMIF(Table4[Subnummer],Table3[[#This Row],[Sub]],Table4[Som mutaties])</f>
        <v>0</v>
      </c>
      <c r="X157" s="46"/>
      <c r="Y157" s="41"/>
    </row>
    <row r="158" spans="1:25" ht="14.4" hidden="1" x14ac:dyDescent="0.3">
      <c r="A158" s="86"/>
      <c r="B158" s="42">
        <f>_xlfn.XLOOKUP(Table3[[#This Row],[Verzekerde]],Relatie,fin_sub)</f>
        <v>0</v>
      </c>
      <c r="C158" s="87">
        <v>152</v>
      </c>
      <c r="D158" s="41" t="s">
        <v>7</v>
      </c>
      <c r="E158" s="41"/>
      <c r="F158" s="43"/>
      <c r="G158" s="43"/>
      <c r="H158" s="43" t="s">
        <v>7</v>
      </c>
      <c r="I158" s="43" t="s">
        <v>7</v>
      </c>
      <c r="J158" s="127"/>
      <c r="K158" s="127"/>
      <c r="L158" s="127"/>
      <c r="M158" s="127"/>
      <c r="N158" s="127"/>
      <c r="O158" s="41"/>
      <c r="P158" s="41"/>
      <c r="Q158" s="41"/>
      <c r="R158" s="44">
        <v>0</v>
      </c>
      <c r="S158" s="45">
        <f t="shared" si="13"/>
        <v>0</v>
      </c>
      <c r="T158" s="45">
        <f>Table3[[#This Row],[Verzekerde Waarde]]-Table3[[#This Row],[Mutaties]]</f>
        <v>0</v>
      </c>
      <c r="U158" s="45">
        <f t="shared" si="12"/>
        <v>0</v>
      </c>
      <c r="V158" s="41"/>
      <c r="W158" s="45">
        <f>X158+SUMIF(Table4[Subnummer],Table3[[#This Row],[Sub]],Table4[Som mutaties])</f>
        <v>0</v>
      </c>
      <c r="X158" s="46"/>
      <c r="Y158" s="41"/>
    </row>
    <row r="159" spans="1:25" ht="14.4" hidden="1" x14ac:dyDescent="0.3">
      <c r="A159" s="86"/>
      <c r="B159" s="42">
        <f>_xlfn.XLOOKUP(Table3[[#This Row],[Verzekerde]],Relatie,fin_sub)</f>
        <v>0</v>
      </c>
      <c r="C159" s="87">
        <v>153</v>
      </c>
      <c r="D159" s="41" t="s">
        <v>7</v>
      </c>
      <c r="E159" s="41"/>
      <c r="F159" s="43"/>
      <c r="G159" s="43"/>
      <c r="H159" s="43" t="s">
        <v>7</v>
      </c>
      <c r="I159" s="43" t="s">
        <v>7</v>
      </c>
      <c r="J159" s="127"/>
      <c r="K159" s="127"/>
      <c r="L159" s="127"/>
      <c r="M159" s="127"/>
      <c r="N159" s="127"/>
      <c r="O159" s="41"/>
      <c r="P159" s="41"/>
      <c r="Q159" s="41"/>
      <c r="R159" s="44">
        <v>0</v>
      </c>
      <c r="S159" s="45">
        <f t="shared" si="13"/>
        <v>0</v>
      </c>
      <c r="T159" s="45">
        <f>Table3[[#This Row],[Verzekerde Waarde]]-Table3[[#This Row],[Mutaties]]</f>
        <v>0</v>
      </c>
      <c r="U159" s="45">
        <f t="shared" si="12"/>
        <v>0</v>
      </c>
      <c r="V159" s="41"/>
      <c r="W159" s="45">
        <f>X159+SUMIF(Table4[Subnummer],Table3[[#This Row],[Sub]],Table4[Som mutaties])</f>
        <v>0</v>
      </c>
      <c r="X159" s="46"/>
      <c r="Y159" s="41"/>
    </row>
    <row r="160" spans="1:25" ht="14.4" hidden="1" x14ac:dyDescent="0.3">
      <c r="A160" s="86"/>
      <c r="B160" s="42">
        <f>_xlfn.XLOOKUP(Table3[[#This Row],[Verzekerde]],Relatie,fin_sub)</f>
        <v>0</v>
      </c>
      <c r="C160" s="87">
        <v>154</v>
      </c>
      <c r="D160" s="41" t="s">
        <v>7</v>
      </c>
      <c r="E160" s="41"/>
      <c r="F160" s="43"/>
      <c r="G160" s="43"/>
      <c r="H160" s="43" t="s">
        <v>7</v>
      </c>
      <c r="I160" s="43" t="s">
        <v>7</v>
      </c>
      <c r="J160" s="127"/>
      <c r="K160" s="127"/>
      <c r="L160" s="127"/>
      <c r="M160" s="127"/>
      <c r="N160" s="127"/>
      <c r="O160" s="41"/>
      <c r="P160" s="41"/>
      <c r="Q160" s="41"/>
      <c r="R160" s="44">
        <v>0</v>
      </c>
      <c r="S160" s="45">
        <f t="shared" si="13"/>
        <v>0</v>
      </c>
      <c r="T160" s="45">
        <f>Table3[[#This Row],[Verzekerde Waarde]]-Table3[[#This Row],[Mutaties]]</f>
        <v>0</v>
      </c>
      <c r="U160" s="45">
        <f t="shared" si="12"/>
        <v>0</v>
      </c>
      <c r="V160" s="41"/>
      <c r="W160" s="45">
        <f>X160+SUMIF(Table4[Subnummer],Table3[[#This Row],[Sub]],Table4[Som mutaties])</f>
        <v>0</v>
      </c>
      <c r="X160" s="46"/>
      <c r="Y160" s="41"/>
    </row>
    <row r="161" spans="1:25" ht="14.4" hidden="1" x14ac:dyDescent="0.3">
      <c r="A161" s="86"/>
      <c r="B161" s="42">
        <f>_xlfn.XLOOKUP(Table3[[#This Row],[Verzekerde]],Relatie,fin_sub)</f>
        <v>0</v>
      </c>
      <c r="C161" s="87">
        <v>155</v>
      </c>
      <c r="D161" s="41" t="s">
        <v>7</v>
      </c>
      <c r="E161" s="41"/>
      <c r="F161" s="43"/>
      <c r="G161" s="43"/>
      <c r="H161" s="43" t="s">
        <v>7</v>
      </c>
      <c r="I161" s="43" t="s">
        <v>7</v>
      </c>
      <c r="J161" s="127"/>
      <c r="K161" s="127"/>
      <c r="L161" s="127"/>
      <c r="M161" s="127"/>
      <c r="N161" s="127"/>
      <c r="O161" s="41"/>
      <c r="P161" s="41"/>
      <c r="Q161" s="41"/>
      <c r="R161" s="44">
        <v>0</v>
      </c>
      <c r="S161" s="45">
        <f t="shared" si="13"/>
        <v>0</v>
      </c>
      <c r="T161" s="45">
        <f>Table3[[#This Row],[Verzekerde Waarde]]-Table3[[#This Row],[Mutaties]]</f>
        <v>0</v>
      </c>
      <c r="U161" s="45">
        <f t="shared" si="12"/>
        <v>0</v>
      </c>
      <c r="V161" s="41"/>
      <c r="W161" s="45">
        <f>X161+SUMIF(Table4[Subnummer],Table3[[#This Row],[Sub]],Table4[Som mutaties])</f>
        <v>0</v>
      </c>
      <c r="X161" s="46"/>
      <c r="Y161" s="41"/>
    </row>
    <row r="162" spans="1:25" ht="14.4" hidden="1" x14ac:dyDescent="0.3">
      <c r="A162" s="86"/>
      <c r="B162" s="42">
        <f>_xlfn.XLOOKUP(Table3[[#This Row],[Verzekerde]],Relatie,fin_sub)</f>
        <v>0</v>
      </c>
      <c r="C162" s="87">
        <v>156</v>
      </c>
      <c r="D162" s="41" t="s">
        <v>7</v>
      </c>
      <c r="E162" s="41"/>
      <c r="F162" s="43"/>
      <c r="G162" s="43"/>
      <c r="H162" s="43" t="s">
        <v>7</v>
      </c>
      <c r="I162" s="43" t="s">
        <v>7</v>
      </c>
      <c r="J162" s="127"/>
      <c r="K162" s="127"/>
      <c r="L162" s="127"/>
      <c r="M162" s="127"/>
      <c r="N162" s="127"/>
      <c r="O162" s="41"/>
      <c r="P162" s="41"/>
      <c r="Q162" s="41"/>
      <c r="R162" s="44">
        <v>0</v>
      </c>
      <c r="S162" s="45">
        <f t="shared" si="13"/>
        <v>0</v>
      </c>
      <c r="T162" s="45">
        <f>Table3[[#This Row],[Verzekerde Waarde]]-Table3[[#This Row],[Mutaties]]</f>
        <v>0</v>
      </c>
      <c r="U162" s="45">
        <f t="shared" si="12"/>
        <v>0</v>
      </c>
      <c r="V162" s="41"/>
      <c r="W162" s="45">
        <f>X162+SUMIF(Table4[Subnummer],Table3[[#This Row],[Sub]],Table4[Som mutaties])</f>
        <v>0</v>
      </c>
      <c r="X162" s="46"/>
      <c r="Y162" s="41"/>
    </row>
    <row r="163" spans="1:25" ht="14.4" hidden="1" x14ac:dyDescent="0.3">
      <c r="A163" s="86"/>
      <c r="B163" s="42">
        <f>_xlfn.XLOOKUP(Table3[[#This Row],[Verzekerde]],Relatie,fin_sub)</f>
        <v>0</v>
      </c>
      <c r="C163" s="87">
        <v>157</v>
      </c>
      <c r="D163" s="41" t="s">
        <v>7</v>
      </c>
      <c r="E163" s="41"/>
      <c r="F163" s="43"/>
      <c r="G163" s="43"/>
      <c r="H163" s="43" t="s">
        <v>7</v>
      </c>
      <c r="I163" s="43" t="s">
        <v>7</v>
      </c>
      <c r="J163" s="127"/>
      <c r="K163" s="127"/>
      <c r="L163" s="127"/>
      <c r="M163" s="127"/>
      <c r="N163" s="127"/>
      <c r="O163" s="41"/>
      <c r="P163" s="41"/>
      <c r="Q163" s="41"/>
      <c r="R163" s="44">
        <v>0</v>
      </c>
      <c r="S163" s="45">
        <f t="shared" si="13"/>
        <v>0</v>
      </c>
      <c r="T163" s="45">
        <f>Table3[[#This Row],[Verzekerde Waarde]]-Table3[[#This Row],[Mutaties]]</f>
        <v>0</v>
      </c>
      <c r="U163" s="45">
        <f t="shared" si="12"/>
        <v>0</v>
      </c>
      <c r="V163" s="41"/>
      <c r="W163" s="45">
        <f>X163+SUMIF(Table4[Subnummer],Table3[[#This Row],[Sub]],Table4[Som mutaties])</f>
        <v>0</v>
      </c>
      <c r="X163" s="46"/>
      <c r="Y163" s="41"/>
    </row>
    <row r="164" spans="1:25" ht="14.4" hidden="1" x14ac:dyDescent="0.3">
      <c r="A164" s="86"/>
      <c r="B164" s="42">
        <f>_xlfn.XLOOKUP(Table3[[#This Row],[Verzekerde]],Relatie,fin_sub)</f>
        <v>0</v>
      </c>
      <c r="C164" s="87">
        <v>158</v>
      </c>
      <c r="D164" s="41" t="s">
        <v>7</v>
      </c>
      <c r="E164" s="41"/>
      <c r="F164" s="43"/>
      <c r="G164" s="43"/>
      <c r="H164" s="43" t="s">
        <v>7</v>
      </c>
      <c r="I164" s="43" t="s">
        <v>7</v>
      </c>
      <c r="J164" s="127"/>
      <c r="K164" s="127"/>
      <c r="L164" s="127"/>
      <c r="M164" s="127"/>
      <c r="N164" s="127"/>
      <c r="O164" s="41"/>
      <c r="P164" s="41"/>
      <c r="Q164" s="41"/>
      <c r="R164" s="44">
        <v>0</v>
      </c>
      <c r="S164" s="45">
        <f t="shared" si="13"/>
        <v>0</v>
      </c>
      <c r="T164" s="45">
        <f>Table3[[#This Row],[Verzekerde Waarde]]-Table3[[#This Row],[Mutaties]]</f>
        <v>0</v>
      </c>
      <c r="U164" s="45">
        <f t="shared" si="12"/>
        <v>0</v>
      </c>
      <c r="V164" s="41"/>
      <c r="W164" s="45">
        <f>X164+SUMIF(Table4[Subnummer],Table3[[#This Row],[Sub]],Table4[Som mutaties])</f>
        <v>0</v>
      </c>
      <c r="X164" s="46"/>
      <c r="Y164" s="41"/>
    </row>
    <row r="165" spans="1:25" ht="14.4" hidden="1" x14ac:dyDescent="0.3">
      <c r="A165" s="86"/>
      <c r="B165" s="42">
        <f>_xlfn.XLOOKUP(Table3[[#This Row],[Verzekerde]],Relatie,fin_sub)</f>
        <v>0</v>
      </c>
      <c r="C165" s="87">
        <v>159</v>
      </c>
      <c r="D165" s="41" t="s">
        <v>7</v>
      </c>
      <c r="E165" s="41"/>
      <c r="F165" s="43"/>
      <c r="G165" s="43"/>
      <c r="H165" s="43" t="s">
        <v>7</v>
      </c>
      <c r="I165" s="43" t="s">
        <v>7</v>
      </c>
      <c r="J165" s="127"/>
      <c r="K165" s="127"/>
      <c r="L165" s="127"/>
      <c r="M165" s="127"/>
      <c r="N165" s="127"/>
      <c r="O165" s="41"/>
      <c r="P165" s="41"/>
      <c r="Q165" s="41"/>
      <c r="R165" s="44">
        <v>0</v>
      </c>
      <c r="S165" s="45">
        <f t="shared" si="13"/>
        <v>0</v>
      </c>
      <c r="T165" s="45">
        <f>Table3[[#This Row],[Verzekerde Waarde]]-Table3[[#This Row],[Mutaties]]</f>
        <v>0</v>
      </c>
      <c r="U165" s="45">
        <f t="shared" si="12"/>
        <v>0</v>
      </c>
      <c r="V165" s="41"/>
      <c r="W165" s="45">
        <f>X165+SUMIF(Table4[Subnummer],Table3[[#This Row],[Sub]],Table4[Som mutaties])</f>
        <v>0</v>
      </c>
      <c r="X165" s="46"/>
      <c r="Y165" s="41"/>
    </row>
    <row r="166" spans="1:25" ht="14.4" hidden="1" x14ac:dyDescent="0.3">
      <c r="A166" s="86"/>
      <c r="B166" s="42">
        <f>_xlfn.XLOOKUP(Table3[[#This Row],[Verzekerde]],Relatie,fin_sub)</f>
        <v>0</v>
      </c>
      <c r="C166" s="87">
        <v>160</v>
      </c>
      <c r="D166" s="41" t="s">
        <v>7</v>
      </c>
      <c r="E166" s="41"/>
      <c r="F166" s="43"/>
      <c r="G166" s="43"/>
      <c r="H166" s="43" t="s">
        <v>7</v>
      </c>
      <c r="I166" s="43" t="s">
        <v>7</v>
      </c>
      <c r="J166" s="127"/>
      <c r="K166" s="127"/>
      <c r="L166" s="127"/>
      <c r="M166" s="127"/>
      <c r="N166" s="127"/>
      <c r="O166" s="41"/>
      <c r="P166" s="41"/>
      <c r="Q166" s="41"/>
      <c r="R166" s="44">
        <v>0</v>
      </c>
      <c r="S166" s="45">
        <f t="shared" si="13"/>
        <v>0</v>
      </c>
      <c r="T166" s="45">
        <f>Table3[[#This Row],[Verzekerde Waarde]]-Table3[[#This Row],[Mutaties]]</f>
        <v>0</v>
      </c>
      <c r="U166" s="45">
        <f t="shared" si="12"/>
        <v>0</v>
      </c>
      <c r="V166" s="41"/>
      <c r="W166" s="45">
        <f>X166+SUMIF(Table4[Subnummer],Table3[[#This Row],[Sub]],Table4[Som mutaties])</f>
        <v>0</v>
      </c>
      <c r="X166" s="46"/>
      <c r="Y166" s="41"/>
    </row>
    <row r="167" spans="1:25" ht="14.4" hidden="1" x14ac:dyDescent="0.3">
      <c r="A167" s="86"/>
      <c r="B167" s="42">
        <f>_xlfn.XLOOKUP(Table3[[#This Row],[Verzekerde]],Relatie,fin_sub)</f>
        <v>0</v>
      </c>
      <c r="C167" s="87">
        <v>161</v>
      </c>
      <c r="D167" s="41" t="s">
        <v>7</v>
      </c>
      <c r="E167" s="41"/>
      <c r="F167" s="43"/>
      <c r="G167" s="43"/>
      <c r="H167" s="43" t="s">
        <v>7</v>
      </c>
      <c r="I167" s="43" t="s">
        <v>7</v>
      </c>
      <c r="J167" s="127"/>
      <c r="K167" s="127"/>
      <c r="L167" s="127"/>
      <c r="M167" s="127"/>
      <c r="N167" s="127"/>
      <c r="O167" s="41"/>
      <c r="P167" s="41"/>
      <c r="Q167" s="41"/>
      <c r="R167" s="44">
        <v>0</v>
      </c>
      <c r="S167" s="45">
        <f t="shared" si="13"/>
        <v>0</v>
      </c>
      <c r="T167" s="45">
        <f>Table3[[#This Row],[Verzekerde Waarde]]-Table3[[#This Row],[Mutaties]]</f>
        <v>0</v>
      </c>
      <c r="U167" s="45">
        <f t="shared" si="12"/>
        <v>0</v>
      </c>
      <c r="V167" s="41"/>
      <c r="W167" s="45">
        <f>X167+SUMIF(Table4[Subnummer],Table3[[#This Row],[Sub]],Table4[Som mutaties])</f>
        <v>0</v>
      </c>
      <c r="X167" s="46"/>
      <c r="Y167" s="41"/>
    </row>
    <row r="168" spans="1:25" ht="14.4" hidden="1" x14ac:dyDescent="0.3">
      <c r="A168" s="86"/>
      <c r="B168" s="42">
        <f>_xlfn.XLOOKUP(Table3[[#This Row],[Verzekerde]],Relatie,fin_sub)</f>
        <v>0</v>
      </c>
      <c r="C168" s="87">
        <v>162</v>
      </c>
      <c r="D168" s="41" t="s">
        <v>7</v>
      </c>
      <c r="E168" s="41"/>
      <c r="F168" s="43"/>
      <c r="G168" s="43"/>
      <c r="H168" s="43" t="s">
        <v>7</v>
      </c>
      <c r="I168" s="43" t="s">
        <v>7</v>
      </c>
      <c r="J168" s="127"/>
      <c r="K168" s="127"/>
      <c r="L168" s="127"/>
      <c r="M168" s="127"/>
      <c r="N168" s="127"/>
      <c r="O168" s="41"/>
      <c r="P168" s="41"/>
      <c r="Q168" s="41"/>
      <c r="R168" s="44">
        <v>0</v>
      </c>
      <c r="S168" s="45">
        <f t="shared" si="13"/>
        <v>0</v>
      </c>
      <c r="T168" s="45">
        <f>Table3[[#This Row],[Verzekerde Waarde]]-Table3[[#This Row],[Mutaties]]</f>
        <v>0</v>
      </c>
      <c r="U168" s="45">
        <f t="shared" si="12"/>
        <v>0</v>
      </c>
      <c r="V168" s="41"/>
      <c r="W168" s="45">
        <f>X168+SUMIF(Table4[Subnummer],Table3[[#This Row],[Sub]],Table4[Som mutaties])</f>
        <v>0</v>
      </c>
      <c r="X168" s="46"/>
      <c r="Y168" s="41"/>
    </row>
    <row r="169" spans="1:25" ht="14.4" hidden="1" x14ac:dyDescent="0.3">
      <c r="A169" s="86"/>
      <c r="B169" s="42">
        <f>_xlfn.XLOOKUP(Table3[[#This Row],[Verzekerde]],Relatie,fin_sub)</f>
        <v>0</v>
      </c>
      <c r="C169" s="87">
        <v>163</v>
      </c>
      <c r="D169" s="41" t="s">
        <v>7</v>
      </c>
      <c r="E169" s="41"/>
      <c r="F169" s="43"/>
      <c r="G169" s="43"/>
      <c r="H169" s="43" t="s">
        <v>7</v>
      </c>
      <c r="I169" s="43" t="s">
        <v>7</v>
      </c>
      <c r="J169" s="127"/>
      <c r="K169" s="127"/>
      <c r="L169" s="127"/>
      <c r="M169" s="127"/>
      <c r="N169" s="127"/>
      <c r="O169" s="41"/>
      <c r="P169" s="41"/>
      <c r="Q169" s="41"/>
      <c r="R169" s="44">
        <v>0</v>
      </c>
      <c r="S169" s="45">
        <f t="shared" si="13"/>
        <v>0</v>
      </c>
      <c r="T169" s="45">
        <f>Table3[[#This Row],[Verzekerde Waarde]]-Table3[[#This Row],[Mutaties]]</f>
        <v>0</v>
      </c>
      <c r="U169" s="45">
        <f t="shared" si="12"/>
        <v>0</v>
      </c>
      <c r="V169" s="41"/>
      <c r="W169" s="45">
        <f>X169+SUMIF(Table4[Subnummer],Table3[[#This Row],[Sub]],Table4[Som mutaties])</f>
        <v>0</v>
      </c>
      <c r="X169" s="46"/>
      <c r="Y169" s="41"/>
    </row>
    <row r="170" spans="1:25" ht="14.4" hidden="1" x14ac:dyDescent="0.3">
      <c r="A170" s="86"/>
      <c r="B170" s="42">
        <f>_xlfn.XLOOKUP(Table3[[#This Row],[Verzekerde]],Relatie,fin_sub)</f>
        <v>0</v>
      </c>
      <c r="C170" s="87">
        <v>164</v>
      </c>
      <c r="D170" s="41" t="s">
        <v>7</v>
      </c>
      <c r="E170" s="41"/>
      <c r="F170" s="43"/>
      <c r="G170" s="43"/>
      <c r="H170" s="43" t="s">
        <v>7</v>
      </c>
      <c r="I170" s="43" t="s">
        <v>7</v>
      </c>
      <c r="J170" s="127"/>
      <c r="K170" s="127"/>
      <c r="L170" s="127"/>
      <c r="M170" s="127"/>
      <c r="N170" s="127"/>
      <c r="O170" s="41"/>
      <c r="P170" s="41"/>
      <c r="Q170" s="41"/>
      <c r="R170" s="44">
        <v>0</v>
      </c>
      <c r="S170" s="45">
        <f t="shared" si="13"/>
        <v>0</v>
      </c>
      <c r="T170" s="45">
        <f>Table3[[#This Row],[Verzekerde Waarde]]-Table3[[#This Row],[Mutaties]]</f>
        <v>0</v>
      </c>
      <c r="U170" s="45">
        <f t="shared" si="12"/>
        <v>0</v>
      </c>
      <c r="V170" s="41"/>
      <c r="W170" s="45">
        <f>X170+SUMIF(Table4[Subnummer],Table3[[#This Row],[Sub]],Table4[Som mutaties])</f>
        <v>0</v>
      </c>
      <c r="X170" s="46"/>
      <c r="Y170" s="41"/>
    </row>
    <row r="171" spans="1:25" ht="14.4" hidden="1" x14ac:dyDescent="0.3">
      <c r="A171" s="86"/>
      <c r="B171" s="42">
        <f>_xlfn.XLOOKUP(Table3[[#This Row],[Verzekerde]],Relatie,fin_sub)</f>
        <v>0</v>
      </c>
      <c r="C171" s="87">
        <v>165</v>
      </c>
      <c r="D171" s="41" t="s">
        <v>7</v>
      </c>
      <c r="E171" s="41"/>
      <c r="F171" s="43"/>
      <c r="G171" s="43"/>
      <c r="H171" s="43" t="s">
        <v>7</v>
      </c>
      <c r="I171" s="43" t="s">
        <v>7</v>
      </c>
      <c r="J171" s="127"/>
      <c r="K171" s="127"/>
      <c r="L171" s="127"/>
      <c r="M171" s="127"/>
      <c r="N171" s="127"/>
      <c r="O171" s="41"/>
      <c r="P171" s="41"/>
      <c r="Q171" s="41"/>
      <c r="R171" s="44">
        <v>0</v>
      </c>
      <c r="S171" s="45">
        <f t="shared" si="13"/>
        <v>0</v>
      </c>
      <c r="T171" s="45">
        <f>Table3[[#This Row],[Verzekerde Waarde]]-Table3[[#This Row],[Mutaties]]</f>
        <v>0</v>
      </c>
      <c r="U171" s="45">
        <f t="shared" si="12"/>
        <v>0</v>
      </c>
      <c r="V171" s="41"/>
      <c r="W171" s="45">
        <f>X171+SUMIF(Table4[Subnummer],Table3[[#This Row],[Sub]],Table4[Som mutaties])</f>
        <v>0</v>
      </c>
      <c r="X171" s="46"/>
      <c r="Y171" s="41"/>
    </row>
    <row r="172" spans="1:25" ht="14.4" hidden="1" x14ac:dyDescent="0.3">
      <c r="A172" s="86"/>
      <c r="B172" s="42">
        <f>_xlfn.XLOOKUP(Table3[[#This Row],[Verzekerde]],Relatie,fin_sub)</f>
        <v>0</v>
      </c>
      <c r="C172" s="87">
        <v>166</v>
      </c>
      <c r="D172" s="41" t="s">
        <v>7</v>
      </c>
      <c r="E172" s="41"/>
      <c r="F172" s="43"/>
      <c r="G172" s="43"/>
      <c r="H172" s="43" t="s">
        <v>7</v>
      </c>
      <c r="I172" s="43" t="s">
        <v>7</v>
      </c>
      <c r="J172" s="127"/>
      <c r="K172" s="127"/>
      <c r="L172" s="127"/>
      <c r="M172" s="127"/>
      <c r="N172" s="127"/>
      <c r="O172" s="41"/>
      <c r="P172" s="41"/>
      <c r="Q172" s="41"/>
      <c r="R172" s="44">
        <v>0</v>
      </c>
      <c r="S172" s="45">
        <f t="shared" si="13"/>
        <v>0</v>
      </c>
      <c r="T172" s="45">
        <f>Table3[[#This Row],[Verzekerde Waarde]]-Table3[[#This Row],[Mutaties]]</f>
        <v>0</v>
      </c>
      <c r="U172" s="45">
        <f t="shared" si="12"/>
        <v>0</v>
      </c>
      <c r="V172" s="41"/>
      <c r="W172" s="45">
        <f>X172+SUMIF(Table4[Subnummer],Table3[[#This Row],[Sub]],Table4[Som mutaties])</f>
        <v>0</v>
      </c>
      <c r="X172" s="46"/>
      <c r="Y172" s="41"/>
    </row>
    <row r="173" spans="1:25" ht="14.4" hidden="1" x14ac:dyDescent="0.3">
      <c r="A173" s="86"/>
      <c r="B173" s="42">
        <f>_xlfn.XLOOKUP(Table3[[#This Row],[Verzekerde]],Relatie,fin_sub)</f>
        <v>0</v>
      </c>
      <c r="C173" s="87">
        <v>167</v>
      </c>
      <c r="D173" s="41" t="s">
        <v>7</v>
      </c>
      <c r="E173" s="41"/>
      <c r="F173" s="43"/>
      <c r="G173" s="43"/>
      <c r="H173" s="43" t="s">
        <v>7</v>
      </c>
      <c r="I173" s="43" t="s">
        <v>7</v>
      </c>
      <c r="J173" s="127"/>
      <c r="K173" s="127"/>
      <c r="L173" s="127"/>
      <c r="M173" s="127"/>
      <c r="N173" s="127"/>
      <c r="O173" s="41"/>
      <c r="P173" s="41"/>
      <c r="Q173" s="41"/>
      <c r="R173" s="44">
        <v>0</v>
      </c>
      <c r="S173" s="45">
        <f t="shared" si="13"/>
        <v>0</v>
      </c>
      <c r="T173" s="45">
        <f>Table3[[#This Row],[Verzekerde Waarde]]-Table3[[#This Row],[Mutaties]]</f>
        <v>0</v>
      </c>
      <c r="U173" s="45">
        <f t="shared" si="12"/>
        <v>0</v>
      </c>
      <c r="V173" s="41"/>
      <c r="W173" s="45">
        <f>X173+SUMIF(Table4[Subnummer],Table3[[#This Row],[Sub]],Table4[Som mutaties])</f>
        <v>0</v>
      </c>
      <c r="X173" s="46"/>
      <c r="Y173" s="41"/>
    </row>
    <row r="174" spans="1:25" ht="14.4" hidden="1" x14ac:dyDescent="0.3">
      <c r="A174" s="86"/>
      <c r="B174" s="42">
        <f>_xlfn.XLOOKUP(Table3[[#This Row],[Verzekerde]],Relatie,fin_sub)</f>
        <v>0</v>
      </c>
      <c r="C174" s="87">
        <v>168</v>
      </c>
      <c r="D174" s="41" t="s">
        <v>7</v>
      </c>
      <c r="E174" s="41"/>
      <c r="F174" s="43"/>
      <c r="G174" s="43"/>
      <c r="H174" s="43" t="s">
        <v>7</v>
      </c>
      <c r="I174" s="43" t="s">
        <v>7</v>
      </c>
      <c r="J174" s="127"/>
      <c r="K174" s="127"/>
      <c r="L174" s="127"/>
      <c r="M174" s="127"/>
      <c r="N174" s="127"/>
      <c r="O174" s="41"/>
      <c r="P174" s="41"/>
      <c r="Q174" s="41"/>
      <c r="R174" s="44">
        <v>0</v>
      </c>
      <c r="S174" s="45">
        <f t="shared" si="13"/>
        <v>0</v>
      </c>
      <c r="T174" s="45">
        <f>Table3[[#This Row],[Verzekerde Waarde]]-Table3[[#This Row],[Mutaties]]</f>
        <v>0</v>
      </c>
      <c r="U174" s="45">
        <f t="shared" si="12"/>
        <v>0</v>
      </c>
      <c r="V174" s="41"/>
      <c r="W174" s="45">
        <f>X174+SUMIF(Table4[Subnummer],Table3[[#This Row],[Sub]],Table4[Som mutaties])</f>
        <v>0</v>
      </c>
      <c r="X174" s="46"/>
      <c r="Y174" s="41"/>
    </row>
    <row r="175" spans="1:25" ht="14.4" hidden="1" x14ac:dyDescent="0.3">
      <c r="A175" s="86"/>
      <c r="B175" s="42">
        <f>_xlfn.XLOOKUP(Table3[[#This Row],[Verzekerde]],Relatie,fin_sub)</f>
        <v>0</v>
      </c>
      <c r="C175" s="87">
        <v>169</v>
      </c>
      <c r="D175" s="41" t="s">
        <v>7</v>
      </c>
      <c r="E175" s="41"/>
      <c r="F175" s="43"/>
      <c r="G175" s="43"/>
      <c r="H175" s="43" t="s">
        <v>7</v>
      </c>
      <c r="I175" s="43" t="s">
        <v>7</v>
      </c>
      <c r="J175" s="127"/>
      <c r="K175" s="127"/>
      <c r="L175" s="127"/>
      <c r="M175" s="127"/>
      <c r="N175" s="127"/>
      <c r="O175" s="41"/>
      <c r="P175" s="41"/>
      <c r="Q175" s="41"/>
      <c r="R175" s="44">
        <v>0</v>
      </c>
      <c r="S175" s="45">
        <f t="shared" si="13"/>
        <v>0</v>
      </c>
      <c r="T175" s="45">
        <f>Table3[[#This Row],[Verzekerde Waarde]]-Table3[[#This Row],[Mutaties]]</f>
        <v>0</v>
      </c>
      <c r="U175" s="45">
        <f t="shared" si="12"/>
        <v>0</v>
      </c>
      <c r="V175" s="41"/>
      <c r="W175" s="45">
        <f>X175+SUMIF(Table4[Subnummer],Table3[[#This Row],[Sub]],Table4[Som mutaties])</f>
        <v>0</v>
      </c>
      <c r="X175" s="46"/>
      <c r="Y175" s="41"/>
    </row>
    <row r="176" spans="1:25" ht="14.4" hidden="1" x14ac:dyDescent="0.3">
      <c r="A176" s="86"/>
      <c r="B176" s="42">
        <f>_xlfn.XLOOKUP(Table3[[#This Row],[Verzekerde]],Relatie,fin_sub)</f>
        <v>0</v>
      </c>
      <c r="C176" s="87">
        <v>170</v>
      </c>
      <c r="D176" s="41" t="s">
        <v>7</v>
      </c>
      <c r="E176" s="41"/>
      <c r="F176" s="43"/>
      <c r="G176" s="43"/>
      <c r="H176" s="43" t="s">
        <v>7</v>
      </c>
      <c r="I176" s="43" t="s">
        <v>7</v>
      </c>
      <c r="J176" s="127"/>
      <c r="K176" s="127"/>
      <c r="L176" s="127"/>
      <c r="M176" s="127"/>
      <c r="N176" s="127"/>
      <c r="O176" s="41"/>
      <c r="P176" s="41"/>
      <c r="Q176" s="41"/>
      <c r="R176" s="44">
        <v>0</v>
      </c>
      <c r="S176" s="45">
        <f t="shared" si="13"/>
        <v>0</v>
      </c>
      <c r="T176" s="45">
        <f>Table3[[#This Row],[Verzekerde Waarde]]-Table3[[#This Row],[Mutaties]]</f>
        <v>0</v>
      </c>
      <c r="U176" s="45">
        <f t="shared" si="12"/>
        <v>0</v>
      </c>
      <c r="V176" s="41"/>
      <c r="W176" s="45">
        <f>X176+SUMIF(Table4[Subnummer],Table3[[#This Row],[Sub]],Table4[Som mutaties])</f>
        <v>0</v>
      </c>
      <c r="X176" s="46"/>
      <c r="Y176" s="41"/>
    </row>
    <row r="177" spans="1:25" ht="14.4" hidden="1" x14ac:dyDescent="0.3">
      <c r="A177" s="86"/>
      <c r="B177" s="42">
        <f>_xlfn.XLOOKUP(Table3[[#This Row],[Verzekerde]],Relatie,fin_sub)</f>
        <v>0</v>
      </c>
      <c r="C177" s="87">
        <v>171</v>
      </c>
      <c r="D177" s="41" t="s">
        <v>7</v>
      </c>
      <c r="E177" s="41"/>
      <c r="F177" s="43"/>
      <c r="G177" s="43"/>
      <c r="H177" s="43" t="s">
        <v>7</v>
      </c>
      <c r="I177" s="43" t="s">
        <v>7</v>
      </c>
      <c r="J177" s="127"/>
      <c r="K177" s="127"/>
      <c r="L177" s="127"/>
      <c r="M177" s="127"/>
      <c r="N177" s="127"/>
      <c r="O177" s="41"/>
      <c r="P177" s="41"/>
      <c r="Q177" s="41"/>
      <c r="R177" s="44">
        <v>0</v>
      </c>
      <c r="S177" s="45">
        <f t="shared" si="13"/>
        <v>0</v>
      </c>
      <c r="T177" s="45">
        <f>Table3[[#This Row],[Verzekerde Waarde]]-Table3[[#This Row],[Mutaties]]</f>
        <v>0</v>
      </c>
      <c r="U177" s="45">
        <f t="shared" si="12"/>
        <v>0</v>
      </c>
      <c r="V177" s="41"/>
      <c r="W177" s="45">
        <f>X177+SUMIF(Table4[Subnummer],Table3[[#This Row],[Sub]],Table4[Som mutaties])</f>
        <v>0</v>
      </c>
      <c r="X177" s="46"/>
      <c r="Y177" s="41"/>
    </row>
    <row r="178" spans="1:25" ht="14.4" hidden="1" x14ac:dyDescent="0.3">
      <c r="A178" s="86"/>
      <c r="B178" s="42">
        <f>_xlfn.XLOOKUP(Table3[[#This Row],[Verzekerde]],Relatie,fin_sub)</f>
        <v>0</v>
      </c>
      <c r="C178" s="87">
        <v>172</v>
      </c>
      <c r="D178" s="41" t="s">
        <v>7</v>
      </c>
      <c r="E178" s="41"/>
      <c r="F178" s="43"/>
      <c r="G178" s="43"/>
      <c r="H178" s="43" t="s">
        <v>7</v>
      </c>
      <c r="I178" s="43" t="s">
        <v>7</v>
      </c>
      <c r="J178" s="127"/>
      <c r="K178" s="127"/>
      <c r="L178" s="127"/>
      <c r="M178" s="127"/>
      <c r="N178" s="127"/>
      <c r="O178" s="41"/>
      <c r="P178" s="41"/>
      <c r="Q178" s="41"/>
      <c r="R178" s="44">
        <v>0</v>
      </c>
      <c r="S178" s="45">
        <f t="shared" si="13"/>
        <v>0</v>
      </c>
      <c r="T178" s="45">
        <f>Table3[[#This Row],[Verzekerde Waarde]]-Table3[[#This Row],[Mutaties]]</f>
        <v>0</v>
      </c>
      <c r="U178" s="45">
        <f t="shared" si="12"/>
        <v>0</v>
      </c>
      <c r="V178" s="41"/>
      <c r="W178" s="45">
        <f>X178+SUMIF(Table4[Subnummer],Table3[[#This Row],[Sub]],Table4[Som mutaties])</f>
        <v>0</v>
      </c>
      <c r="X178" s="46"/>
      <c r="Y178" s="41"/>
    </row>
    <row r="179" spans="1:25" ht="14.4" hidden="1" x14ac:dyDescent="0.3">
      <c r="A179" s="86"/>
      <c r="B179" s="42">
        <f>_xlfn.XLOOKUP(Table3[[#This Row],[Verzekerde]],Relatie,fin_sub)</f>
        <v>0</v>
      </c>
      <c r="C179" s="87">
        <v>173</v>
      </c>
      <c r="D179" s="41" t="s">
        <v>7</v>
      </c>
      <c r="E179" s="41"/>
      <c r="F179" s="43"/>
      <c r="G179" s="43"/>
      <c r="H179" s="43" t="s">
        <v>7</v>
      </c>
      <c r="I179" s="43" t="s">
        <v>7</v>
      </c>
      <c r="J179" s="127"/>
      <c r="K179" s="127"/>
      <c r="L179" s="127"/>
      <c r="M179" s="127"/>
      <c r="N179" s="127"/>
      <c r="O179" s="41"/>
      <c r="P179" s="41"/>
      <c r="Q179" s="41"/>
      <c r="R179" s="44">
        <v>0</v>
      </c>
      <c r="S179" s="45">
        <f t="shared" si="13"/>
        <v>0</v>
      </c>
      <c r="T179" s="45">
        <f>Table3[[#This Row],[Verzekerde Waarde]]-Table3[[#This Row],[Mutaties]]</f>
        <v>0</v>
      </c>
      <c r="U179" s="45">
        <f t="shared" si="12"/>
        <v>0</v>
      </c>
      <c r="V179" s="41"/>
      <c r="W179" s="45">
        <f>X179+SUMIF(Table4[Subnummer],Table3[[#This Row],[Sub]],Table4[Som mutaties])</f>
        <v>0</v>
      </c>
      <c r="X179" s="46"/>
      <c r="Y179" s="41"/>
    </row>
    <row r="180" spans="1:25" ht="14.4" hidden="1" x14ac:dyDescent="0.3">
      <c r="A180" s="86"/>
      <c r="B180" s="42">
        <f>_xlfn.XLOOKUP(Table3[[#This Row],[Verzekerde]],Relatie,fin_sub)</f>
        <v>0</v>
      </c>
      <c r="C180" s="87">
        <v>174</v>
      </c>
      <c r="D180" s="41" t="s">
        <v>7</v>
      </c>
      <c r="E180" s="41"/>
      <c r="F180" s="43"/>
      <c r="G180" s="43"/>
      <c r="H180" s="43" t="s">
        <v>7</v>
      </c>
      <c r="I180" s="43" t="s">
        <v>7</v>
      </c>
      <c r="J180" s="127"/>
      <c r="K180" s="127"/>
      <c r="L180" s="127"/>
      <c r="M180" s="127"/>
      <c r="N180" s="127"/>
      <c r="O180" s="41"/>
      <c r="P180" s="41"/>
      <c r="Q180" s="41"/>
      <c r="R180" s="44">
        <v>0</v>
      </c>
      <c r="S180" s="45">
        <f t="shared" si="13"/>
        <v>0</v>
      </c>
      <c r="T180" s="45">
        <f>Table3[[#This Row],[Verzekerde Waarde]]-Table3[[#This Row],[Mutaties]]</f>
        <v>0</v>
      </c>
      <c r="U180" s="45">
        <f t="shared" si="12"/>
        <v>0</v>
      </c>
      <c r="V180" s="41"/>
      <c r="W180" s="45">
        <f>X180+SUMIF(Table4[Subnummer],Table3[[#This Row],[Sub]],Table4[Som mutaties])</f>
        <v>0</v>
      </c>
      <c r="X180" s="46"/>
      <c r="Y180" s="41"/>
    </row>
    <row r="181" spans="1:25" ht="14.4" hidden="1" x14ac:dyDescent="0.3">
      <c r="A181" s="86"/>
      <c r="B181" s="42">
        <f>_xlfn.XLOOKUP(Table3[[#This Row],[Verzekerde]],Relatie,fin_sub)</f>
        <v>0</v>
      </c>
      <c r="C181" s="87">
        <v>175</v>
      </c>
      <c r="D181" s="41" t="s">
        <v>7</v>
      </c>
      <c r="E181" s="41"/>
      <c r="F181" s="43"/>
      <c r="G181" s="43"/>
      <c r="H181" s="43" t="s">
        <v>7</v>
      </c>
      <c r="I181" s="43" t="s">
        <v>7</v>
      </c>
      <c r="J181" s="127"/>
      <c r="K181" s="127"/>
      <c r="L181" s="127"/>
      <c r="M181" s="127"/>
      <c r="N181" s="127"/>
      <c r="O181" s="41"/>
      <c r="P181" s="41"/>
      <c r="Q181" s="41"/>
      <c r="R181" s="44">
        <v>0</v>
      </c>
      <c r="S181" s="45">
        <f t="shared" si="13"/>
        <v>0</v>
      </c>
      <c r="T181" s="45">
        <f>Table3[[#This Row],[Verzekerde Waarde]]-Table3[[#This Row],[Mutaties]]</f>
        <v>0</v>
      </c>
      <c r="U181" s="45">
        <f t="shared" si="12"/>
        <v>0</v>
      </c>
      <c r="V181" s="41"/>
      <c r="W181" s="45">
        <f>X181+SUMIF(Table4[Subnummer],Table3[[#This Row],[Sub]],Table4[Som mutaties])</f>
        <v>0</v>
      </c>
      <c r="X181" s="46"/>
      <c r="Y181" s="41"/>
    </row>
    <row r="182" spans="1:25" ht="14.4" hidden="1" x14ac:dyDescent="0.3">
      <c r="A182" s="86"/>
      <c r="B182" s="42">
        <f>_xlfn.XLOOKUP(Table3[[#This Row],[Verzekerde]],Relatie,fin_sub)</f>
        <v>0</v>
      </c>
      <c r="C182" s="87">
        <v>176</v>
      </c>
      <c r="D182" s="41" t="s">
        <v>7</v>
      </c>
      <c r="E182" s="41"/>
      <c r="F182" s="43"/>
      <c r="G182" s="43"/>
      <c r="H182" s="43" t="s">
        <v>7</v>
      </c>
      <c r="I182" s="43" t="s">
        <v>7</v>
      </c>
      <c r="J182" s="127"/>
      <c r="K182" s="127"/>
      <c r="L182" s="127"/>
      <c r="M182" s="127"/>
      <c r="N182" s="127"/>
      <c r="O182" s="41"/>
      <c r="P182" s="41"/>
      <c r="Q182" s="41"/>
      <c r="R182" s="44">
        <v>0</v>
      </c>
      <c r="S182" s="45">
        <f t="shared" si="13"/>
        <v>0</v>
      </c>
      <c r="T182" s="45">
        <f>Table3[[#This Row],[Verzekerde Waarde]]-Table3[[#This Row],[Mutaties]]</f>
        <v>0</v>
      </c>
      <c r="U182" s="45">
        <f t="shared" si="12"/>
        <v>0</v>
      </c>
      <c r="V182" s="41"/>
      <c r="W182" s="45">
        <f>X182+SUMIF(Table4[Subnummer],Table3[[#This Row],[Sub]],Table4[Som mutaties])</f>
        <v>0</v>
      </c>
      <c r="X182" s="46"/>
      <c r="Y182" s="41"/>
    </row>
    <row r="183" spans="1:25" ht="14.4" hidden="1" x14ac:dyDescent="0.3">
      <c r="A183" s="86"/>
      <c r="B183" s="42">
        <f>_xlfn.XLOOKUP(Table3[[#This Row],[Verzekerde]],Relatie,fin_sub)</f>
        <v>0</v>
      </c>
      <c r="C183" s="87">
        <v>177</v>
      </c>
      <c r="D183" s="41" t="s">
        <v>7</v>
      </c>
      <c r="E183" s="41"/>
      <c r="F183" s="43"/>
      <c r="G183" s="43"/>
      <c r="H183" s="43" t="s">
        <v>7</v>
      </c>
      <c r="I183" s="43" t="s">
        <v>7</v>
      </c>
      <c r="J183" s="127"/>
      <c r="K183" s="127"/>
      <c r="L183" s="127"/>
      <c r="M183" s="127"/>
      <c r="N183" s="127"/>
      <c r="O183" s="41"/>
      <c r="P183" s="41"/>
      <c r="Q183" s="41"/>
      <c r="R183" s="44">
        <v>0</v>
      </c>
      <c r="S183" s="45">
        <f t="shared" si="13"/>
        <v>0</v>
      </c>
      <c r="T183" s="45">
        <f>Table3[[#This Row],[Verzekerde Waarde]]-Table3[[#This Row],[Mutaties]]</f>
        <v>0</v>
      </c>
      <c r="U183" s="45">
        <f t="shared" si="12"/>
        <v>0</v>
      </c>
      <c r="V183" s="41"/>
      <c r="W183" s="45">
        <f>X183+SUMIF(Table4[Subnummer],Table3[[#This Row],[Sub]],Table4[Som mutaties])</f>
        <v>0</v>
      </c>
      <c r="X183" s="46"/>
      <c r="Y183" s="41"/>
    </row>
    <row r="184" spans="1:25" ht="14.4" hidden="1" x14ac:dyDescent="0.3">
      <c r="A184" s="86"/>
      <c r="B184" s="42">
        <f>_xlfn.XLOOKUP(Table3[[#This Row],[Verzekerde]],Relatie,fin_sub)</f>
        <v>0</v>
      </c>
      <c r="C184" s="87">
        <v>178</v>
      </c>
      <c r="D184" s="41" t="s">
        <v>7</v>
      </c>
      <c r="E184" s="41"/>
      <c r="F184" s="43"/>
      <c r="G184" s="43"/>
      <c r="H184" s="43" t="s">
        <v>7</v>
      </c>
      <c r="I184" s="43" t="s">
        <v>7</v>
      </c>
      <c r="J184" s="127"/>
      <c r="K184" s="127"/>
      <c r="L184" s="127"/>
      <c r="M184" s="127"/>
      <c r="N184" s="127"/>
      <c r="O184" s="41"/>
      <c r="P184" s="41"/>
      <c r="Q184" s="41"/>
      <c r="R184" s="44">
        <v>0</v>
      </c>
      <c r="S184" s="45">
        <f t="shared" si="13"/>
        <v>0</v>
      </c>
      <c r="T184" s="45">
        <f>Table3[[#This Row],[Verzekerde Waarde]]-Table3[[#This Row],[Mutaties]]</f>
        <v>0</v>
      </c>
      <c r="U184" s="45">
        <f t="shared" si="12"/>
        <v>0</v>
      </c>
      <c r="V184" s="41"/>
      <c r="W184" s="45">
        <f>X184+SUMIF(Table4[Subnummer],Table3[[#This Row],[Sub]],Table4[Som mutaties])</f>
        <v>0</v>
      </c>
      <c r="X184" s="46"/>
      <c r="Y184" s="41"/>
    </row>
    <row r="185" spans="1:25" ht="14.4" hidden="1" x14ac:dyDescent="0.3">
      <c r="A185" s="86"/>
      <c r="B185" s="42">
        <f>_xlfn.XLOOKUP(Table3[[#This Row],[Verzekerde]],Relatie,fin_sub)</f>
        <v>0</v>
      </c>
      <c r="C185" s="87">
        <v>179</v>
      </c>
      <c r="D185" s="41" t="s">
        <v>7</v>
      </c>
      <c r="E185" s="41"/>
      <c r="F185" s="43"/>
      <c r="G185" s="43"/>
      <c r="H185" s="43" t="s">
        <v>7</v>
      </c>
      <c r="I185" s="43" t="s">
        <v>7</v>
      </c>
      <c r="J185" s="127"/>
      <c r="K185" s="127"/>
      <c r="L185" s="127"/>
      <c r="M185" s="127"/>
      <c r="N185" s="127"/>
      <c r="O185" s="41"/>
      <c r="P185" s="41"/>
      <c r="Q185" s="41"/>
      <c r="R185" s="44">
        <v>0</v>
      </c>
      <c r="S185" s="45">
        <f t="shared" si="13"/>
        <v>0</v>
      </c>
      <c r="T185" s="45">
        <f>Table3[[#This Row],[Verzekerde Waarde]]-Table3[[#This Row],[Mutaties]]</f>
        <v>0</v>
      </c>
      <c r="U185" s="45">
        <f t="shared" si="12"/>
        <v>0</v>
      </c>
      <c r="V185" s="41"/>
      <c r="W185" s="45">
        <f>X185+SUMIF(Table4[Subnummer],Table3[[#This Row],[Sub]],Table4[Som mutaties])</f>
        <v>0</v>
      </c>
      <c r="X185" s="46"/>
      <c r="Y185" s="41"/>
    </row>
    <row r="186" spans="1:25" ht="14.4" hidden="1" x14ac:dyDescent="0.3">
      <c r="A186" s="86"/>
      <c r="B186" s="42">
        <f>_xlfn.XLOOKUP(Table3[[#This Row],[Verzekerde]],Relatie,fin_sub)</f>
        <v>0</v>
      </c>
      <c r="C186" s="87">
        <v>180</v>
      </c>
      <c r="D186" s="41" t="s">
        <v>7</v>
      </c>
      <c r="E186" s="41"/>
      <c r="F186" s="43"/>
      <c r="G186" s="43"/>
      <c r="H186" s="43" t="s">
        <v>7</v>
      </c>
      <c r="I186" s="43" t="s">
        <v>7</v>
      </c>
      <c r="J186" s="127"/>
      <c r="K186" s="127"/>
      <c r="L186" s="127"/>
      <c r="M186" s="127"/>
      <c r="N186" s="127"/>
      <c r="O186" s="41"/>
      <c r="P186" s="41"/>
      <c r="Q186" s="41"/>
      <c r="R186" s="44">
        <v>0</v>
      </c>
      <c r="S186" s="45">
        <f t="shared" si="13"/>
        <v>0</v>
      </c>
      <c r="T186" s="45">
        <f>Table3[[#This Row],[Verzekerde Waarde]]-Table3[[#This Row],[Mutaties]]</f>
        <v>0</v>
      </c>
      <c r="U186" s="45">
        <f t="shared" si="12"/>
        <v>0</v>
      </c>
      <c r="V186" s="41"/>
      <c r="W186" s="45">
        <f>X186+SUMIF(Table4[Subnummer],Table3[[#This Row],[Sub]],Table4[Som mutaties])</f>
        <v>0</v>
      </c>
      <c r="X186" s="46"/>
      <c r="Y186" s="41"/>
    </row>
    <row r="187" spans="1:25" ht="14.4" hidden="1" x14ac:dyDescent="0.3">
      <c r="A187" s="86"/>
      <c r="B187" s="42">
        <f>_xlfn.XLOOKUP(Table3[[#This Row],[Verzekerde]],Relatie,fin_sub)</f>
        <v>0</v>
      </c>
      <c r="C187" s="87">
        <v>181</v>
      </c>
      <c r="D187" s="41" t="s">
        <v>7</v>
      </c>
      <c r="E187" s="41"/>
      <c r="F187" s="43"/>
      <c r="G187" s="43"/>
      <c r="H187" s="43" t="s">
        <v>7</v>
      </c>
      <c r="I187" s="43" t="s">
        <v>7</v>
      </c>
      <c r="J187" s="127"/>
      <c r="K187" s="127"/>
      <c r="L187" s="127"/>
      <c r="M187" s="127"/>
      <c r="N187" s="127"/>
      <c r="O187" s="41"/>
      <c r="P187" s="41"/>
      <c r="Q187" s="41"/>
      <c r="R187" s="44">
        <v>0</v>
      </c>
      <c r="S187" s="45">
        <f t="shared" si="13"/>
        <v>0</v>
      </c>
      <c r="T187" s="45">
        <f>Table3[[#This Row],[Verzekerde Waarde]]-Table3[[#This Row],[Mutaties]]</f>
        <v>0</v>
      </c>
      <c r="U187" s="45">
        <f t="shared" si="12"/>
        <v>0</v>
      </c>
      <c r="V187" s="41"/>
      <c r="W187" s="45">
        <f>X187+SUMIF(Table4[Subnummer],Table3[[#This Row],[Sub]],Table4[Som mutaties])</f>
        <v>0</v>
      </c>
      <c r="X187" s="46"/>
      <c r="Y187" s="41"/>
    </row>
    <row r="188" spans="1:25" ht="14.4" hidden="1" x14ac:dyDescent="0.3">
      <c r="A188" s="86"/>
      <c r="B188" s="42">
        <f>_xlfn.XLOOKUP(Table3[[#This Row],[Verzekerde]],Relatie,fin_sub)</f>
        <v>0</v>
      </c>
      <c r="C188" s="87">
        <v>182</v>
      </c>
      <c r="D188" s="41" t="s">
        <v>7</v>
      </c>
      <c r="E188" s="41"/>
      <c r="F188" s="43"/>
      <c r="G188" s="43"/>
      <c r="H188" s="43" t="s">
        <v>7</v>
      </c>
      <c r="I188" s="43" t="s">
        <v>7</v>
      </c>
      <c r="J188" s="127"/>
      <c r="K188" s="127"/>
      <c r="L188" s="127"/>
      <c r="M188" s="127"/>
      <c r="N188" s="127"/>
      <c r="O188" s="41"/>
      <c r="P188" s="41"/>
      <c r="Q188" s="41"/>
      <c r="R188" s="44">
        <v>0</v>
      </c>
      <c r="S188" s="45">
        <f t="shared" si="13"/>
        <v>0</v>
      </c>
      <c r="T188" s="45">
        <f>Table3[[#This Row],[Verzekerde Waarde]]-Table3[[#This Row],[Mutaties]]</f>
        <v>0</v>
      </c>
      <c r="U188" s="45">
        <f t="shared" si="12"/>
        <v>0</v>
      </c>
      <c r="V188" s="41"/>
      <c r="W188" s="45">
        <f>X188+SUMIF(Table4[Subnummer],Table3[[#This Row],[Sub]],Table4[Som mutaties])</f>
        <v>0</v>
      </c>
      <c r="X188" s="46"/>
      <c r="Y188" s="41"/>
    </row>
    <row r="189" spans="1:25" ht="14.4" hidden="1" x14ac:dyDescent="0.3">
      <c r="A189" s="86"/>
      <c r="B189" s="42">
        <f>_xlfn.XLOOKUP(Table3[[#This Row],[Verzekerde]],Relatie,fin_sub)</f>
        <v>0</v>
      </c>
      <c r="C189" s="87">
        <v>183</v>
      </c>
      <c r="D189" s="41" t="s">
        <v>7</v>
      </c>
      <c r="E189" s="41"/>
      <c r="F189" s="43"/>
      <c r="G189" s="43"/>
      <c r="H189" s="43" t="s">
        <v>7</v>
      </c>
      <c r="I189" s="43" t="s">
        <v>7</v>
      </c>
      <c r="J189" s="127"/>
      <c r="K189" s="127"/>
      <c r="L189" s="127"/>
      <c r="M189" s="127"/>
      <c r="N189" s="127"/>
      <c r="O189" s="41"/>
      <c r="P189" s="41"/>
      <c r="Q189" s="41"/>
      <c r="R189" s="44">
        <v>0</v>
      </c>
      <c r="S189" s="45">
        <f t="shared" si="13"/>
        <v>0</v>
      </c>
      <c r="T189" s="45">
        <f>Table3[[#This Row],[Verzekerde Waarde]]-Table3[[#This Row],[Mutaties]]</f>
        <v>0</v>
      </c>
      <c r="U189" s="45">
        <f t="shared" si="12"/>
        <v>0</v>
      </c>
      <c r="V189" s="41"/>
      <c r="W189" s="45">
        <f>X189+SUMIF(Table4[Subnummer],Table3[[#This Row],[Sub]],Table4[Som mutaties])</f>
        <v>0</v>
      </c>
      <c r="X189" s="46"/>
      <c r="Y189" s="41"/>
    </row>
    <row r="190" spans="1:25" ht="14.4" hidden="1" x14ac:dyDescent="0.3">
      <c r="A190" s="86"/>
      <c r="B190" s="42">
        <f>_xlfn.XLOOKUP(Table3[[#This Row],[Verzekerde]],Relatie,fin_sub)</f>
        <v>0</v>
      </c>
      <c r="C190" s="87">
        <v>184</v>
      </c>
      <c r="D190" s="41" t="s">
        <v>7</v>
      </c>
      <c r="E190" s="41"/>
      <c r="F190" s="43"/>
      <c r="G190" s="43"/>
      <c r="H190" s="43" t="s">
        <v>7</v>
      </c>
      <c r="I190" s="43" t="s">
        <v>7</v>
      </c>
      <c r="J190" s="127"/>
      <c r="K190" s="127"/>
      <c r="L190" s="127"/>
      <c r="M190" s="127"/>
      <c r="N190" s="127"/>
      <c r="O190" s="41"/>
      <c r="P190" s="41"/>
      <c r="Q190" s="41"/>
      <c r="R190" s="44">
        <v>0</v>
      </c>
      <c r="S190" s="45">
        <f t="shared" si="13"/>
        <v>0</v>
      </c>
      <c r="T190" s="45">
        <f>Table3[[#This Row],[Verzekerde Waarde]]-Table3[[#This Row],[Mutaties]]</f>
        <v>0</v>
      </c>
      <c r="U190" s="45">
        <f t="shared" si="12"/>
        <v>0</v>
      </c>
      <c r="V190" s="41"/>
      <c r="W190" s="45">
        <f>X190+SUMIF(Table4[Subnummer],Table3[[#This Row],[Sub]],Table4[Som mutaties])</f>
        <v>0</v>
      </c>
      <c r="X190" s="46"/>
      <c r="Y190" s="41"/>
    </row>
    <row r="191" spans="1:25" ht="14.4" hidden="1" x14ac:dyDescent="0.3">
      <c r="A191" s="86"/>
      <c r="B191" s="42">
        <f>_xlfn.XLOOKUP(Table3[[#This Row],[Verzekerde]],Relatie,fin_sub)</f>
        <v>0</v>
      </c>
      <c r="C191" s="87">
        <v>185</v>
      </c>
      <c r="D191" s="41" t="s">
        <v>7</v>
      </c>
      <c r="E191" s="41"/>
      <c r="F191" s="43"/>
      <c r="G191" s="43"/>
      <c r="H191" s="43" t="s">
        <v>7</v>
      </c>
      <c r="I191" s="43" t="s">
        <v>7</v>
      </c>
      <c r="J191" s="127"/>
      <c r="K191" s="127"/>
      <c r="L191" s="127"/>
      <c r="M191" s="127"/>
      <c r="N191" s="127"/>
      <c r="O191" s="41"/>
      <c r="P191" s="41"/>
      <c r="Q191" s="41"/>
      <c r="R191" s="44">
        <v>0</v>
      </c>
      <c r="S191" s="45">
        <f t="shared" si="13"/>
        <v>0</v>
      </c>
      <c r="T191" s="45">
        <f>Table3[[#This Row],[Verzekerde Waarde]]-Table3[[#This Row],[Mutaties]]</f>
        <v>0</v>
      </c>
      <c r="U191" s="45">
        <f t="shared" si="12"/>
        <v>0</v>
      </c>
      <c r="V191" s="41"/>
      <c r="W191" s="45">
        <f>X191+SUMIF(Table4[Subnummer],Table3[[#This Row],[Sub]],Table4[Som mutaties])</f>
        <v>0</v>
      </c>
      <c r="X191" s="46"/>
      <c r="Y191" s="41"/>
    </row>
    <row r="192" spans="1:25" ht="14.4" hidden="1" x14ac:dyDescent="0.3">
      <c r="A192" s="86"/>
      <c r="B192" s="42">
        <f>_xlfn.XLOOKUP(Table3[[#This Row],[Verzekerde]],Relatie,fin_sub)</f>
        <v>0</v>
      </c>
      <c r="C192" s="87">
        <v>186</v>
      </c>
      <c r="D192" s="41" t="s">
        <v>7</v>
      </c>
      <c r="E192" s="41"/>
      <c r="F192" s="43"/>
      <c r="G192" s="43"/>
      <c r="H192" s="43" t="s">
        <v>7</v>
      </c>
      <c r="I192" s="43" t="s">
        <v>7</v>
      </c>
      <c r="J192" s="127"/>
      <c r="K192" s="127"/>
      <c r="L192" s="127"/>
      <c r="M192" s="127"/>
      <c r="N192" s="127"/>
      <c r="O192" s="41"/>
      <c r="P192" s="41"/>
      <c r="Q192" s="41"/>
      <c r="R192" s="44">
        <v>0</v>
      </c>
      <c r="S192" s="45">
        <f t="shared" si="13"/>
        <v>0</v>
      </c>
      <c r="T192" s="45">
        <f>Table3[[#This Row],[Verzekerde Waarde]]-Table3[[#This Row],[Mutaties]]</f>
        <v>0</v>
      </c>
      <c r="U192" s="45">
        <f t="shared" si="12"/>
        <v>0</v>
      </c>
      <c r="V192" s="41"/>
      <c r="W192" s="45">
        <f>X192+SUMIF(Table4[Subnummer],Table3[[#This Row],[Sub]],Table4[Som mutaties])</f>
        <v>0</v>
      </c>
      <c r="X192" s="46"/>
      <c r="Y192" s="41"/>
    </row>
    <row r="193" spans="1:25" ht="14.4" hidden="1" x14ac:dyDescent="0.3">
      <c r="A193" s="86"/>
      <c r="B193" s="42">
        <f>_xlfn.XLOOKUP(Table3[[#This Row],[Verzekerde]],Relatie,fin_sub)</f>
        <v>0</v>
      </c>
      <c r="C193" s="87">
        <v>187</v>
      </c>
      <c r="D193" s="41" t="s">
        <v>7</v>
      </c>
      <c r="E193" s="41"/>
      <c r="F193" s="43"/>
      <c r="G193" s="43"/>
      <c r="H193" s="43" t="s">
        <v>7</v>
      </c>
      <c r="I193" s="43" t="s">
        <v>7</v>
      </c>
      <c r="J193" s="127"/>
      <c r="K193" s="127"/>
      <c r="L193" s="127"/>
      <c r="M193" s="127"/>
      <c r="N193" s="127"/>
      <c r="O193" s="41"/>
      <c r="P193" s="41"/>
      <c r="Q193" s="41"/>
      <c r="R193" s="44">
        <v>0</v>
      </c>
      <c r="S193" s="45">
        <f t="shared" si="13"/>
        <v>0</v>
      </c>
      <c r="T193" s="45">
        <f>Table3[[#This Row],[Verzekerde Waarde]]-Table3[[#This Row],[Mutaties]]</f>
        <v>0</v>
      </c>
      <c r="U193" s="45">
        <f t="shared" si="12"/>
        <v>0</v>
      </c>
      <c r="V193" s="41"/>
      <c r="W193" s="45">
        <f>X193+SUMIF(Table4[Subnummer],Table3[[#This Row],[Sub]],Table4[Som mutaties])</f>
        <v>0</v>
      </c>
      <c r="X193" s="46"/>
      <c r="Y193" s="41"/>
    </row>
    <row r="194" spans="1:25" ht="14.4" hidden="1" x14ac:dyDescent="0.3">
      <c r="A194" s="86"/>
      <c r="B194" s="42">
        <f>_xlfn.XLOOKUP(Table3[[#This Row],[Verzekerde]],Relatie,fin_sub)</f>
        <v>0</v>
      </c>
      <c r="C194" s="87">
        <v>188</v>
      </c>
      <c r="D194" s="41" t="s">
        <v>7</v>
      </c>
      <c r="E194" s="41"/>
      <c r="F194" s="43"/>
      <c r="G194" s="43"/>
      <c r="H194" s="43" t="s">
        <v>7</v>
      </c>
      <c r="I194" s="43" t="s">
        <v>7</v>
      </c>
      <c r="J194" s="127"/>
      <c r="K194" s="127"/>
      <c r="L194" s="127"/>
      <c r="M194" s="127"/>
      <c r="N194" s="127"/>
      <c r="O194" s="41"/>
      <c r="P194" s="41"/>
      <c r="Q194" s="41"/>
      <c r="R194" s="44">
        <v>0</v>
      </c>
      <c r="S194" s="45">
        <f t="shared" si="13"/>
        <v>0</v>
      </c>
      <c r="T194" s="45">
        <f>Table3[[#This Row],[Verzekerde Waarde]]-Table3[[#This Row],[Mutaties]]</f>
        <v>0</v>
      </c>
      <c r="U194" s="45">
        <f t="shared" si="12"/>
        <v>0</v>
      </c>
      <c r="V194" s="41"/>
      <c r="W194" s="45">
        <f>X194+SUMIF(Table4[Subnummer],Table3[[#This Row],[Sub]],Table4[Som mutaties])</f>
        <v>0</v>
      </c>
      <c r="X194" s="46"/>
      <c r="Y194" s="41"/>
    </row>
    <row r="195" spans="1:25" ht="14.4" hidden="1" x14ac:dyDescent="0.3">
      <c r="A195" s="86"/>
      <c r="B195" s="42">
        <f>_xlfn.XLOOKUP(Table3[[#This Row],[Verzekerde]],Relatie,fin_sub)</f>
        <v>0</v>
      </c>
      <c r="C195" s="87">
        <v>189</v>
      </c>
      <c r="D195" s="41" t="s">
        <v>7</v>
      </c>
      <c r="E195" s="41"/>
      <c r="F195" s="43"/>
      <c r="G195" s="43"/>
      <c r="H195" s="43" t="s">
        <v>7</v>
      </c>
      <c r="I195" s="43" t="s">
        <v>7</v>
      </c>
      <c r="J195" s="127"/>
      <c r="K195" s="127"/>
      <c r="L195" s="127"/>
      <c r="M195" s="127"/>
      <c r="N195" s="127"/>
      <c r="O195" s="41"/>
      <c r="P195" s="41"/>
      <c r="Q195" s="41"/>
      <c r="R195" s="44">
        <v>0</v>
      </c>
      <c r="S195" s="45">
        <f t="shared" si="13"/>
        <v>0</v>
      </c>
      <c r="T195" s="45">
        <f>Table3[[#This Row],[Verzekerde Waarde]]-Table3[[#This Row],[Mutaties]]</f>
        <v>0</v>
      </c>
      <c r="U195" s="45">
        <f t="shared" si="12"/>
        <v>0</v>
      </c>
      <c r="V195" s="41"/>
      <c r="W195" s="45">
        <f>X195+SUMIF(Table4[Subnummer],Table3[[#This Row],[Sub]],Table4[Som mutaties])</f>
        <v>0</v>
      </c>
      <c r="X195" s="46"/>
      <c r="Y195" s="41"/>
    </row>
    <row r="196" spans="1:25" ht="14.4" hidden="1" x14ac:dyDescent="0.3">
      <c r="A196" s="86"/>
      <c r="B196" s="42">
        <f>_xlfn.XLOOKUP(Table3[[#This Row],[Verzekerde]],Relatie,fin_sub)</f>
        <v>0</v>
      </c>
      <c r="C196" s="87">
        <v>190</v>
      </c>
      <c r="D196" s="41" t="s">
        <v>7</v>
      </c>
      <c r="E196" s="41"/>
      <c r="F196" s="43"/>
      <c r="G196" s="43"/>
      <c r="H196" s="43" t="s">
        <v>7</v>
      </c>
      <c r="I196" s="43" t="s">
        <v>7</v>
      </c>
      <c r="J196" s="127"/>
      <c r="K196" s="127"/>
      <c r="L196" s="127"/>
      <c r="M196" s="127"/>
      <c r="N196" s="127"/>
      <c r="O196" s="41"/>
      <c r="P196" s="41"/>
      <c r="Q196" s="41"/>
      <c r="R196" s="44">
        <v>0</v>
      </c>
      <c r="S196" s="45">
        <f t="shared" si="13"/>
        <v>0</v>
      </c>
      <c r="T196" s="45">
        <f>Table3[[#This Row],[Verzekerde Waarde]]-Table3[[#This Row],[Mutaties]]</f>
        <v>0</v>
      </c>
      <c r="U196" s="45">
        <f t="shared" si="12"/>
        <v>0</v>
      </c>
      <c r="V196" s="41"/>
      <c r="W196" s="45">
        <f>X196+SUMIF(Table4[Subnummer],Table3[[#This Row],[Sub]],Table4[Som mutaties])</f>
        <v>0</v>
      </c>
      <c r="X196" s="46"/>
      <c r="Y196" s="41"/>
    </row>
    <row r="197" spans="1:25" ht="14.4" hidden="1" x14ac:dyDescent="0.3">
      <c r="A197" s="86"/>
      <c r="B197" s="42">
        <f>_xlfn.XLOOKUP(Table3[[#This Row],[Verzekerde]],Relatie,fin_sub)</f>
        <v>0</v>
      </c>
      <c r="C197" s="87">
        <v>191</v>
      </c>
      <c r="D197" s="41" t="s">
        <v>7</v>
      </c>
      <c r="E197" s="41"/>
      <c r="F197" s="43"/>
      <c r="G197" s="43"/>
      <c r="H197" s="43" t="s">
        <v>7</v>
      </c>
      <c r="I197" s="43" t="s">
        <v>7</v>
      </c>
      <c r="J197" s="127"/>
      <c r="K197" s="127"/>
      <c r="L197" s="127"/>
      <c r="M197" s="127"/>
      <c r="N197" s="127"/>
      <c r="O197" s="41"/>
      <c r="P197" s="41"/>
      <c r="Q197" s="41"/>
      <c r="R197" s="44">
        <v>0</v>
      </c>
      <c r="S197" s="45">
        <f t="shared" si="13"/>
        <v>0</v>
      </c>
      <c r="T197" s="45">
        <f>Table3[[#This Row],[Verzekerde Waarde]]-Table3[[#This Row],[Mutaties]]</f>
        <v>0</v>
      </c>
      <c r="U197" s="45">
        <f t="shared" ref="U197:U260" si="14">IF(V197=Y197,W197,ROUNDUP(W197/Y197*V197,-3))</f>
        <v>0</v>
      </c>
      <c r="V197" s="41"/>
      <c r="W197" s="45">
        <f>X197+SUMIF(Table4[Subnummer],Table3[[#This Row],[Sub]],Table4[Som mutaties])</f>
        <v>0</v>
      </c>
      <c r="X197" s="46"/>
      <c r="Y197" s="41"/>
    </row>
    <row r="198" spans="1:25" ht="14.4" hidden="1" x14ac:dyDescent="0.3">
      <c r="A198" s="86"/>
      <c r="B198" s="42">
        <f>_xlfn.XLOOKUP(Table3[[#This Row],[Verzekerde]],Relatie,fin_sub)</f>
        <v>0</v>
      </c>
      <c r="C198" s="87">
        <v>192</v>
      </c>
      <c r="D198" s="41" t="s">
        <v>7</v>
      </c>
      <c r="E198" s="41"/>
      <c r="F198" s="43"/>
      <c r="G198" s="43"/>
      <c r="H198" s="43" t="s">
        <v>7</v>
      </c>
      <c r="I198" s="43" t="s">
        <v>7</v>
      </c>
      <c r="J198" s="127"/>
      <c r="K198" s="127"/>
      <c r="L198" s="127"/>
      <c r="M198" s="127"/>
      <c r="N198" s="127"/>
      <c r="O198" s="41"/>
      <c r="P198" s="41"/>
      <c r="Q198" s="41"/>
      <c r="R198" s="44">
        <v>0</v>
      </c>
      <c r="S198" s="45">
        <f t="shared" si="13"/>
        <v>0</v>
      </c>
      <c r="T198" s="45">
        <f>Table3[[#This Row],[Verzekerde Waarde]]-Table3[[#This Row],[Mutaties]]</f>
        <v>0</v>
      </c>
      <c r="U198" s="45">
        <f t="shared" si="14"/>
        <v>0</v>
      </c>
      <c r="V198" s="41"/>
      <c r="W198" s="45">
        <f>X198+SUMIF(Table4[Subnummer],Table3[[#This Row],[Sub]],Table4[Som mutaties])</f>
        <v>0</v>
      </c>
      <c r="X198" s="46"/>
      <c r="Y198" s="41"/>
    </row>
    <row r="199" spans="1:25" ht="14.4" hidden="1" x14ac:dyDescent="0.3">
      <c r="A199" s="86"/>
      <c r="B199" s="42">
        <f>_xlfn.XLOOKUP(Table3[[#This Row],[Verzekerde]],Relatie,fin_sub)</f>
        <v>0</v>
      </c>
      <c r="C199" s="87">
        <v>193</v>
      </c>
      <c r="D199" s="41" t="s">
        <v>7</v>
      </c>
      <c r="E199" s="41"/>
      <c r="F199" s="43"/>
      <c r="G199" s="43"/>
      <c r="H199" s="43" t="s">
        <v>7</v>
      </c>
      <c r="I199" s="43" t="s">
        <v>7</v>
      </c>
      <c r="J199" s="127"/>
      <c r="K199" s="127"/>
      <c r="L199" s="127"/>
      <c r="M199" s="127"/>
      <c r="N199" s="127"/>
      <c r="O199" s="41"/>
      <c r="P199" s="41"/>
      <c r="Q199" s="41"/>
      <c r="R199" s="44">
        <v>0</v>
      </c>
      <c r="S199" s="45">
        <f t="shared" si="13"/>
        <v>0</v>
      </c>
      <c r="T199" s="45">
        <f>Table3[[#This Row],[Verzekerde Waarde]]-Table3[[#This Row],[Mutaties]]</f>
        <v>0</v>
      </c>
      <c r="U199" s="45">
        <f t="shared" si="14"/>
        <v>0</v>
      </c>
      <c r="V199" s="41"/>
      <c r="W199" s="45">
        <f>X199+SUMIF(Table4[Subnummer],Table3[[#This Row],[Sub]],Table4[Som mutaties])</f>
        <v>0</v>
      </c>
      <c r="X199" s="46"/>
      <c r="Y199" s="41"/>
    </row>
    <row r="200" spans="1:25" ht="14.4" hidden="1" x14ac:dyDescent="0.3">
      <c r="A200" s="86"/>
      <c r="B200" s="42">
        <f>_xlfn.XLOOKUP(Table3[[#This Row],[Verzekerde]],Relatie,fin_sub)</f>
        <v>0</v>
      </c>
      <c r="C200" s="87">
        <v>194</v>
      </c>
      <c r="D200" s="41" t="s">
        <v>7</v>
      </c>
      <c r="E200" s="41"/>
      <c r="F200" s="43"/>
      <c r="G200" s="43"/>
      <c r="H200" s="43" t="s">
        <v>7</v>
      </c>
      <c r="I200" s="43" t="s">
        <v>7</v>
      </c>
      <c r="J200" s="127"/>
      <c r="K200" s="127"/>
      <c r="L200" s="127"/>
      <c r="M200" s="127"/>
      <c r="N200" s="127"/>
      <c r="O200" s="41"/>
      <c r="P200" s="41"/>
      <c r="Q200" s="41"/>
      <c r="R200" s="44">
        <v>0</v>
      </c>
      <c r="S200" s="45">
        <f t="shared" si="13"/>
        <v>0</v>
      </c>
      <c r="T200" s="45">
        <f>Table3[[#This Row],[Verzekerde Waarde]]-Table3[[#This Row],[Mutaties]]</f>
        <v>0</v>
      </c>
      <c r="U200" s="45">
        <f t="shared" si="14"/>
        <v>0</v>
      </c>
      <c r="V200" s="41"/>
      <c r="W200" s="45">
        <f>X200+SUMIF(Table4[Subnummer],Table3[[#This Row],[Sub]],Table4[Som mutaties])</f>
        <v>0</v>
      </c>
      <c r="X200" s="46"/>
      <c r="Y200" s="41"/>
    </row>
    <row r="201" spans="1:25" ht="14.4" hidden="1" x14ac:dyDescent="0.3">
      <c r="A201" s="86"/>
      <c r="B201" s="42">
        <f>_xlfn.XLOOKUP(Table3[[#This Row],[Verzekerde]],Relatie,fin_sub)</f>
        <v>0</v>
      </c>
      <c r="C201" s="87">
        <v>195</v>
      </c>
      <c r="D201" s="41" t="s">
        <v>7</v>
      </c>
      <c r="E201" s="41"/>
      <c r="F201" s="43"/>
      <c r="G201" s="43"/>
      <c r="H201" s="43" t="s">
        <v>7</v>
      </c>
      <c r="I201" s="43" t="s">
        <v>7</v>
      </c>
      <c r="J201" s="127"/>
      <c r="K201" s="127"/>
      <c r="L201" s="127"/>
      <c r="M201" s="127"/>
      <c r="N201" s="127"/>
      <c r="O201" s="41"/>
      <c r="P201" s="41"/>
      <c r="Q201" s="41"/>
      <c r="R201" s="44">
        <v>0</v>
      </c>
      <c r="S201" s="45">
        <f t="shared" si="13"/>
        <v>0</v>
      </c>
      <c r="T201" s="45">
        <f>Table3[[#This Row],[Verzekerde Waarde]]-Table3[[#This Row],[Mutaties]]</f>
        <v>0</v>
      </c>
      <c r="U201" s="45">
        <f t="shared" si="14"/>
        <v>0</v>
      </c>
      <c r="V201" s="41"/>
      <c r="W201" s="45">
        <f>X201+SUMIF(Table4[Subnummer],Table3[[#This Row],[Sub]],Table4[Som mutaties])</f>
        <v>0</v>
      </c>
      <c r="X201" s="46"/>
      <c r="Y201" s="41"/>
    </row>
    <row r="202" spans="1:25" ht="14.4" hidden="1" x14ac:dyDescent="0.3">
      <c r="A202" s="86"/>
      <c r="B202" s="42">
        <f>_xlfn.XLOOKUP(Table3[[#This Row],[Verzekerde]],Relatie,fin_sub)</f>
        <v>0</v>
      </c>
      <c r="C202" s="87">
        <v>196</v>
      </c>
      <c r="D202" s="41" t="s">
        <v>7</v>
      </c>
      <c r="E202" s="41"/>
      <c r="F202" s="43"/>
      <c r="G202" s="43"/>
      <c r="H202" s="43" t="s">
        <v>7</v>
      </c>
      <c r="I202" s="43" t="s">
        <v>7</v>
      </c>
      <c r="J202" s="127"/>
      <c r="K202" s="127"/>
      <c r="L202" s="127"/>
      <c r="M202" s="127"/>
      <c r="N202" s="127"/>
      <c r="O202" s="41"/>
      <c r="P202" s="41"/>
      <c r="Q202" s="41"/>
      <c r="R202" s="44">
        <v>0</v>
      </c>
      <c r="S202" s="45">
        <f t="shared" si="13"/>
        <v>0</v>
      </c>
      <c r="T202" s="45">
        <f>Table3[[#This Row],[Verzekerde Waarde]]-Table3[[#This Row],[Mutaties]]</f>
        <v>0</v>
      </c>
      <c r="U202" s="45">
        <f t="shared" si="14"/>
        <v>0</v>
      </c>
      <c r="V202" s="41"/>
      <c r="W202" s="45">
        <f>X202+SUMIF(Table4[Subnummer],Table3[[#This Row],[Sub]],Table4[Som mutaties])</f>
        <v>0</v>
      </c>
      <c r="X202" s="46"/>
      <c r="Y202" s="41"/>
    </row>
    <row r="203" spans="1:25" ht="14.4" hidden="1" x14ac:dyDescent="0.3">
      <c r="A203" s="86"/>
      <c r="B203" s="42">
        <f>_xlfn.XLOOKUP(Table3[[#This Row],[Verzekerde]],Relatie,fin_sub)</f>
        <v>0</v>
      </c>
      <c r="C203" s="87">
        <v>197</v>
      </c>
      <c r="D203" s="41" t="s">
        <v>7</v>
      </c>
      <c r="E203" s="41"/>
      <c r="F203" s="43"/>
      <c r="G203" s="43"/>
      <c r="H203" s="43" t="s">
        <v>7</v>
      </c>
      <c r="I203" s="43" t="s">
        <v>7</v>
      </c>
      <c r="J203" s="127"/>
      <c r="K203" s="127"/>
      <c r="L203" s="127"/>
      <c r="M203" s="127"/>
      <c r="N203" s="127"/>
      <c r="O203" s="41"/>
      <c r="P203" s="41"/>
      <c r="Q203" s="41"/>
      <c r="R203" s="44">
        <v>0</v>
      </c>
      <c r="S203" s="45">
        <f t="shared" si="13"/>
        <v>0</v>
      </c>
      <c r="T203" s="45">
        <f>Table3[[#This Row],[Verzekerde Waarde]]-Table3[[#This Row],[Mutaties]]</f>
        <v>0</v>
      </c>
      <c r="U203" s="45">
        <f t="shared" si="14"/>
        <v>0</v>
      </c>
      <c r="V203" s="41"/>
      <c r="W203" s="45">
        <f>X203+SUMIF(Table4[Subnummer],Table3[[#This Row],[Sub]],Table4[Som mutaties])</f>
        <v>0</v>
      </c>
      <c r="X203" s="46"/>
      <c r="Y203" s="41"/>
    </row>
    <row r="204" spans="1:25" ht="14.4" hidden="1" x14ac:dyDescent="0.3">
      <c r="A204" s="86"/>
      <c r="B204" s="42">
        <f>_xlfn.XLOOKUP(Table3[[#This Row],[Verzekerde]],Relatie,fin_sub)</f>
        <v>0</v>
      </c>
      <c r="C204" s="87">
        <v>198</v>
      </c>
      <c r="D204" s="41" t="s">
        <v>7</v>
      </c>
      <c r="E204" s="41"/>
      <c r="F204" s="43"/>
      <c r="G204" s="43"/>
      <c r="H204" s="43" t="s">
        <v>7</v>
      </c>
      <c r="I204" s="43" t="s">
        <v>7</v>
      </c>
      <c r="J204" s="127"/>
      <c r="K204" s="127"/>
      <c r="L204" s="127"/>
      <c r="M204" s="127"/>
      <c r="N204" s="127"/>
      <c r="O204" s="41"/>
      <c r="P204" s="41"/>
      <c r="Q204" s="41"/>
      <c r="R204" s="44">
        <v>0</v>
      </c>
      <c r="S204" s="45">
        <f t="shared" si="13"/>
        <v>0</v>
      </c>
      <c r="T204" s="45">
        <f>Table3[[#This Row],[Verzekerde Waarde]]-Table3[[#This Row],[Mutaties]]</f>
        <v>0</v>
      </c>
      <c r="U204" s="45">
        <f t="shared" si="14"/>
        <v>0</v>
      </c>
      <c r="V204" s="41"/>
      <c r="W204" s="45">
        <f>X204+SUMIF(Table4[Subnummer],Table3[[#This Row],[Sub]],Table4[Som mutaties])</f>
        <v>0</v>
      </c>
      <c r="X204" s="46"/>
      <c r="Y204" s="41"/>
    </row>
    <row r="205" spans="1:25" ht="14.4" hidden="1" x14ac:dyDescent="0.3">
      <c r="A205" s="86"/>
      <c r="B205" s="42">
        <f>_xlfn.XLOOKUP(Table3[[#This Row],[Verzekerde]],Relatie,fin_sub)</f>
        <v>0</v>
      </c>
      <c r="C205" s="87">
        <v>199</v>
      </c>
      <c r="D205" s="41" t="s">
        <v>7</v>
      </c>
      <c r="E205" s="41"/>
      <c r="F205" s="43"/>
      <c r="G205" s="43"/>
      <c r="H205" s="43" t="s">
        <v>7</v>
      </c>
      <c r="I205" s="43" t="s">
        <v>7</v>
      </c>
      <c r="J205" s="127"/>
      <c r="K205" s="127"/>
      <c r="L205" s="127"/>
      <c r="M205" s="127"/>
      <c r="N205" s="127"/>
      <c r="O205" s="41"/>
      <c r="P205" s="41"/>
      <c r="Q205" s="41"/>
      <c r="R205" s="44">
        <v>0</v>
      </c>
      <c r="S205" s="45">
        <f t="shared" si="13"/>
        <v>0</v>
      </c>
      <c r="T205" s="45">
        <f>Table3[[#This Row],[Verzekerde Waarde]]-Table3[[#This Row],[Mutaties]]</f>
        <v>0</v>
      </c>
      <c r="U205" s="45">
        <f t="shared" si="14"/>
        <v>0</v>
      </c>
      <c r="V205" s="41"/>
      <c r="W205" s="45">
        <f>X205+SUMIF(Table4[Subnummer],Table3[[#This Row],[Sub]],Table4[Som mutaties])</f>
        <v>0</v>
      </c>
      <c r="X205" s="46"/>
      <c r="Y205" s="41"/>
    </row>
    <row r="206" spans="1:25" ht="14.4" hidden="1" x14ac:dyDescent="0.3">
      <c r="A206" s="86"/>
      <c r="B206" s="42">
        <f>_xlfn.XLOOKUP(Table3[[#This Row],[Verzekerde]],Relatie,fin_sub)</f>
        <v>0</v>
      </c>
      <c r="C206" s="87">
        <v>200</v>
      </c>
      <c r="D206" s="41" t="s">
        <v>7</v>
      </c>
      <c r="E206" s="41"/>
      <c r="F206" s="43"/>
      <c r="G206" s="43"/>
      <c r="H206" s="43" t="s">
        <v>7</v>
      </c>
      <c r="I206" s="43" t="s">
        <v>7</v>
      </c>
      <c r="J206" s="127"/>
      <c r="K206" s="127"/>
      <c r="L206" s="127"/>
      <c r="M206" s="127"/>
      <c r="N206" s="127"/>
      <c r="O206" s="41"/>
      <c r="P206" s="41"/>
      <c r="Q206" s="41"/>
      <c r="R206" s="44">
        <v>0</v>
      </c>
      <c r="S206" s="45">
        <f t="shared" si="13"/>
        <v>0</v>
      </c>
      <c r="T206" s="45">
        <f>Table3[[#This Row],[Verzekerde Waarde]]-Table3[[#This Row],[Mutaties]]</f>
        <v>0</v>
      </c>
      <c r="U206" s="45">
        <f t="shared" si="14"/>
        <v>0</v>
      </c>
      <c r="V206" s="41"/>
      <c r="W206" s="45">
        <f>X206+SUMIF(Table4[Subnummer],Table3[[#This Row],[Sub]],Table4[Som mutaties])</f>
        <v>0</v>
      </c>
      <c r="X206" s="46"/>
      <c r="Y206" s="41"/>
    </row>
    <row r="207" spans="1:25" ht="14.4" hidden="1" x14ac:dyDescent="0.3">
      <c r="A207" s="86"/>
      <c r="B207" s="42">
        <f>_xlfn.XLOOKUP(Table3[[#This Row],[Verzekerde]],Relatie,fin_sub)</f>
        <v>0</v>
      </c>
      <c r="C207" s="87">
        <v>201</v>
      </c>
      <c r="D207" s="41" t="s">
        <v>7</v>
      </c>
      <c r="E207" s="41"/>
      <c r="F207" s="43"/>
      <c r="G207" s="43"/>
      <c r="H207" s="43" t="s">
        <v>7</v>
      </c>
      <c r="I207" s="43" t="s">
        <v>7</v>
      </c>
      <c r="J207" s="127"/>
      <c r="K207" s="127"/>
      <c r="L207" s="127"/>
      <c r="M207" s="127"/>
      <c r="N207" s="127"/>
      <c r="O207" s="41"/>
      <c r="P207" s="41"/>
      <c r="Q207" s="41"/>
      <c r="R207" s="44">
        <v>0</v>
      </c>
      <c r="S207" s="45">
        <f t="shared" si="13"/>
        <v>0</v>
      </c>
      <c r="T207" s="45">
        <f>Table3[[#This Row],[Verzekerde Waarde]]-Table3[[#This Row],[Mutaties]]</f>
        <v>0</v>
      </c>
      <c r="U207" s="45">
        <f t="shared" si="14"/>
        <v>0</v>
      </c>
      <c r="V207" s="41"/>
      <c r="W207" s="45">
        <f>X207+SUMIF(Table4[Subnummer],Table3[[#This Row],[Sub]],Table4[Som mutaties])</f>
        <v>0</v>
      </c>
      <c r="X207" s="46"/>
      <c r="Y207" s="41"/>
    </row>
    <row r="208" spans="1:25" ht="14.4" hidden="1" x14ac:dyDescent="0.3">
      <c r="A208" s="86"/>
      <c r="B208" s="42">
        <f>_xlfn.XLOOKUP(Table3[[#This Row],[Verzekerde]],Relatie,fin_sub)</f>
        <v>0</v>
      </c>
      <c r="C208" s="87">
        <v>202</v>
      </c>
      <c r="D208" s="41" t="s">
        <v>7</v>
      </c>
      <c r="E208" s="41"/>
      <c r="F208" s="43"/>
      <c r="G208" s="43"/>
      <c r="H208" s="43" t="s">
        <v>7</v>
      </c>
      <c r="I208" s="43" t="s">
        <v>7</v>
      </c>
      <c r="J208" s="127"/>
      <c r="K208" s="127"/>
      <c r="L208" s="127"/>
      <c r="M208" s="127"/>
      <c r="N208" s="127"/>
      <c r="O208" s="41"/>
      <c r="P208" s="41"/>
      <c r="Q208" s="41"/>
      <c r="R208" s="44">
        <v>0</v>
      </c>
      <c r="S208" s="45">
        <f t="shared" si="13"/>
        <v>0</v>
      </c>
      <c r="T208" s="45">
        <f>Table3[[#This Row],[Verzekerde Waarde]]-Table3[[#This Row],[Mutaties]]</f>
        <v>0</v>
      </c>
      <c r="U208" s="45">
        <f t="shared" si="14"/>
        <v>0</v>
      </c>
      <c r="V208" s="41"/>
      <c r="W208" s="45">
        <f>X208+SUMIF(Table4[Subnummer],Table3[[#This Row],[Sub]],Table4[Som mutaties])</f>
        <v>0</v>
      </c>
      <c r="X208" s="46"/>
      <c r="Y208" s="41"/>
    </row>
    <row r="209" spans="1:25" ht="14.4" hidden="1" x14ac:dyDescent="0.3">
      <c r="A209" s="86"/>
      <c r="B209" s="42">
        <f>_xlfn.XLOOKUP(Table3[[#This Row],[Verzekerde]],Relatie,fin_sub)</f>
        <v>0</v>
      </c>
      <c r="C209" s="87">
        <v>203</v>
      </c>
      <c r="D209" s="41" t="s">
        <v>7</v>
      </c>
      <c r="E209" s="41"/>
      <c r="F209" s="43"/>
      <c r="G209" s="43"/>
      <c r="H209" s="43" t="s">
        <v>7</v>
      </c>
      <c r="I209" s="43" t="s">
        <v>7</v>
      </c>
      <c r="J209" s="127"/>
      <c r="K209" s="127"/>
      <c r="L209" s="127"/>
      <c r="M209" s="127"/>
      <c r="N209" s="127"/>
      <c r="O209" s="41"/>
      <c r="P209" s="41"/>
      <c r="Q209" s="41"/>
      <c r="R209" s="44">
        <v>0</v>
      </c>
      <c r="S209" s="45">
        <f t="shared" si="13"/>
        <v>0</v>
      </c>
      <c r="T209" s="45">
        <f>Table3[[#This Row],[Verzekerde Waarde]]-Table3[[#This Row],[Mutaties]]</f>
        <v>0</v>
      </c>
      <c r="U209" s="45">
        <f t="shared" si="14"/>
        <v>0</v>
      </c>
      <c r="V209" s="41"/>
      <c r="W209" s="45">
        <f>X209+SUMIF(Table4[Subnummer],Table3[[#This Row],[Sub]],Table4[Som mutaties])</f>
        <v>0</v>
      </c>
      <c r="X209" s="46"/>
      <c r="Y209" s="41"/>
    </row>
    <row r="210" spans="1:25" ht="14.4" hidden="1" x14ac:dyDescent="0.3">
      <c r="A210" s="86"/>
      <c r="B210" s="42">
        <f>_xlfn.XLOOKUP(Table3[[#This Row],[Verzekerde]],Relatie,fin_sub)</f>
        <v>0</v>
      </c>
      <c r="C210" s="87">
        <v>204</v>
      </c>
      <c r="D210" s="41" t="s">
        <v>7</v>
      </c>
      <c r="E210" s="41"/>
      <c r="F210" s="43"/>
      <c r="G210" s="43"/>
      <c r="H210" s="43" t="s">
        <v>7</v>
      </c>
      <c r="I210" s="43" t="s">
        <v>7</v>
      </c>
      <c r="J210" s="127"/>
      <c r="K210" s="127"/>
      <c r="L210" s="127"/>
      <c r="M210" s="127"/>
      <c r="N210" s="127"/>
      <c r="O210" s="41"/>
      <c r="P210" s="41"/>
      <c r="Q210" s="41"/>
      <c r="R210" s="44">
        <v>0</v>
      </c>
      <c r="S210" s="45">
        <f t="shared" si="13"/>
        <v>0</v>
      </c>
      <c r="T210" s="45">
        <f>Table3[[#This Row],[Verzekerde Waarde]]-Table3[[#This Row],[Mutaties]]</f>
        <v>0</v>
      </c>
      <c r="U210" s="45">
        <f t="shared" si="14"/>
        <v>0</v>
      </c>
      <c r="V210" s="41"/>
      <c r="W210" s="45">
        <f>X210+SUMIF(Table4[Subnummer],Table3[[#This Row],[Sub]],Table4[Som mutaties])</f>
        <v>0</v>
      </c>
      <c r="X210" s="46"/>
      <c r="Y210" s="41"/>
    </row>
    <row r="211" spans="1:25" ht="14.4" hidden="1" x14ac:dyDescent="0.3">
      <c r="A211" s="86"/>
      <c r="B211" s="42">
        <f>_xlfn.XLOOKUP(Table3[[#This Row],[Verzekerde]],Relatie,fin_sub)</f>
        <v>0</v>
      </c>
      <c r="C211" s="87">
        <v>205</v>
      </c>
      <c r="D211" s="41" t="s">
        <v>7</v>
      </c>
      <c r="E211" s="41"/>
      <c r="F211" s="43"/>
      <c r="G211" s="43"/>
      <c r="H211" s="43" t="s">
        <v>7</v>
      </c>
      <c r="I211" s="43" t="s">
        <v>7</v>
      </c>
      <c r="J211" s="127"/>
      <c r="K211" s="127"/>
      <c r="L211" s="127"/>
      <c r="M211" s="127"/>
      <c r="N211" s="127"/>
      <c r="O211" s="41"/>
      <c r="P211" s="41"/>
      <c r="Q211" s="41"/>
      <c r="R211" s="44">
        <v>0</v>
      </c>
      <c r="S211" s="45">
        <f t="shared" si="13"/>
        <v>0</v>
      </c>
      <c r="T211" s="45">
        <f>Table3[[#This Row],[Verzekerde Waarde]]-Table3[[#This Row],[Mutaties]]</f>
        <v>0</v>
      </c>
      <c r="U211" s="45">
        <f t="shared" si="14"/>
        <v>0</v>
      </c>
      <c r="V211" s="41"/>
      <c r="W211" s="45">
        <f>X211+SUMIF(Table4[Subnummer],Table3[[#This Row],[Sub]],Table4[Som mutaties])</f>
        <v>0</v>
      </c>
      <c r="X211" s="46"/>
      <c r="Y211" s="41"/>
    </row>
    <row r="212" spans="1:25" ht="14.4" hidden="1" x14ac:dyDescent="0.3">
      <c r="A212" s="86"/>
      <c r="B212" s="42">
        <f>_xlfn.XLOOKUP(Table3[[#This Row],[Verzekerde]],Relatie,fin_sub)</f>
        <v>0</v>
      </c>
      <c r="C212" s="87">
        <v>206</v>
      </c>
      <c r="D212" s="41" t="s">
        <v>7</v>
      </c>
      <c r="E212" s="41"/>
      <c r="F212" s="43"/>
      <c r="G212" s="43"/>
      <c r="H212" s="43" t="s">
        <v>7</v>
      </c>
      <c r="I212" s="43" t="s">
        <v>7</v>
      </c>
      <c r="J212" s="127"/>
      <c r="K212" s="127"/>
      <c r="L212" s="127"/>
      <c r="M212" s="127"/>
      <c r="N212" s="127"/>
      <c r="O212" s="41"/>
      <c r="P212" s="41"/>
      <c r="Q212" s="41"/>
      <c r="R212" s="44">
        <v>0</v>
      </c>
      <c r="S212" s="45">
        <f t="shared" si="13"/>
        <v>0</v>
      </c>
      <c r="T212" s="45">
        <f>Table3[[#This Row],[Verzekerde Waarde]]-Table3[[#This Row],[Mutaties]]</f>
        <v>0</v>
      </c>
      <c r="U212" s="45">
        <f t="shared" si="14"/>
        <v>0</v>
      </c>
      <c r="V212" s="41"/>
      <c r="W212" s="45">
        <f>X212+SUMIF(Table4[Subnummer],Table3[[#This Row],[Sub]],Table4[Som mutaties])</f>
        <v>0</v>
      </c>
      <c r="X212" s="46"/>
      <c r="Y212" s="41"/>
    </row>
    <row r="213" spans="1:25" ht="14.4" hidden="1" x14ac:dyDescent="0.3">
      <c r="A213" s="86"/>
      <c r="B213" s="42">
        <f>_xlfn.XLOOKUP(Table3[[#This Row],[Verzekerde]],Relatie,fin_sub)</f>
        <v>0</v>
      </c>
      <c r="C213" s="87">
        <v>207</v>
      </c>
      <c r="D213" s="41" t="s">
        <v>7</v>
      </c>
      <c r="E213" s="41"/>
      <c r="F213" s="43"/>
      <c r="G213" s="43"/>
      <c r="H213" s="43" t="s">
        <v>7</v>
      </c>
      <c r="I213" s="43" t="s">
        <v>7</v>
      </c>
      <c r="J213" s="127"/>
      <c r="K213" s="127"/>
      <c r="L213" s="127"/>
      <c r="M213" s="127"/>
      <c r="N213" s="127"/>
      <c r="O213" s="41"/>
      <c r="P213" s="41"/>
      <c r="Q213" s="41"/>
      <c r="R213" s="44">
        <v>0</v>
      </c>
      <c r="S213" s="45">
        <f t="shared" si="13"/>
        <v>0</v>
      </c>
      <c r="T213" s="45">
        <f>Table3[[#This Row],[Verzekerde Waarde]]-Table3[[#This Row],[Mutaties]]</f>
        <v>0</v>
      </c>
      <c r="U213" s="45">
        <f t="shared" si="14"/>
        <v>0</v>
      </c>
      <c r="V213" s="41"/>
      <c r="W213" s="45">
        <f>X213+SUMIF(Table4[Subnummer],Table3[[#This Row],[Sub]],Table4[Som mutaties])</f>
        <v>0</v>
      </c>
      <c r="X213" s="46"/>
      <c r="Y213" s="41"/>
    </row>
    <row r="214" spans="1:25" ht="14.4" hidden="1" x14ac:dyDescent="0.3">
      <c r="A214" s="86"/>
      <c r="B214" s="42">
        <f>_xlfn.XLOOKUP(Table3[[#This Row],[Verzekerde]],Relatie,fin_sub)</f>
        <v>0</v>
      </c>
      <c r="C214" s="87">
        <v>208</v>
      </c>
      <c r="D214" s="41" t="s">
        <v>7</v>
      </c>
      <c r="E214" s="41"/>
      <c r="F214" s="43"/>
      <c r="G214" s="43"/>
      <c r="H214" s="43" t="s">
        <v>7</v>
      </c>
      <c r="I214" s="43" t="s">
        <v>7</v>
      </c>
      <c r="J214" s="127"/>
      <c r="K214" s="127"/>
      <c r="L214" s="127"/>
      <c r="M214" s="127"/>
      <c r="N214" s="127"/>
      <c r="O214" s="41"/>
      <c r="P214" s="41"/>
      <c r="Q214" s="41"/>
      <c r="R214" s="44">
        <v>0</v>
      </c>
      <c r="S214" s="45">
        <f t="shared" si="13"/>
        <v>0</v>
      </c>
      <c r="T214" s="45">
        <f>Table3[[#This Row],[Verzekerde Waarde]]-Table3[[#This Row],[Mutaties]]</f>
        <v>0</v>
      </c>
      <c r="U214" s="45">
        <f t="shared" si="14"/>
        <v>0</v>
      </c>
      <c r="V214" s="41"/>
      <c r="W214" s="45">
        <f>X214+SUMIF(Table4[Subnummer],Table3[[#This Row],[Sub]],Table4[Som mutaties])</f>
        <v>0</v>
      </c>
      <c r="X214" s="46"/>
      <c r="Y214" s="41"/>
    </row>
    <row r="215" spans="1:25" ht="14.4" hidden="1" x14ac:dyDescent="0.3">
      <c r="A215" s="86"/>
      <c r="B215" s="42">
        <f>_xlfn.XLOOKUP(Table3[[#This Row],[Verzekerde]],Relatie,fin_sub)</f>
        <v>0</v>
      </c>
      <c r="C215" s="87">
        <v>209</v>
      </c>
      <c r="D215" s="41" t="s">
        <v>7</v>
      </c>
      <c r="E215" s="41"/>
      <c r="F215" s="43"/>
      <c r="G215" s="43"/>
      <c r="H215" s="43" t="s">
        <v>7</v>
      </c>
      <c r="I215" s="43" t="s">
        <v>7</v>
      </c>
      <c r="J215" s="127"/>
      <c r="K215" s="127"/>
      <c r="L215" s="127"/>
      <c r="M215" s="127"/>
      <c r="N215" s="127"/>
      <c r="O215" s="41"/>
      <c r="P215" s="41"/>
      <c r="Q215" s="41"/>
      <c r="R215" s="44">
        <v>0</v>
      </c>
      <c r="S215" s="45">
        <f t="shared" si="13"/>
        <v>0</v>
      </c>
      <c r="T215" s="45">
        <f>Table3[[#This Row],[Verzekerde Waarde]]-Table3[[#This Row],[Mutaties]]</f>
        <v>0</v>
      </c>
      <c r="U215" s="45">
        <f t="shared" si="14"/>
        <v>0</v>
      </c>
      <c r="V215" s="41"/>
      <c r="W215" s="45">
        <f>X215+SUMIF(Table4[Subnummer],Table3[[#This Row],[Sub]],Table4[Som mutaties])</f>
        <v>0</v>
      </c>
      <c r="X215" s="46"/>
      <c r="Y215" s="41"/>
    </row>
    <row r="216" spans="1:25" ht="14.4" hidden="1" x14ac:dyDescent="0.3">
      <c r="A216" s="86"/>
      <c r="B216" s="42">
        <f>_xlfn.XLOOKUP(Table3[[#This Row],[Verzekerde]],Relatie,fin_sub)</f>
        <v>0</v>
      </c>
      <c r="C216" s="87">
        <v>210</v>
      </c>
      <c r="D216" s="41" t="s">
        <v>7</v>
      </c>
      <c r="E216" s="41"/>
      <c r="F216" s="43"/>
      <c r="G216" s="43"/>
      <c r="H216" s="43" t="s">
        <v>7</v>
      </c>
      <c r="I216" s="43" t="s">
        <v>7</v>
      </c>
      <c r="J216" s="127"/>
      <c r="K216" s="127"/>
      <c r="L216" s="127"/>
      <c r="M216" s="127"/>
      <c r="N216" s="127"/>
      <c r="O216" s="41"/>
      <c r="P216" s="41"/>
      <c r="Q216" s="41"/>
      <c r="R216" s="44">
        <v>0</v>
      </c>
      <c r="S216" s="45">
        <f t="shared" si="13"/>
        <v>0</v>
      </c>
      <c r="T216" s="45">
        <f>Table3[[#This Row],[Verzekerde Waarde]]-Table3[[#This Row],[Mutaties]]</f>
        <v>0</v>
      </c>
      <c r="U216" s="45">
        <f t="shared" si="14"/>
        <v>0</v>
      </c>
      <c r="V216" s="41"/>
      <c r="W216" s="45">
        <f>X216+SUMIF(Table4[Subnummer],Table3[[#This Row],[Sub]],Table4[Som mutaties])</f>
        <v>0</v>
      </c>
      <c r="X216" s="46"/>
      <c r="Y216" s="41"/>
    </row>
    <row r="217" spans="1:25" ht="14.4" hidden="1" x14ac:dyDescent="0.3">
      <c r="A217" s="86"/>
      <c r="B217" s="42">
        <f>_xlfn.XLOOKUP(Table3[[#This Row],[Verzekerde]],Relatie,fin_sub)</f>
        <v>0</v>
      </c>
      <c r="C217" s="87">
        <v>211</v>
      </c>
      <c r="D217" s="41" t="s">
        <v>7</v>
      </c>
      <c r="E217" s="41"/>
      <c r="F217" s="43"/>
      <c r="G217" s="43"/>
      <c r="H217" s="43" t="s">
        <v>7</v>
      </c>
      <c r="I217" s="43" t="s">
        <v>7</v>
      </c>
      <c r="J217" s="127"/>
      <c r="K217" s="127"/>
      <c r="L217" s="127"/>
      <c r="M217" s="127"/>
      <c r="N217" s="127"/>
      <c r="O217" s="41"/>
      <c r="P217" s="41"/>
      <c r="Q217" s="41"/>
      <c r="R217" s="44">
        <v>0</v>
      </c>
      <c r="S217" s="45">
        <f t="shared" si="13"/>
        <v>0</v>
      </c>
      <c r="T217" s="45">
        <f>Table3[[#This Row],[Verzekerde Waarde]]-Table3[[#This Row],[Mutaties]]</f>
        <v>0</v>
      </c>
      <c r="U217" s="45">
        <f t="shared" si="14"/>
        <v>0</v>
      </c>
      <c r="V217" s="41"/>
      <c r="W217" s="45">
        <f>X217+SUMIF(Table4[Subnummer],Table3[[#This Row],[Sub]],Table4[Som mutaties])</f>
        <v>0</v>
      </c>
      <c r="X217" s="46"/>
      <c r="Y217" s="41"/>
    </row>
    <row r="218" spans="1:25" ht="14.4" hidden="1" x14ac:dyDescent="0.3">
      <c r="A218" s="86"/>
      <c r="B218" s="42">
        <f>_xlfn.XLOOKUP(Table3[[#This Row],[Verzekerde]],Relatie,fin_sub)</f>
        <v>0</v>
      </c>
      <c r="C218" s="87">
        <v>212</v>
      </c>
      <c r="D218" s="41" t="s">
        <v>7</v>
      </c>
      <c r="E218" s="41"/>
      <c r="F218" s="43"/>
      <c r="G218" s="43"/>
      <c r="H218" s="43" t="s">
        <v>7</v>
      </c>
      <c r="I218" s="43" t="s">
        <v>7</v>
      </c>
      <c r="J218" s="127"/>
      <c r="K218" s="127"/>
      <c r="L218" s="127"/>
      <c r="M218" s="127"/>
      <c r="N218" s="127"/>
      <c r="O218" s="41"/>
      <c r="P218" s="41"/>
      <c r="Q218" s="41"/>
      <c r="R218" s="44">
        <v>0</v>
      </c>
      <c r="S218" s="45">
        <f t="shared" si="13"/>
        <v>0</v>
      </c>
      <c r="T218" s="45">
        <f>Table3[[#This Row],[Verzekerde Waarde]]-Table3[[#This Row],[Mutaties]]</f>
        <v>0</v>
      </c>
      <c r="U218" s="45">
        <f t="shared" si="14"/>
        <v>0</v>
      </c>
      <c r="V218" s="41"/>
      <c r="W218" s="45">
        <f>X218+SUMIF(Table4[Subnummer],Table3[[#This Row],[Sub]],Table4[Som mutaties])</f>
        <v>0</v>
      </c>
      <c r="X218" s="46"/>
      <c r="Y218" s="41"/>
    </row>
    <row r="219" spans="1:25" ht="14.4" hidden="1" x14ac:dyDescent="0.3">
      <c r="A219" s="86"/>
      <c r="B219" s="42">
        <f>_xlfn.XLOOKUP(Table3[[#This Row],[Verzekerde]],Relatie,fin_sub)</f>
        <v>0</v>
      </c>
      <c r="C219" s="87">
        <v>213</v>
      </c>
      <c r="D219" s="41" t="s">
        <v>7</v>
      </c>
      <c r="E219" s="41"/>
      <c r="F219" s="43"/>
      <c r="G219" s="43"/>
      <c r="H219" s="43" t="s">
        <v>7</v>
      </c>
      <c r="I219" s="43" t="s">
        <v>7</v>
      </c>
      <c r="J219" s="127"/>
      <c r="K219" s="127"/>
      <c r="L219" s="127"/>
      <c r="M219" s="127"/>
      <c r="N219" s="127"/>
      <c r="O219" s="41"/>
      <c r="P219" s="41"/>
      <c r="Q219" s="41"/>
      <c r="R219" s="44">
        <v>0</v>
      </c>
      <c r="S219" s="45">
        <f t="shared" ref="S219:S282" si="15">IF(R219=0,U219,(U219+R219)/2)</f>
        <v>0</v>
      </c>
      <c r="T219" s="45">
        <f>Table3[[#This Row],[Verzekerde Waarde]]-Table3[[#This Row],[Mutaties]]</f>
        <v>0</v>
      </c>
      <c r="U219" s="45">
        <f t="shared" si="14"/>
        <v>0</v>
      </c>
      <c r="V219" s="41"/>
      <c r="W219" s="45">
        <f>X219+SUMIF(Table4[Subnummer],Table3[[#This Row],[Sub]],Table4[Som mutaties])</f>
        <v>0</v>
      </c>
      <c r="X219" s="46"/>
      <c r="Y219" s="41"/>
    </row>
    <row r="220" spans="1:25" ht="14.4" hidden="1" x14ac:dyDescent="0.3">
      <c r="A220" s="86"/>
      <c r="B220" s="42">
        <f>_xlfn.XLOOKUP(Table3[[#This Row],[Verzekerde]],Relatie,fin_sub)</f>
        <v>0</v>
      </c>
      <c r="C220" s="87">
        <v>214</v>
      </c>
      <c r="D220" s="41" t="s">
        <v>7</v>
      </c>
      <c r="E220" s="41"/>
      <c r="F220" s="43"/>
      <c r="G220" s="43"/>
      <c r="H220" s="43" t="s">
        <v>7</v>
      </c>
      <c r="I220" s="43" t="s">
        <v>7</v>
      </c>
      <c r="J220" s="127"/>
      <c r="K220" s="127"/>
      <c r="L220" s="127"/>
      <c r="M220" s="127"/>
      <c r="N220" s="127"/>
      <c r="O220" s="41"/>
      <c r="P220" s="41"/>
      <c r="Q220" s="41"/>
      <c r="R220" s="44">
        <v>0</v>
      </c>
      <c r="S220" s="45">
        <f t="shared" si="15"/>
        <v>0</v>
      </c>
      <c r="T220" s="45">
        <f>Table3[[#This Row],[Verzekerde Waarde]]-Table3[[#This Row],[Mutaties]]</f>
        <v>0</v>
      </c>
      <c r="U220" s="45">
        <f t="shared" si="14"/>
        <v>0</v>
      </c>
      <c r="V220" s="41"/>
      <c r="W220" s="45">
        <f>X220+SUMIF(Table4[Subnummer],Table3[[#This Row],[Sub]],Table4[Som mutaties])</f>
        <v>0</v>
      </c>
      <c r="X220" s="46"/>
      <c r="Y220" s="41"/>
    </row>
    <row r="221" spans="1:25" ht="14.4" hidden="1" x14ac:dyDescent="0.3">
      <c r="A221" s="86"/>
      <c r="B221" s="42">
        <f>_xlfn.XLOOKUP(Table3[[#This Row],[Verzekerde]],Relatie,fin_sub)</f>
        <v>0</v>
      </c>
      <c r="C221" s="87">
        <v>215</v>
      </c>
      <c r="D221" s="41" t="s">
        <v>7</v>
      </c>
      <c r="E221" s="41"/>
      <c r="F221" s="43"/>
      <c r="G221" s="43"/>
      <c r="H221" s="43" t="s">
        <v>7</v>
      </c>
      <c r="I221" s="43" t="s">
        <v>7</v>
      </c>
      <c r="J221" s="127"/>
      <c r="K221" s="127"/>
      <c r="L221" s="127"/>
      <c r="M221" s="127"/>
      <c r="N221" s="127"/>
      <c r="O221" s="41"/>
      <c r="P221" s="41"/>
      <c r="Q221" s="41"/>
      <c r="R221" s="44">
        <v>0</v>
      </c>
      <c r="S221" s="45">
        <f t="shared" si="15"/>
        <v>0</v>
      </c>
      <c r="T221" s="45">
        <f>Table3[[#This Row],[Verzekerde Waarde]]-Table3[[#This Row],[Mutaties]]</f>
        <v>0</v>
      </c>
      <c r="U221" s="45">
        <f t="shared" si="14"/>
        <v>0</v>
      </c>
      <c r="V221" s="41"/>
      <c r="W221" s="45">
        <f>X221+SUMIF(Table4[Subnummer],Table3[[#This Row],[Sub]],Table4[Som mutaties])</f>
        <v>0</v>
      </c>
      <c r="X221" s="46"/>
      <c r="Y221" s="41"/>
    </row>
    <row r="222" spans="1:25" ht="14.4" hidden="1" x14ac:dyDescent="0.3">
      <c r="A222" s="86"/>
      <c r="B222" s="42">
        <f>_xlfn.XLOOKUP(Table3[[#This Row],[Verzekerde]],Relatie,fin_sub)</f>
        <v>0</v>
      </c>
      <c r="C222" s="87">
        <v>216</v>
      </c>
      <c r="D222" s="41" t="s">
        <v>7</v>
      </c>
      <c r="E222" s="41"/>
      <c r="F222" s="43"/>
      <c r="G222" s="43"/>
      <c r="H222" s="43" t="s">
        <v>7</v>
      </c>
      <c r="I222" s="43" t="s">
        <v>7</v>
      </c>
      <c r="J222" s="127"/>
      <c r="K222" s="127"/>
      <c r="L222" s="127"/>
      <c r="M222" s="127"/>
      <c r="N222" s="127"/>
      <c r="O222" s="41"/>
      <c r="P222" s="41"/>
      <c r="Q222" s="41"/>
      <c r="R222" s="44">
        <v>0</v>
      </c>
      <c r="S222" s="45">
        <f t="shared" si="15"/>
        <v>0</v>
      </c>
      <c r="T222" s="45">
        <f>Table3[[#This Row],[Verzekerde Waarde]]-Table3[[#This Row],[Mutaties]]</f>
        <v>0</v>
      </c>
      <c r="U222" s="45">
        <f t="shared" si="14"/>
        <v>0</v>
      </c>
      <c r="V222" s="41"/>
      <c r="W222" s="45">
        <f>X222+SUMIF(Table4[Subnummer],Table3[[#This Row],[Sub]],Table4[Som mutaties])</f>
        <v>0</v>
      </c>
      <c r="X222" s="46"/>
      <c r="Y222" s="41"/>
    </row>
    <row r="223" spans="1:25" ht="14.4" hidden="1" x14ac:dyDescent="0.3">
      <c r="A223" s="86"/>
      <c r="B223" s="42">
        <f>_xlfn.XLOOKUP(Table3[[#This Row],[Verzekerde]],Relatie,fin_sub)</f>
        <v>0</v>
      </c>
      <c r="C223" s="87">
        <v>217</v>
      </c>
      <c r="D223" s="41" t="s">
        <v>7</v>
      </c>
      <c r="E223" s="41"/>
      <c r="F223" s="43"/>
      <c r="G223" s="43"/>
      <c r="H223" s="43" t="s">
        <v>7</v>
      </c>
      <c r="I223" s="43" t="s">
        <v>7</v>
      </c>
      <c r="J223" s="127"/>
      <c r="K223" s="127"/>
      <c r="L223" s="127"/>
      <c r="M223" s="127"/>
      <c r="N223" s="127"/>
      <c r="O223" s="41"/>
      <c r="P223" s="41"/>
      <c r="Q223" s="41"/>
      <c r="R223" s="44">
        <v>0</v>
      </c>
      <c r="S223" s="45">
        <f t="shared" si="15"/>
        <v>0</v>
      </c>
      <c r="T223" s="45">
        <f>Table3[[#This Row],[Verzekerde Waarde]]-Table3[[#This Row],[Mutaties]]</f>
        <v>0</v>
      </c>
      <c r="U223" s="45">
        <f t="shared" si="14"/>
        <v>0</v>
      </c>
      <c r="V223" s="41"/>
      <c r="W223" s="45">
        <f>X223+SUMIF(Table4[Subnummer],Table3[[#This Row],[Sub]],Table4[Som mutaties])</f>
        <v>0</v>
      </c>
      <c r="X223" s="46"/>
      <c r="Y223" s="41"/>
    </row>
    <row r="224" spans="1:25" ht="14.4" hidden="1" x14ac:dyDescent="0.3">
      <c r="A224" s="86"/>
      <c r="B224" s="42">
        <f>_xlfn.XLOOKUP(Table3[[#This Row],[Verzekerde]],Relatie,fin_sub)</f>
        <v>0</v>
      </c>
      <c r="C224" s="87">
        <v>218</v>
      </c>
      <c r="D224" s="41" t="s">
        <v>7</v>
      </c>
      <c r="E224" s="41"/>
      <c r="F224" s="43"/>
      <c r="G224" s="43"/>
      <c r="H224" s="43" t="s">
        <v>7</v>
      </c>
      <c r="I224" s="43" t="s">
        <v>7</v>
      </c>
      <c r="J224" s="127"/>
      <c r="K224" s="127"/>
      <c r="L224" s="127"/>
      <c r="M224" s="127"/>
      <c r="N224" s="127"/>
      <c r="O224" s="41"/>
      <c r="P224" s="41"/>
      <c r="Q224" s="41"/>
      <c r="R224" s="44">
        <v>0</v>
      </c>
      <c r="S224" s="45">
        <f t="shared" si="15"/>
        <v>0</v>
      </c>
      <c r="T224" s="45">
        <f>Table3[[#This Row],[Verzekerde Waarde]]-Table3[[#This Row],[Mutaties]]</f>
        <v>0</v>
      </c>
      <c r="U224" s="45">
        <f t="shared" si="14"/>
        <v>0</v>
      </c>
      <c r="V224" s="41"/>
      <c r="W224" s="45">
        <f>X224+SUMIF(Table4[Subnummer],Table3[[#This Row],[Sub]],Table4[Som mutaties])</f>
        <v>0</v>
      </c>
      <c r="X224" s="46"/>
      <c r="Y224" s="41"/>
    </row>
    <row r="225" spans="1:25" ht="14.4" hidden="1" x14ac:dyDescent="0.3">
      <c r="A225" s="86"/>
      <c r="B225" s="42">
        <f>_xlfn.XLOOKUP(Table3[[#This Row],[Verzekerde]],Relatie,fin_sub)</f>
        <v>0</v>
      </c>
      <c r="C225" s="87">
        <v>219</v>
      </c>
      <c r="D225" s="41" t="s">
        <v>7</v>
      </c>
      <c r="E225" s="41"/>
      <c r="F225" s="43"/>
      <c r="G225" s="43"/>
      <c r="H225" s="43" t="s">
        <v>7</v>
      </c>
      <c r="I225" s="43" t="s">
        <v>7</v>
      </c>
      <c r="J225" s="127"/>
      <c r="K225" s="127"/>
      <c r="L225" s="127"/>
      <c r="M225" s="127"/>
      <c r="N225" s="127"/>
      <c r="O225" s="41"/>
      <c r="P225" s="41"/>
      <c r="Q225" s="41"/>
      <c r="R225" s="44">
        <v>0</v>
      </c>
      <c r="S225" s="45">
        <f t="shared" si="15"/>
        <v>0</v>
      </c>
      <c r="T225" s="45">
        <f>Table3[[#This Row],[Verzekerde Waarde]]-Table3[[#This Row],[Mutaties]]</f>
        <v>0</v>
      </c>
      <c r="U225" s="45">
        <f t="shared" si="14"/>
        <v>0</v>
      </c>
      <c r="V225" s="41"/>
      <c r="W225" s="45">
        <f>X225+SUMIF(Table4[Subnummer],Table3[[#This Row],[Sub]],Table4[Som mutaties])</f>
        <v>0</v>
      </c>
      <c r="X225" s="46"/>
      <c r="Y225" s="41"/>
    </row>
    <row r="226" spans="1:25" ht="14.4" hidden="1" x14ac:dyDescent="0.3">
      <c r="A226" s="86"/>
      <c r="B226" s="42">
        <f>_xlfn.XLOOKUP(Table3[[#This Row],[Verzekerde]],Relatie,fin_sub)</f>
        <v>0</v>
      </c>
      <c r="C226" s="87">
        <v>220</v>
      </c>
      <c r="D226" s="41" t="s">
        <v>7</v>
      </c>
      <c r="E226" s="41"/>
      <c r="F226" s="43"/>
      <c r="G226" s="43"/>
      <c r="H226" s="43" t="s">
        <v>7</v>
      </c>
      <c r="I226" s="43" t="s">
        <v>7</v>
      </c>
      <c r="J226" s="127"/>
      <c r="K226" s="127"/>
      <c r="L226" s="127"/>
      <c r="M226" s="127"/>
      <c r="N226" s="127"/>
      <c r="O226" s="41"/>
      <c r="P226" s="41"/>
      <c r="Q226" s="41"/>
      <c r="R226" s="44">
        <v>0</v>
      </c>
      <c r="S226" s="45">
        <f t="shared" si="15"/>
        <v>0</v>
      </c>
      <c r="T226" s="45">
        <f>Table3[[#This Row],[Verzekerde Waarde]]-Table3[[#This Row],[Mutaties]]</f>
        <v>0</v>
      </c>
      <c r="U226" s="45">
        <f t="shared" si="14"/>
        <v>0</v>
      </c>
      <c r="V226" s="41"/>
      <c r="W226" s="45">
        <f>X226+SUMIF(Table4[Subnummer],Table3[[#This Row],[Sub]],Table4[Som mutaties])</f>
        <v>0</v>
      </c>
      <c r="X226" s="46"/>
      <c r="Y226" s="41"/>
    </row>
    <row r="227" spans="1:25" ht="14.4" hidden="1" x14ac:dyDescent="0.3">
      <c r="A227" s="86"/>
      <c r="B227" s="42">
        <f>_xlfn.XLOOKUP(Table3[[#This Row],[Verzekerde]],Relatie,fin_sub)</f>
        <v>0</v>
      </c>
      <c r="C227" s="87">
        <v>221</v>
      </c>
      <c r="D227" s="41" t="s">
        <v>7</v>
      </c>
      <c r="E227" s="41"/>
      <c r="F227" s="43"/>
      <c r="G227" s="43"/>
      <c r="H227" s="43" t="s">
        <v>7</v>
      </c>
      <c r="I227" s="43" t="s">
        <v>7</v>
      </c>
      <c r="J227" s="127"/>
      <c r="K227" s="127"/>
      <c r="L227" s="127"/>
      <c r="M227" s="127"/>
      <c r="N227" s="127"/>
      <c r="O227" s="41"/>
      <c r="P227" s="41"/>
      <c r="Q227" s="41"/>
      <c r="R227" s="44">
        <v>0</v>
      </c>
      <c r="S227" s="45">
        <f t="shared" si="15"/>
        <v>0</v>
      </c>
      <c r="T227" s="45">
        <f>Table3[[#This Row],[Verzekerde Waarde]]-Table3[[#This Row],[Mutaties]]</f>
        <v>0</v>
      </c>
      <c r="U227" s="45">
        <f t="shared" si="14"/>
        <v>0</v>
      </c>
      <c r="V227" s="41"/>
      <c r="W227" s="45">
        <f>X227+SUMIF(Table4[Subnummer],Table3[[#This Row],[Sub]],Table4[Som mutaties])</f>
        <v>0</v>
      </c>
      <c r="X227" s="46"/>
      <c r="Y227" s="41"/>
    </row>
    <row r="228" spans="1:25" ht="14.4" hidden="1" x14ac:dyDescent="0.3">
      <c r="A228" s="86"/>
      <c r="B228" s="42">
        <f>_xlfn.XLOOKUP(Table3[[#This Row],[Verzekerde]],Relatie,fin_sub)</f>
        <v>0</v>
      </c>
      <c r="C228" s="87">
        <v>222</v>
      </c>
      <c r="D228" s="41" t="s">
        <v>7</v>
      </c>
      <c r="E228" s="41"/>
      <c r="F228" s="43"/>
      <c r="G228" s="43"/>
      <c r="H228" s="43" t="s">
        <v>7</v>
      </c>
      <c r="I228" s="43" t="s">
        <v>7</v>
      </c>
      <c r="J228" s="127"/>
      <c r="K228" s="127"/>
      <c r="L228" s="127"/>
      <c r="M228" s="127"/>
      <c r="N228" s="127"/>
      <c r="O228" s="41"/>
      <c r="P228" s="41"/>
      <c r="Q228" s="41"/>
      <c r="R228" s="44">
        <v>0</v>
      </c>
      <c r="S228" s="45">
        <f t="shared" si="15"/>
        <v>0</v>
      </c>
      <c r="T228" s="45">
        <f>Table3[[#This Row],[Verzekerde Waarde]]-Table3[[#This Row],[Mutaties]]</f>
        <v>0</v>
      </c>
      <c r="U228" s="45">
        <f t="shared" si="14"/>
        <v>0</v>
      </c>
      <c r="V228" s="41"/>
      <c r="W228" s="45">
        <f>X228+SUMIF(Table4[Subnummer],Table3[[#This Row],[Sub]],Table4[Som mutaties])</f>
        <v>0</v>
      </c>
      <c r="X228" s="46"/>
      <c r="Y228" s="41"/>
    </row>
    <row r="229" spans="1:25" ht="14.4" hidden="1" x14ac:dyDescent="0.3">
      <c r="A229" s="86"/>
      <c r="B229" s="42">
        <f>_xlfn.XLOOKUP(Table3[[#This Row],[Verzekerde]],Relatie,fin_sub)</f>
        <v>0</v>
      </c>
      <c r="C229" s="87">
        <v>223</v>
      </c>
      <c r="D229" s="41" t="s">
        <v>7</v>
      </c>
      <c r="E229" s="41"/>
      <c r="F229" s="43"/>
      <c r="G229" s="43"/>
      <c r="H229" s="43" t="s">
        <v>7</v>
      </c>
      <c r="I229" s="43" t="s">
        <v>7</v>
      </c>
      <c r="J229" s="127"/>
      <c r="K229" s="127"/>
      <c r="L229" s="127"/>
      <c r="M229" s="127"/>
      <c r="N229" s="127"/>
      <c r="O229" s="41"/>
      <c r="P229" s="41"/>
      <c r="Q229" s="41"/>
      <c r="R229" s="44">
        <v>0</v>
      </c>
      <c r="S229" s="45">
        <f t="shared" si="15"/>
        <v>0</v>
      </c>
      <c r="T229" s="45">
        <f>Table3[[#This Row],[Verzekerde Waarde]]-Table3[[#This Row],[Mutaties]]</f>
        <v>0</v>
      </c>
      <c r="U229" s="45">
        <f t="shared" si="14"/>
        <v>0</v>
      </c>
      <c r="V229" s="41"/>
      <c r="W229" s="45">
        <f>X229+SUMIF(Table4[Subnummer],Table3[[#This Row],[Sub]],Table4[Som mutaties])</f>
        <v>0</v>
      </c>
      <c r="X229" s="46"/>
      <c r="Y229" s="41"/>
    </row>
    <row r="230" spans="1:25" ht="14.4" hidden="1" x14ac:dyDescent="0.3">
      <c r="A230" s="86"/>
      <c r="B230" s="42">
        <f>_xlfn.XLOOKUP(Table3[[#This Row],[Verzekerde]],Relatie,fin_sub)</f>
        <v>0</v>
      </c>
      <c r="C230" s="87">
        <v>224</v>
      </c>
      <c r="D230" s="41" t="s">
        <v>7</v>
      </c>
      <c r="E230" s="41"/>
      <c r="F230" s="43"/>
      <c r="G230" s="43"/>
      <c r="H230" s="43" t="s">
        <v>7</v>
      </c>
      <c r="I230" s="43" t="s">
        <v>7</v>
      </c>
      <c r="J230" s="127"/>
      <c r="K230" s="127"/>
      <c r="L230" s="127"/>
      <c r="M230" s="127"/>
      <c r="N230" s="127"/>
      <c r="O230" s="41"/>
      <c r="P230" s="41"/>
      <c r="Q230" s="41"/>
      <c r="R230" s="44">
        <v>0</v>
      </c>
      <c r="S230" s="45">
        <f t="shared" si="15"/>
        <v>0</v>
      </c>
      <c r="T230" s="45">
        <f>Table3[[#This Row],[Verzekerde Waarde]]-Table3[[#This Row],[Mutaties]]</f>
        <v>0</v>
      </c>
      <c r="U230" s="45">
        <f t="shared" si="14"/>
        <v>0</v>
      </c>
      <c r="V230" s="41"/>
      <c r="W230" s="45">
        <f>X230+SUMIF(Table4[Subnummer],Table3[[#This Row],[Sub]],Table4[Som mutaties])</f>
        <v>0</v>
      </c>
      <c r="X230" s="46"/>
      <c r="Y230" s="41"/>
    </row>
    <row r="231" spans="1:25" ht="14.4" hidden="1" x14ac:dyDescent="0.3">
      <c r="A231" s="86"/>
      <c r="B231" s="42">
        <f>_xlfn.XLOOKUP(Table3[[#This Row],[Verzekerde]],Relatie,fin_sub)</f>
        <v>0</v>
      </c>
      <c r="C231" s="87">
        <v>225</v>
      </c>
      <c r="D231" s="41" t="s">
        <v>7</v>
      </c>
      <c r="E231" s="41"/>
      <c r="F231" s="43"/>
      <c r="G231" s="43"/>
      <c r="H231" s="43" t="s">
        <v>7</v>
      </c>
      <c r="I231" s="43" t="s">
        <v>7</v>
      </c>
      <c r="J231" s="127"/>
      <c r="K231" s="127"/>
      <c r="L231" s="127"/>
      <c r="M231" s="127"/>
      <c r="N231" s="127"/>
      <c r="O231" s="41"/>
      <c r="P231" s="41"/>
      <c r="Q231" s="41"/>
      <c r="R231" s="44">
        <v>0</v>
      </c>
      <c r="S231" s="45">
        <f t="shared" si="15"/>
        <v>0</v>
      </c>
      <c r="T231" s="45">
        <f>Table3[[#This Row],[Verzekerde Waarde]]-Table3[[#This Row],[Mutaties]]</f>
        <v>0</v>
      </c>
      <c r="U231" s="45">
        <f t="shared" si="14"/>
        <v>0</v>
      </c>
      <c r="V231" s="41"/>
      <c r="W231" s="45">
        <f>X231+SUMIF(Table4[Subnummer],Table3[[#This Row],[Sub]],Table4[Som mutaties])</f>
        <v>0</v>
      </c>
      <c r="X231" s="46"/>
      <c r="Y231" s="41"/>
    </row>
    <row r="232" spans="1:25" ht="14.4" hidden="1" x14ac:dyDescent="0.3">
      <c r="A232" s="86"/>
      <c r="B232" s="42">
        <f>_xlfn.XLOOKUP(Table3[[#This Row],[Verzekerde]],Relatie,fin_sub)</f>
        <v>0</v>
      </c>
      <c r="C232" s="87">
        <v>226</v>
      </c>
      <c r="D232" s="41" t="s">
        <v>7</v>
      </c>
      <c r="E232" s="41"/>
      <c r="F232" s="43"/>
      <c r="G232" s="43"/>
      <c r="H232" s="43" t="s">
        <v>7</v>
      </c>
      <c r="I232" s="43" t="s">
        <v>7</v>
      </c>
      <c r="J232" s="127"/>
      <c r="K232" s="127"/>
      <c r="L232" s="127"/>
      <c r="M232" s="127"/>
      <c r="N232" s="127"/>
      <c r="O232" s="41"/>
      <c r="P232" s="41"/>
      <c r="Q232" s="41"/>
      <c r="R232" s="44">
        <v>0</v>
      </c>
      <c r="S232" s="45">
        <f t="shared" si="15"/>
        <v>0</v>
      </c>
      <c r="T232" s="45">
        <f>Table3[[#This Row],[Verzekerde Waarde]]-Table3[[#This Row],[Mutaties]]</f>
        <v>0</v>
      </c>
      <c r="U232" s="45">
        <f t="shared" si="14"/>
        <v>0</v>
      </c>
      <c r="V232" s="41"/>
      <c r="W232" s="45">
        <f>X232+SUMIF(Table4[Subnummer],Table3[[#This Row],[Sub]],Table4[Som mutaties])</f>
        <v>0</v>
      </c>
      <c r="X232" s="46"/>
      <c r="Y232" s="41"/>
    </row>
    <row r="233" spans="1:25" ht="14.4" hidden="1" x14ac:dyDescent="0.3">
      <c r="A233" s="86"/>
      <c r="B233" s="42">
        <f>_xlfn.XLOOKUP(Table3[[#This Row],[Verzekerde]],Relatie,fin_sub)</f>
        <v>0</v>
      </c>
      <c r="C233" s="87">
        <v>227</v>
      </c>
      <c r="D233" s="41" t="s">
        <v>7</v>
      </c>
      <c r="E233" s="41"/>
      <c r="F233" s="43"/>
      <c r="G233" s="43"/>
      <c r="H233" s="43" t="s">
        <v>7</v>
      </c>
      <c r="I233" s="43" t="s">
        <v>7</v>
      </c>
      <c r="J233" s="127"/>
      <c r="K233" s="127"/>
      <c r="L233" s="127"/>
      <c r="M233" s="127"/>
      <c r="N233" s="127"/>
      <c r="O233" s="41"/>
      <c r="P233" s="41"/>
      <c r="Q233" s="41"/>
      <c r="R233" s="44">
        <v>0</v>
      </c>
      <c r="S233" s="45">
        <f t="shared" si="15"/>
        <v>0</v>
      </c>
      <c r="T233" s="45">
        <f>Table3[[#This Row],[Verzekerde Waarde]]-Table3[[#This Row],[Mutaties]]</f>
        <v>0</v>
      </c>
      <c r="U233" s="45">
        <f t="shared" si="14"/>
        <v>0</v>
      </c>
      <c r="V233" s="41"/>
      <c r="W233" s="45">
        <f>X233+SUMIF(Table4[Subnummer],Table3[[#This Row],[Sub]],Table4[Som mutaties])</f>
        <v>0</v>
      </c>
      <c r="X233" s="46"/>
      <c r="Y233" s="41"/>
    </row>
    <row r="234" spans="1:25" ht="14.4" hidden="1" x14ac:dyDescent="0.3">
      <c r="A234" s="86"/>
      <c r="B234" s="42">
        <f>_xlfn.XLOOKUP(Table3[[#This Row],[Verzekerde]],Relatie,fin_sub)</f>
        <v>0</v>
      </c>
      <c r="C234" s="87">
        <v>228</v>
      </c>
      <c r="D234" s="41" t="s">
        <v>7</v>
      </c>
      <c r="E234" s="41"/>
      <c r="F234" s="43"/>
      <c r="G234" s="43"/>
      <c r="H234" s="43" t="s">
        <v>7</v>
      </c>
      <c r="I234" s="43" t="s">
        <v>7</v>
      </c>
      <c r="J234" s="127"/>
      <c r="K234" s="127"/>
      <c r="L234" s="127"/>
      <c r="M234" s="127"/>
      <c r="N234" s="127"/>
      <c r="O234" s="41"/>
      <c r="P234" s="41"/>
      <c r="Q234" s="41"/>
      <c r="R234" s="44">
        <v>0</v>
      </c>
      <c r="S234" s="45">
        <f t="shared" si="15"/>
        <v>0</v>
      </c>
      <c r="T234" s="45">
        <f>Table3[[#This Row],[Verzekerde Waarde]]-Table3[[#This Row],[Mutaties]]</f>
        <v>0</v>
      </c>
      <c r="U234" s="45">
        <f t="shared" si="14"/>
        <v>0</v>
      </c>
      <c r="V234" s="41"/>
      <c r="W234" s="45">
        <f>X234+SUMIF(Table4[Subnummer],Table3[[#This Row],[Sub]],Table4[Som mutaties])</f>
        <v>0</v>
      </c>
      <c r="X234" s="46"/>
      <c r="Y234" s="41"/>
    </row>
    <row r="235" spans="1:25" ht="14.4" hidden="1" x14ac:dyDescent="0.3">
      <c r="A235" s="86"/>
      <c r="B235" s="42">
        <f>_xlfn.XLOOKUP(Table3[[#This Row],[Verzekerde]],Relatie,fin_sub)</f>
        <v>0</v>
      </c>
      <c r="C235" s="87">
        <v>229</v>
      </c>
      <c r="D235" s="41" t="s">
        <v>7</v>
      </c>
      <c r="E235" s="41"/>
      <c r="F235" s="43"/>
      <c r="G235" s="43"/>
      <c r="H235" s="43" t="s">
        <v>7</v>
      </c>
      <c r="I235" s="43" t="s">
        <v>7</v>
      </c>
      <c r="J235" s="127"/>
      <c r="K235" s="127"/>
      <c r="L235" s="127"/>
      <c r="M235" s="127"/>
      <c r="N235" s="127"/>
      <c r="O235" s="41"/>
      <c r="P235" s="41"/>
      <c r="Q235" s="41"/>
      <c r="R235" s="44">
        <v>0</v>
      </c>
      <c r="S235" s="45">
        <f t="shared" si="15"/>
        <v>0</v>
      </c>
      <c r="T235" s="45">
        <f>Table3[[#This Row],[Verzekerde Waarde]]-Table3[[#This Row],[Mutaties]]</f>
        <v>0</v>
      </c>
      <c r="U235" s="45">
        <f t="shared" si="14"/>
        <v>0</v>
      </c>
      <c r="V235" s="41"/>
      <c r="W235" s="45">
        <f>X235+SUMIF(Table4[Subnummer],Table3[[#This Row],[Sub]],Table4[Som mutaties])</f>
        <v>0</v>
      </c>
      <c r="X235" s="46"/>
      <c r="Y235" s="41"/>
    </row>
    <row r="236" spans="1:25" ht="14.4" hidden="1" x14ac:dyDescent="0.3">
      <c r="A236" s="86"/>
      <c r="B236" s="42">
        <f>_xlfn.XLOOKUP(Table3[[#This Row],[Verzekerde]],Relatie,fin_sub)</f>
        <v>0</v>
      </c>
      <c r="C236" s="87">
        <v>230</v>
      </c>
      <c r="D236" s="41" t="s">
        <v>7</v>
      </c>
      <c r="E236" s="41"/>
      <c r="F236" s="43"/>
      <c r="G236" s="43"/>
      <c r="H236" s="43" t="s">
        <v>7</v>
      </c>
      <c r="I236" s="43" t="s">
        <v>7</v>
      </c>
      <c r="J236" s="127"/>
      <c r="K236" s="127"/>
      <c r="L236" s="127"/>
      <c r="M236" s="127"/>
      <c r="N236" s="127"/>
      <c r="O236" s="41"/>
      <c r="P236" s="41"/>
      <c r="Q236" s="41"/>
      <c r="R236" s="44">
        <v>0</v>
      </c>
      <c r="S236" s="45">
        <f t="shared" si="15"/>
        <v>0</v>
      </c>
      <c r="T236" s="45">
        <f>Table3[[#This Row],[Verzekerde Waarde]]-Table3[[#This Row],[Mutaties]]</f>
        <v>0</v>
      </c>
      <c r="U236" s="45">
        <f t="shared" si="14"/>
        <v>0</v>
      </c>
      <c r="V236" s="41"/>
      <c r="W236" s="45">
        <f>X236+SUMIF(Table4[Subnummer],Table3[[#This Row],[Sub]],Table4[Som mutaties])</f>
        <v>0</v>
      </c>
      <c r="X236" s="46"/>
      <c r="Y236" s="41"/>
    </row>
    <row r="237" spans="1:25" ht="14.4" hidden="1" x14ac:dyDescent="0.3">
      <c r="A237" s="86"/>
      <c r="B237" s="42">
        <f>_xlfn.XLOOKUP(Table3[[#This Row],[Verzekerde]],Relatie,fin_sub)</f>
        <v>0</v>
      </c>
      <c r="C237" s="87">
        <v>231</v>
      </c>
      <c r="D237" s="41" t="s">
        <v>7</v>
      </c>
      <c r="E237" s="41"/>
      <c r="F237" s="43"/>
      <c r="G237" s="43"/>
      <c r="H237" s="43" t="s">
        <v>7</v>
      </c>
      <c r="I237" s="43" t="s">
        <v>7</v>
      </c>
      <c r="J237" s="127"/>
      <c r="K237" s="127"/>
      <c r="L237" s="127"/>
      <c r="M237" s="127"/>
      <c r="N237" s="127"/>
      <c r="O237" s="41"/>
      <c r="P237" s="41"/>
      <c r="Q237" s="41"/>
      <c r="R237" s="44">
        <v>0</v>
      </c>
      <c r="S237" s="45">
        <f t="shared" si="15"/>
        <v>0</v>
      </c>
      <c r="T237" s="45">
        <f>Table3[[#This Row],[Verzekerde Waarde]]-Table3[[#This Row],[Mutaties]]</f>
        <v>0</v>
      </c>
      <c r="U237" s="45">
        <f t="shared" si="14"/>
        <v>0</v>
      </c>
      <c r="V237" s="41"/>
      <c r="W237" s="45">
        <f>X237+SUMIF(Table4[Subnummer],Table3[[#This Row],[Sub]],Table4[Som mutaties])</f>
        <v>0</v>
      </c>
      <c r="X237" s="46"/>
      <c r="Y237" s="41"/>
    </row>
    <row r="238" spans="1:25" ht="14.4" hidden="1" x14ac:dyDescent="0.3">
      <c r="A238" s="86"/>
      <c r="B238" s="42">
        <f>_xlfn.XLOOKUP(Table3[[#This Row],[Verzekerde]],Relatie,fin_sub)</f>
        <v>0</v>
      </c>
      <c r="C238" s="87">
        <v>232</v>
      </c>
      <c r="D238" s="41" t="s">
        <v>7</v>
      </c>
      <c r="E238" s="41"/>
      <c r="F238" s="43"/>
      <c r="G238" s="43"/>
      <c r="H238" s="43" t="s">
        <v>7</v>
      </c>
      <c r="I238" s="43" t="s">
        <v>7</v>
      </c>
      <c r="J238" s="127"/>
      <c r="K238" s="127"/>
      <c r="L238" s="127"/>
      <c r="M238" s="127"/>
      <c r="N238" s="127"/>
      <c r="O238" s="41"/>
      <c r="P238" s="41"/>
      <c r="Q238" s="41"/>
      <c r="R238" s="44">
        <v>0</v>
      </c>
      <c r="S238" s="45">
        <f t="shared" si="15"/>
        <v>0</v>
      </c>
      <c r="T238" s="45">
        <f>Table3[[#This Row],[Verzekerde Waarde]]-Table3[[#This Row],[Mutaties]]</f>
        <v>0</v>
      </c>
      <c r="U238" s="45">
        <f t="shared" si="14"/>
        <v>0</v>
      </c>
      <c r="V238" s="41"/>
      <c r="W238" s="45">
        <f>X238+SUMIF(Table4[Subnummer],Table3[[#This Row],[Sub]],Table4[Som mutaties])</f>
        <v>0</v>
      </c>
      <c r="X238" s="46"/>
      <c r="Y238" s="41"/>
    </row>
    <row r="239" spans="1:25" ht="14.4" hidden="1" x14ac:dyDescent="0.3">
      <c r="A239" s="86"/>
      <c r="B239" s="42">
        <f>_xlfn.XLOOKUP(Table3[[#This Row],[Verzekerde]],Relatie,fin_sub)</f>
        <v>0</v>
      </c>
      <c r="C239" s="87">
        <v>233</v>
      </c>
      <c r="D239" s="41" t="s">
        <v>7</v>
      </c>
      <c r="E239" s="41"/>
      <c r="F239" s="43"/>
      <c r="G239" s="43"/>
      <c r="H239" s="43" t="s">
        <v>7</v>
      </c>
      <c r="I239" s="43" t="s">
        <v>7</v>
      </c>
      <c r="J239" s="127"/>
      <c r="K239" s="127"/>
      <c r="L239" s="127"/>
      <c r="M239" s="127"/>
      <c r="N239" s="127"/>
      <c r="O239" s="41"/>
      <c r="P239" s="41"/>
      <c r="Q239" s="41"/>
      <c r="R239" s="44">
        <v>0</v>
      </c>
      <c r="S239" s="45">
        <f t="shared" si="15"/>
        <v>0</v>
      </c>
      <c r="T239" s="45">
        <f>Table3[[#This Row],[Verzekerde Waarde]]-Table3[[#This Row],[Mutaties]]</f>
        <v>0</v>
      </c>
      <c r="U239" s="45">
        <f t="shared" si="14"/>
        <v>0</v>
      </c>
      <c r="V239" s="41"/>
      <c r="W239" s="45">
        <f>X239+SUMIF(Table4[Subnummer],Table3[[#This Row],[Sub]],Table4[Som mutaties])</f>
        <v>0</v>
      </c>
      <c r="X239" s="46"/>
      <c r="Y239" s="41"/>
    </row>
    <row r="240" spans="1:25" ht="14.4" hidden="1" x14ac:dyDescent="0.3">
      <c r="A240" s="86"/>
      <c r="B240" s="42">
        <f>_xlfn.XLOOKUP(Table3[[#This Row],[Verzekerde]],Relatie,fin_sub)</f>
        <v>0</v>
      </c>
      <c r="C240" s="87">
        <v>234</v>
      </c>
      <c r="D240" s="41" t="s">
        <v>7</v>
      </c>
      <c r="E240" s="41"/>
      <c r="F240" s="43"/>
      <c r="G240" s="43"/>
      <c r="H240" s="43" t="s">
        <v>7</v>
      </c>
      <c r="I240" s="43" t="s">
        <v>7</v>
      </c>
      <c r="J240" s="127"/>
      <c r="K240" s="127"/>
      <c r="L240" s="127"/>
      <c r="M240" s="127"/>
      <c r="N240" s="127"/>
      <c r="O240" s="41"/>
      <c r="P240" s="41"/>
      <c r="Q240" s="41"/>
      <c r="R240" s="44">
        <v>0</v>
      </c>
      <c r="S240" s="45">
        <f t="shared" si="15"/>
        <v>0</v>
      </c>
      <c r="T240" s="45">
        <f>Table3[[#This Row],[Verzekerde Waarde]]-Table3[[#This Row],[Mutaties]]</f>
        <v>0</v>
      </c>
      <c r="U240" s="45">
        <f t="shared" si="14"/>
        <v>0</v>
      </c>
      <c r="V240" s="41"/>
      <c r="W240" s="45">
        <f>X240+SUMIF(Table4[Subnummer],Table3[[#This Row],[Sub]],Table4[Som mutaties])</f>
        <v>0</v>
      </c>
      <c r="X240" s="46"/>
      <c r="Y240" s="41"/>
    </row>
    <row r="241" spans="1:25" ht="14.4" hidden="1" x14ac:dyDescent="0.3">
      <c r="A241" s="86"/>
      <c r="B241" s="42">
        <f>_xlfn.XLOOKUP(Table3[[#This Row],[Verzekerde]],Relatie,fin_sub)</f>
        <v>0</v>
      </c>
      <c r="C241" s="87">
        <v>235</v>
      </c>
      <c r="D241" s="41" t="s">
        <v>7</v>
      </c>
      <c r="E241" s="41"/>
      <c r="F241" s="43"/>
      <c r="G241" s="43"/>
      <c r="H241" s="43" t="s">
        <v>7</v>
      </c>
      <c r="I241" s="43" t="s">
        <v>7</v>
      </c>
      <c r="J241" s="127"/>
      <c r="K241" s="127"/>
      <c r="L241" s="127"/>
      <c r="M241" s="127"/>
      <c r="N241" s="127"/>
      <c r="O241" s="41"/>
      <c r="P241" s="41"/>
      <c r="Q241" s="41"/>
      <c r="R241" s="44">
        <v>0</v>
      </c>
      <c r="S241" s="45">
        <f t="shared" si="15"/>
        <v>0</v>
      </c>
      <c r="T241" s="45">
        <f>Table3[[#This Row],[Verzekerde Waarde]]-Table3[[#This Row],[Mutaties]]</f>
        <v>0</v>
      </c>
      <c r="U241" s="45">
        <f t="shared" si="14"/>
        <v>0</v>
      </c>
      <c r="V241" s="41"/>
      <c r="W241" s="45">
        <f>X241+SUMIF(Table4[Subnummer],Table3[[#This Row],[Sub]],Table4[Som mutaties])</f>
        <v>0</v>
      </c>
      <c r="X241" s="46"/>
      <c r="Y241" s="41"/>
    </row>
    <row r="242" spans="1:25" ht="14.4" hidden="1" x14ac:dyDescent="0.3">
      <c r="A242" s="86"/>
      <c r="B242" s="42">
        <f>_xlfn.XLOOKUP(Table3[[#This Row],[Verzekerde]],Relatie,fin_sub)</f>
        <v>0</v>
      </c>
      <c r="C242" s="87">
        <v>236</v>
      </c>
      <c r="D242" s="41" t="s">
        <v>7</v>
      </c>
      <c r="E242" s="41"/>
      <c r="F242" s="43"/>
      <c r="G242" s="43"/>
      <c r="H242" s="43" t="s">
        <v>7</v>
      </c>
      <c r="I242" s="43" t="s">
        <v>7</v>
      </c>
      <c r="J242" s="127"/>
      <c r="K242" s="127"/>
      <c r="L242" s="127"/>
      <c r="M242" s="127"/>
      <c r="N242" s="127"/>
      <c r="O242" s="41"/>
      <c r="P242" s="41"/>
      <c r="Q242" s="41"/>
      <c r="R242" s="44">
        <v>0</v>
      </c>
      <c r="S242" s="45">
        <f t="shared" si="15"/>
        <v>0</v>
      </c>
      <c r="T242" s="45">
        <f>Table3[[#This Row],[Verzekerde Waarde]]-Table3[[#This Row],[Mutaties]]</f>
        <v>0</v>
      </c>
      <c r="U242" s="45">
        <f>IF(V242=Y242,W242,ROUNDUP(W242/Y242*V242,-3))</f>
        <v>0</v>
      </c>
      <c r="V242" s="41"/>
      <c r="W242" s="45">
        <f>X242+SUMIF(Table4[Subnummer],Table3[[#This Row],[Sub]],Table4[Som mutaties])</f>
        <v>0</v>
      </c>
      <c r="X242" s="46"/>
      <c r="Y242" s="41"/>
    </row>
    <row r="243" spans="1:25" ht="14.4" hidden="1" x14ac:dyDescent="0.3">
      <c r="A243" s="86"/>
      <c r="B243" s="42">
        <f>_xlfn.XLOOKUP(Table3[[#This Row],[Verzekerde]],Relatie,fin_sub)</f>
        <v>0</v>
      </c>
      <c r="C243" s="87">
        <v>237</v>
      </c>
      <c r="D243" s="41" t="s">
        <v>7</v>
      </c>
      <c r="E243" s="41"/>
      <c r="F243" s="43"/>
      <c r="G243" s="43"/>
      <c r="H243" s="43" t="s">
        <v>7</v>
      </c>
      <c r="I243" s="43" t="s">
        <v>7</v>
      </c>
      <c r="J243" s="127"/>
      <c r="K243" s="127"/>
      <c r="L243" s="127"/>
      <c r="M243" s="127"/>
      <c r="N243" s="127"/>
      <c r="O243" s="41"/>
      <c r="P243" s="41"/>
      <c r="Q243" s="41"/>
      <c r="R243" s="44">
        <v>0</v>
      </c>
      <c r="S243" s="45">
        <f t="shared" si="15"/>
        <v>0</v>
      </c>
      <c r="T243" s="45">
        <f>Table3[[#This Row],[Verzekerde Waarde]]-Table3[[#This Row],[Mutaties]]</f>
        <v>0</v>
      </c>
      <c r="U243" s="45">
        <f t="shared" si="14"/>
        <v>0</v>
      </c>
      <c r="V243" s="41"/>
      <c r="W243" s="45">
        <f>X243+SUMIF(Table4[Subnummer],Table3[[#This Row],[Sub]],Table4[Som mutaties])</f>
        <v>0</v>
      </c>
      <c r="X243" s="46"/>
      <c r="Y243" s="41"/>
    </row>
    <row r="244" spans="1:25" ht="14.4" hidden="1" x14ac:dyDescent="0.3">
      <c r="A244" s="86"/>
      <c r="B244" s="42">
        <f>_xlfn.XLOOKUP(Table3[[#This Row],[Verzekerde]],Relatie,fin_sub)</f>
        <v>0</v>
      </c>
      <c r="C244" s="87">
        <v>238</v>
      </c>
      <c r="D244" s="41" t="s">
        <v>7</v>
      </c>
      <c r="E244" s="41"/>
      <c r="F244" s="43"/>
      <c r="G244" s="43"/>
      <c r="H244" s="43" t="s">
        <v>7</v>
      </c>
      <c r="I244" s="43" t="s">
        <v>7</v>
      </c>
      <c r="J244" s="127"/>
      <c r="K244" s="127"/>
      <c r="L244" s="127"/>
      <c r="M244" s="127"/>
      <c r="N244" s="127"/>
      <c r="O244" s="41"/>
      <c r="P244" s="41"/>
      <c r="Q244" s="41"/>
      <c r="R244" s="44">
        <v>0</v>
      </c>
      <c r="S244" s="45">
        <f t="shared" si="15"/>
        <v>0</v>
      </c>
      <c r="T244" s="45">
        <f>Table3[[#This Row],[Verzekerde Waarde]]-Table3[[#This Row],[Mutaties]]</f>
        <v>0</v>
      </c>
      <c r="U244" s="45">
        <f t="shared" si="14"/>
        <v>0</v>
      </c>
      <c r="V244" s="41"/>
      <c r="W244" s="45">
        <f>X244+SUMIF(Table4[Subnummer],Table3[[#This Row],[Sub]],Table4[Som mutaties])</f>
        <v>0</v>
      </c>
      <c r="X244" s="46"/>
      <c r="Y244" s="41"/>
    </row>
    <row r="245" spans="1:25" ht="14.4" hidden="1" x14ac:dyDescent="0.3">
      <c r="A245" s="86"/>
      <c r="B245" s="42">
        <f>_xlfn.XLOOKUP(Table3[[#This Row],[Verzekerde]],Relatie,fin_sub)</f>
        <v>0</v>
      </c>
      <c r="C245" s="87">
        <v>239</v>
      </c>
      <c r="D245" s="41" t="s">
        <v>7</v>
      </c>
      <c r="E245" s="41"/>
      <c r="F245" s="43"/>
      <c r="G245" s="43"/>
      <c r="H245" s="43" t="s">
        <v>7</v>
      </c>
      <c r="I245" s="43" t="s">
        <v>7</v>
      </c>
      <c r="J245" s="127"/>
      <c r="K245" s="127"/>
      <c r="L245" s="127"/>
      <c r="M245" s="127"/>
      <c r="N245" s="127"/>
      <c r="O245" s="41"/>
      <c r="P245" s="41"/>
      <c r="Q245" s="41"/>
      <c r="R245" s="44">
        <v>0</v>
      </c>
      <c r="S245" s="45">
        <f t="shared" si="15"/>
        <v>0</v>
      </c>
      <c r="T245" s="45">
        <f>Table3[[#This Row],[Verzekerde Waarde]]-Table3[[#This Row],[Mutaties]]</f>
        <v>0</v>
      </c>
      <c r="U245" s="45">
        <f t="shared" si="14"/>
        <v>0</v>
      </c>
      <c r="V245" s="41"/>
      <c r="W245" s="45">
        <f>X245+SUMIF(Table4[Subnummer],Table3[[#This Row],[Sub]],Table4[Som mutaties])</f>
        <v>0</v>
      </c>
      <c r="X245" s="46"/>
      <c r="Y245" s="41"/>
    </row>
    <row r="246" spans="1:25" ht="14.4" hidden="1" x14ac:dyDescent="0.3">
      <c r="A246" s="86"/>
      <c r="B246" s="42">
        <f>_xlfn.XLOOKUP(Table3[[#This Row],[Verzekerde]],Relatie,fin_sub)</f>
        <v>0</v>
      </c>
      <c r="C246" s="87">
        <v>240</v>
      </c>
      <c r="D246" s="41" t="s">
        <v>7</v>
      </c>
      <c r="E246" s="41"/>
      <c r="F246" s="43"/>
      <c r="G246" s="43"/>
      <c r="H246" s="43" t="s">
        <v>7</v>
      </c>
      <c r="I246" s="43" t="s">
        <v>7</v>
      </c>
      <c r="J246" s="127"/>
      <c r="K246" s="127"/>
      <c r="L246" s="127"/>
      <c r="M246" s="127"/>
      <c r="N246" s="127"/>
      <c r="O246" s="41"/>
      <c r="P246" s="41"/>
      <c r="Q246" s="41"/>
      <c r="R246" s="44">
        <v>0</v>
      </c>
      <c r="S246" s="45">
        <f t="shared" si="15"/>
        <v>0</v>
      </c>
      <c r="T246" s="45">
        <f>Table3[[#This Row],[Verzekerde Waarde]]-Table3[[#This Row],[Mutaties]]</f>
        <v>0</v>
      </c>
      <c r="U246" s="45">
        <f>IF(V246=Y246,W246,ROUNDUP(W246/Y246*V246,-3))</f>
        <v>0</v>
      </c>
      <c r="V246" s="41"/>
      <c r="W246" s="45">
        <f>X246+SUMIF(Table4[Subnummer],Table3[[#This Row],[Sub]],Table4[Som mutaties])</f>
        <v>0</v>
      </c>
      <c r="X246" s="46"/>
      <c r="Y246" s="41"/>
    </row>
    <row r="247" spans="1:25" ht="14.4" hidden="1" x14ac:dyDescent="0.3">
      <c r="A247" s="86"/>
      <c r="B247" s="42">
        <f>_xlfn.XLOOKUP(Table3[[#This Row],[Verzekerde]],Relatie,fin_sub)</f>
        <v>0</v>
      </c>
      <c r="C247" s="87">
        <v>241</v>
      </c>
      <c r="D247" s="41" t="s">
        <v>7</v>
      </c>
      <c r="E247" s="41"/>
      <c r="F247" s="43"/>
      <c r="G247" s="43"/>
      <c r="H247" s="43" t="s">
        <v>7</v>
      </c>
      <c r="I247" s="43" t="s">
        <v>7</v>
      </c>
      <c r="J247" s="127"/>
      <c r="K247" s="127"/>
      <c r="L247" s="127"/>
      <c r="M247" s="127"/>
      <c r="N247" s="127"/>
      <c r="O247" s="41"/>
      <c r="P247" s="41"/>
      <c r="Q247" s="41"/>
      <c r="R247" s="44">
        <v>0</v>
      </c>
      <c r="S247" s="45">
        <f t="shared" si="15"/>
        <v>0</v>
      </c>
      <c r="T247" s="45">
        <f>Table3[[#This Row],[Verzekerde Waarde]]-Table3[[#This Row],[Mutaties]]</f>
        <v>0</v>
      </c>
      <c r="U247" s="45">
        <f t="shared" si="14"/>
        <v>0</v>
      </c>
      <c r="V247" s="41"/>
      <c r="W247" s="45">
        <f>X247+SUMIF(Table4[Subnummer],Table3[[#This Row],[Sub]],Table4[Som mutaties])</f>
        <v>0</v>
      </c>
      <c r="X247" s="46"/>
      <c r="Y247" s="41"/>
    </row>
    <row r="248" spans="1:25" ht="14.4" hidden="1" x14ac:dyDescent="0.3">
      <c r="A248" s="86"/>
      <c r="B248" s="42">
        <f>_xlfn.XLOOKUP(Table3[[#This Row],[Verzekerde]],Relatie,fin_sub)</f>
        <v>0</v>
      </c>
      <c r="C248" s="87">
        <v>242</v>
      </c>
      <c r="D248" s="41" t="s">
        <v>7</v>
      </c>
      <c r="E248" s="41"/>
      <c r="F248" s="43"/>
      <c r="G248" s="43"/>
      <c r="H248" s="43" t="s">
        <v>7</v>
      </c>
      <c r="I248" s="43" t="s">
        <v>7</v>
      </c>
      <c r="J248" s="127"/>
      <c r="K248" s="127"/>
      <c r="L248" s="127"/>
      <c r="M248" s="127"/>
      <c r="N248" s="127"/>
      <c r="O248" s="41"/>
      <c r="P248" s="41"/>
      <c r="Q248" s="41"/>
      <c r="R248" s="44">
        <v>0</v>
      </c>
      <c r="S248" s="45">
        <f t="shared" si="15"/>
        <v>0</v>
      </c>
      <c r="T248" s="45">
        <f>Table3[[#This Row],[Verzekerde Waarde]]-Table3[[#This Row],[Mutaties]]</f>
        <v>0</v>
      </c>
      <c r="U248" s="45">
        <f t="shared" si="14"/>
        <v>0</v>
      </c>
      <c r="V248" s="41"/>
      <c r="W248" s="45">
        <f>X248+SUMIF(Table4[Subnummer],Table3[[#This Row],[Sub]],Table4[Som mutaties])</f>
        <v>0</v>
      </c>
      <c r="X248" s="46"/>
      <c r="Y248" s="41"/>
    </row>
    <row r="249" spans="1:25" ht="14.4" hidden="1" x14ac:dyDescent="0.3">
      <c r="A249" s="86"/>
      <c r="B249" s="42">
        <f>_xlfn.XLOOKUP(Table3[[#This Row],[Verzekerde]],Relatie,fin_sub)</f>
        <v>0</v>
      </c>
      <c r="C249" s="87">
        <v>243</v>
      </c>
      <c r="D249" s="41" t="s">
        <v>7</v>
      </c>
      <c r="E249" s="41"/>
      <c r="F249" s="43"/>
      <c r="G249" s="43"/>
      <c r="H249" s="43" t="s">
        <v>7</v>
      </c>
      <c r="I249" s="43" t="s">
        <v>7</v>
      </c>
      <c r="J249" s="127"/>
      <c r="K249" s="127"/>
      <c r="L249" s="127"/>
      <c r="M249" s="127"/>
      <c r="N249" s="127"/>
      <c r="O249" s="41"/>
      <c r="P249" s="41"/>
      <c r="Q249" s="41"/>
      <c r="R249" s="44">
        <v>0</v>
      </c>
      <c r="S249" s="45">
        <f t="shared" si="15"/>
        <v>0</v>
      </c>
      <c r="T249" s="45">
        <f>Table3[[#This Row],[Verzekerde Waarde]]-Table3[[#This Row],[Mutaties]]</f>
        <v>0</v>
      </c>
      <c r="U249" s="45">
        <f t="shared" si="14"/>
        <v>0</v>
      </c>
      <c r="V249" s="41"/>
      <c r="W249" s="45">
        <f>X249+SUMIF(Table4[Subnummer],Table3[[#This Row],[Sub]],Table4[Som mutaties])</f>
        <v>0</v>
      </c>
      <c r="X249" s="46"/>
      <c r="Y249" s="41"/>
    </row>
    <row r="250" spans="1:25" ht="14.4" hidden="1" x14ac:dyDescent="0.3">
      <c r="A250" s="86"/>
      <c r="B250" s="42">
        <f>_xlfn.XLOOKUP(Table3[[#This Row],[Verzekerde]],Relatie,fin_sub)</f>
        <v>0</v>
      </c>
      <c r="C250" s="87">
        <v>244</v>
      </c>
      <c r="D250" s="41" t="s">
        <v>7</v>
      </c>
      <c r="E250" s="41"/>
      <c r="F250" s="43"/>
      <c r="G250" s="43"/>
      <c r="H250" s="43" t="s">
        <v>7</v>
      </c>
      <c r="I250" s="43" t="s">
        <v>7</v>
      </c>
      <c r="J250" s="127"/>
      <c r="K250" s="127"/>
      <c r="L250" s="127"/>
      <c r="M250" s="127"/>
      <c r="N250" s="127"/>
      <c r="O250" s="41"/>
      <c r="P250" s="41"/>
      <c r="Q250" s="41"/>
      <c r="R250" s="44">
        <v>0</v>
      </c>
      <c r="S250" s="45">
        <f t="shared" si="15"/>
        <v>0</v>
      </c>
      <c r="T250" s="45">
        <f>Table3[[#This Row],[Verzekerde Waarde]]-Table3[[#This Row],[Mutaties]]</f>
        <v>0</v>
      </c>
      <c r="U250" s="45">
        <f t="shared" si="14"/>
        <v>0</v>
      </c>
      <c r="V250" s="41"/>
      <c r="W250" s="45">
        <f>X250+SUMIF(Table4[Subnummer],Table3[[#This Row],[Sub]],Table4[Som mutaties])</f>
        <v>0</v>
      </c>
      <c r="X250" s="46"/>
      <c r="Y250" s="41"/>
    </row>
    <row r="251" spans="1:25" ht="14.4" hidden="1" x14ac:dyDescent="0.3">
      <c r="A251" s="86"/>
      <c r="B251" s="42">
        <f>_xlfn.XLOOKUP(Table3[[#This Row],[Verzekerde]],Relatie,fin_sub)</f>
        <v>0</v>
      </c>
      <c r="C251" s="87">
        <v>245</v>
      </c>
      <c r="D251" s="41" t="s">
        <v>7</v>
      </c>
      <c r="E251" s="41"/>
      <c r="F251" s="43"/>
      <c r="G251" s="43"/>
      <c r="H251" s="43" t="s">
        <v>7</v>
      </c>
      <c r="I251" s="43" t="s">
        <v>7</v>
      </c>
      <c r="J251" s="127"/>
      <c r="K251" s="127"/>
      <c r="L251" s="127"/>
      <c r="M251" s="127"/>
      <c r="N251" s="127"/>
      <c r="O251" s="41"/>
      <c r="P251" s="41"/>
      <c r="Q251" s="41"/>
      <c r="R251" s="44">
        <v>0</v>
      </c>
      <c r="S251" s="45">
        <f t="shared" si="15"/>
        <v>0</v>
      </c>
      <c r="T251" s="45">
        <f>Table3[[#This Row],[Verzekerde Waarde]]-Table3[[#This Row],[Mutaties]]</f>
        <v>0</v>
      </c>
      <c r="U251" s="45">
        <f t="shared" si="14"/>
        <v>0</v>
      </c>
      <c r="V251" s="41"/>
      <c r="W251" s="45">
        <f>X251+SUMIF(Table4[Subnummer],Table3[[#This Row],[Sub]],Table4[Som mutaties])</f>
        <v>0</v>
      </c>
      <c r="X251" s="46"/>
      <c r="Y251" s="41"/>
    </row>
    <row r="252" spans="1:25" ht="14.4" hidden="1" x14ac:dyDescent="0.3">
      <c r="A252" s="86"/>
      <c r="B252" s="42">
        <f>_xlfn.XLOOKUP(Table3[[#This Row],[Verzekerde]],Relatie,fin_sub)</f>
        <v>0</v>
      </c>
      <c r="C252" s="87">
        <v>246</v>
      </c>
      <c r="D252" s="41" t="s">
        <v>7</v>
      </c>
      <c r="E252" s="41"/>
      <c r="F252" s="43"/>
      <c r="G252" s="43"/>
      <c r="H252" s="43" t="s">
        <v>7</v>
      </c>
      <c r="I252" s="43" t="s">
        <v>7</v>
      </c>
      <c r="J252" s="127"/>
      <c r="K252" s="127"/>
      <c r="L252" s="127"/>
      <c r="M252" s="127"/>
      <c r="N252" s="127"/>
      <c r="O252" s="41"/>
      <c r="P252" s="41"/>
      <c r="Q252" s="41"/>
      <c r="R252" s="44">
        <v>0</v>
      </c>
      <c r="S252" s="45">
        <f t="shared" si="15"/>
        <v>0</v>
      </c>
      <c r="T252" s="45">
        <f>Table3[[#This Row],[Verzekerde Waarde]]-Table3[[#This Row],[Mutaties]]</f>
        <v>0</v>
      </c>
      <c r="U252" s="45">
        <f t="shared" si="14"/>
        <v>0</v>
      </c>
      <c r="V252" s="41"/>
      <c r="W252" s="45">
        <f>X252+SUMIF(Table4[Subnummer],Table3[[#This Row],[Sub]],Table4[Som mutaties])</f>
        <v>0</v>
      </c>
      <c r="X252" s="46"/>
      <c r="Y252" s="41"/>
    </row>
    <row r="253" spans="1:25" ht="14.4" hidden="1" x14ac:dyDescent="0.3">
      <c r="A253" s="86"/>
      <c r="B253" s="42">
        <f>_xlfn.XLOOKUP(Table3[[#This Row],[Verzekerde]],Relatie,fin_sub)</f>
        <v>0</v>
      </c>
      <c r="C253" s="87">
        <v>247</v>
      </c>
      <c r="D253" s="41" t="s">
        <v>7</v>
      </c>
      <c r="E253" s="41"/>
      <c r="F253" s="43"/>
      <c r="G253" s="43"/>
      <c r="H253" s="43" t="s">
        <v>7</v>
      </c>
      <c r="I253" s="43" t="s">
        <v>7</v>
      </c>
      <c r="J253" s="127"/>
      <c r="K253" s="127"/>
      <c r="L253" s="127"/>
      <c r="M253" s="127"/>
      <c r="N253" s="127"/>
      <c r="O253" s="41"/>
      <c r="P253" s="41"/>
      <c r="Q253" s="41"/>
      <c r="R253" s="44">
        <v>0</v>
      </c>
      <c r="S253" s="45">
        <f t="shared" si="15"/>
        <v>0</v>
      </c>
      <c r="T253" s="45">
        <f>Table3[[#This Row],[Verzekerde Waarde]]-Table3[[#This Row],[Mutaties]]</f>
        <v>0</v>
      </c>
      <c r="U253" s="45">
        <f t="shared" si="14"/>
        <v>0</v>
      </c>
      <c r="V253" s="41"/>
      <c r="W253" s="45">
        <f>X253+SUMIF(Table4[Subnummer],Table3[[#This Row],[Sub]],Table4[Som mutaties])</f>
        <v>0</v>
      </c>
      <c r="X253" s="46"/>
      <c r="Y253" s="41"/>
    </row>
    <row r="254" spans="1:25" ht="14.4" hidden="1" x14ac:dyDescent="0.3">
      <c r="A254" s="86"/>
      <c r="B254" s="42">
        <f>_xlfn.XLOOKUP(Table3[[#This Row],[Verzekerde]],Relatie,fin_sub)</f>
        <v>0</v>
      </c>
      <c r="C254" s="87">
        <v>248</v>
      </c>
      <c r="D254" s="41" t="s">
        <v>7</v>
      </c>
      <c r="E254" s="41"/>
      <c r="F254" s="43"/>
      <c r="G254" s="43"/>
      <c r="H254" s="43" t="s">
        <v>7</v>
      </c>
      <c r="I254" s="43" t="s">
        <v>7</v>
      </c>
      <c r="J254" s="127"/>
      <c r="K254" s="127"/>
      <c r="L254" s="127"/>
      <c r="M254" s="127"/>
      <c r="N254" s="127"/>
      <c r="O254" s="41"/>
      <c r="P254" s="41"/>
      <c r="Q254" s="41"/>
      <c r="R254" s="44">
        <v>0</v>
      </c>
      <c r="S254" s="45">
        <f t="shared" si="15"/>
        <v>0</v>
      </c>
      <c r="T254" s="45">
        <f>Table3[[#This Row],[Verzekerde Waarde]]-Table3[[#This Row],[Mutaties]]</f>
        <v>0</v>
      </c>
      <c r="U254" s="45">
        <f t="shared" si="14"/>
        <v>0</v>
      </c>
      <c r="V254" s="41"/>
      <c r="W254" s="45">
        <f>X254+SUMIF(Table4[Subnummer],Table3[[#This Row],[Sub]],Table4[Som mutaties])</f>
        <v>0</v>
      </c>
      <c r="X254" s="46"/>
      <c r="Y254" s="41"/>
    </row>
    <row r="255" spans="1:25" ht="14.4" hidden="1" x14ac:dyDescent="0.3">
      <c r="A255" s="86"/>
      <c r="B255" s="42">
        <f>_xlfn.XLOOKUP(Table3[[#This Row],[Verzekerde]],Relatie,fin_sub)</f>
        <v>0</v>
      </c>
      <c r="C255" s="87">
        <v>249</v>
      </c>
      <c r="D255" s="41" t="s">
        <v>7</v>
      </c>
      <c r="E255" s="41"/>
      <c r="F255" s="43"/>
      <c r="G255" s="43"/>
      <c r="H255" s="43" t="s">
        <v>7</v>
      </c>
      <c r="I255" s="43" t="s">
        <v>7</v>
      </c>
      <c r="J255" s="127"/>
      <c r="K255" s="127"/>
      <c r="L255" s="127"/>
      <c r="M255" s="127"/>
      <c r="N255" s="127"/>
      <c r="O255" s="41"/>
      <c r="P255" s="41"/>
      <c r="Q255" s="41"/>
      <c r="R255" s="44">
        <v>0</v>
      </c>
      <c r="S255" s="45">
        <f t="shared" si="15"/>
        <v>0</v>
      </c>
      <c r="T255" s="45">
        <f>Table3[[#This Row],[Verzekerde Waarde]]-Table3[[#This Row],[Mutaties]]</f>
        <v>0</v>
      </c>
      <c r="U255" s="45">
        <f t="shared" si="14"/>
        <v>0</v>
      </c>
      <c r="V255" s="41"/>
      <c r="W255" s="45">
        <f>X255+SUMIF(Table4[Subnummer],Table3[[#This Row],[Sub]],Table4[Som mutaties])</f>
        <v>0</v>
      </c>
      <c r="X255" s="46"/>
      <c r="Y255" s="41"/>
    </row>
    <row r="256" spans="1:25" ht="14.4" hidden="1" x14ac:dyDescent="0.3">
      <c r="A256" s="86"/>
      <c r="B256" s="42">
        <f>_xlfn.XLOOKUP(Table3[[#This Row],[Verzekerde]],Relatie,fin_sub)</f>
        <v>0</v>
      </c>
      <c r="C256" s="87">
        <v>250</v>
      </c>
      <c r="D256" s="41" t="s">
        <v>7</v>
      </c>
      <c r="E256" s="41"/>
      <c r="F256" s="43"/>
      <c r="G256" s="43"/>
      <c r="H256" s="43" t="s">
        <v>7</v>
      </c>
      <c r="I256" s="43" t="s">
        <v>7</v>
      </c>
      <c r="J256" s="127"/>
      <c r="K256" s="127"/>
      <c r="L256" s="127"/>
      <c r="M256" s="127"/>
      <c r="N256" s="127"/>
      <c r="O256" s="41"/>
      <c r="P256" s="41"/>
      <c r="Q256" s="41"/>
      <c r="R256" s="44">
        <v>0</v>
      </c>
      <c r="S256" s="45">
        <f t="shared" si="15"/>
        <v>0</v>
      </c>
      <c r="T256" s="45">
        <f>Table3[[#This Row],[Verzekerde Waarde]]-Table3[[#This Row],[Mutaties]]</f>
        <v>0</v>
      </c>
      <c r="U256" s="45">
        <f t="shared" si="14"/>
        <v>0</v>
      </c>
      <c r="V256" s="41"/>
      <c r="W256" s="45">
        <f>X256+SUMIF(Table4[Subnummer],Table3[[#This Row],[Sub]],Table4[Som mutaties])</f>
        <v>0</v>
      </c>
      <c r="X256" s="46"/>
      <c r="Y256" s="41"/>
    </row>
    <row r="257" spans="1:25" ht="14.4" hidden="1" x14ac:dyDescent="0.3">
      <c r="A257" s="86"/>
      <c r="B257" s="42">
        <f>_xlfn.XLOOKUP(Table3[[#This Row],[Verzekerde]],Relatie,fin_sub)</f>
        <v>0</v>
      </c>
      <c r="C257" s="87">
        <v>251</v>
      </c>
      <c r="D257" s="41" t="s">
        <v>7</v>
      </c>
      <c r="E257" s="41"/>
      <c r="F257" s="43"/>
      <c r="G257" s="43"/>
      <c r="H257" s="43" t="s">
        <v>7</v>
      </c>
      <c r="I257" s="43" t="s">
        <v>7</v>
      </c>
      <c r="J257" s="127"/>
      <c r="K257" s="127"/>
      <c r="L257" s="127"/>
      <c r="M257" s="127"/>
      <c r="N257" s="127"/>
      <c r="O257" s="41"/>
      <c r="P257" s="41"/>
      <c r="Q257" s="41"/>
      <c r="R257" s="44">
        <v>0</v>
      </c>
      <c r="S257" s="45">
        <f t="shared" si="15"/>
        <v>0</v>
      </c>
      <c r="T257" s="45">
        <f>Table3[[#This Row],[Verzekerde Waarde]]-Table3[[#This Row],[Mutaties]]</f>
        <v>0</v>
      </c>
      <c r="U257" s="45">
        <f t="shared" si="14"/>
        <v>0</v>
      </c>
      <c r="V257" s="41"/>
      <c r="W257" s="45">
        <f>X257+SUMIF(Table4[Subnummer],Table3[[#This Row],[Sub]],Table4[Som mutaties])</f>
        <v>0</v>
      </c>
      <c r="X257" s="46"/>
      <c r="Y257" s="41"/>
    </row>
    <row r="258" spans="1:25" ht="14.4" hidden="1" x14ac:dyDescent="0.3">
      <c r="A258" s="86"/>
      <c r="B258" s="42">
        <f>_xlfn.XLOOKUP(Table3[[#This Row],[Verzekerde]],Relatie,fin_sub)</f>
        <v>0</v>
      </c>
      <c r="C258" s="87">
        <v>252</v>
      </c>
      <c r="D258" s="41" t="s">
        <v>7</v>
      </c>
      <c r="E258" s="41"/>
      <c r="F258" s="43"/>
      <c r="G258" s="43"/>
      <c r="H258" s="43" t="s">
        <v>7</v>
      </c>
      <c r="I258" s="43" t="s">
        <v>7</v>
      </c>
      <c r="J258" s="127"/>
      <c r="K258" s="127"/>
      <c r="L258" s="127"/>
      <c r="M258" s="127"/>
      <c r="N258" s="127"/>
      <c r="O258" s="41"/>
      <c r="P258" s="41"/>
      <c r="Q258" s="41"/>
      <c r="R258" s="44">
        <v>0</v>
      </c>
      <c r="S258" s="45">
        <f t="shared" si="15"/>
        <v>0</v>
      </c>
      <c r="T258" s="45">
        <f>Table3[[#This Row],[Verzekerde Waarde]]-Table3[[#This Row],[Mutaties]]</f>
        <v>0</v>
      </c>
      <c r="U258" s="45">
        <f t="shared" si="14"/>
        <v>0</v>
      </c>
      <c r="V258" s="41"/>
      <c r="W258" s="45">
        <f>X258+SUMIF(Table4[Subnummer],Table3[[#This Row],[Sub]],Table4[Som mutaties])</f>
        <v>0</v>
      </c>
      <c r="X258" s="46"/>
      <c r="Y258" s="41"/>
    </row>
    <row r="259" spans="1:25" ht="14.4" hidden="1" x14ac:dyDescent="0.3">
      <c r="A259" s="86"/>
      <c r="B259" s="42">
        <f>_xlfn.XLOOKUP(Table3[[#This Row],[Verzekerde]],Relatie,fin_sub)</f>
        <v>0</v>
      </c>
      <c r="C259" s="87">
        <v>253</v>
      </c>
      <c r="D259" s="41" t="s">
        <v>7</v>
      </c>
      <c r="E259" s="41"/>
      <c r="F259" s="43"/>
      <c r="G259" s="43"/>
      <c r="H259" s="43" t="s">
        <v>7</v>
      </c>
      <c r="I259" s="43" t="s">
        <v>7</v>
      </c>
      <c r="J259" s="127"/>
      <c r="K259" s="127"/>
      <c r="L259" s="127"/>
      <c r="M259" s="127"/>
      <c r="N259" s="127"/>
      <c r="O259" s="41"/>
      <c r="P259" s="41"/>
      <c r="Q259" s="41"/>
      <c r="R259" s="44">
        <v>0</v>
      </c>
      <c r="S259" s="45">
        <f t="shared" si="15"/>
        <v>0</v>
      </c>
      <c r="T259" s="45">
        <f>Table3[[#This Row],[Verzekerde Waarde]]-Table3[[#This Row],[Mutaties]]</f>
        <v>0</v>
      </c>
      <c r="U259" s="45">
        <f t="shared" si="14"/>
        <v>0</v>
      </c>
      <c r="V259" s="41"/>
      <c r="W259" s="45">
        <f>X259+SUMIF(Table4[Subnummer],Table3[[#This Row],[Sub]],Table4[Som mutaties])</f>
        <v>0</v>
      </c>
      <c r="X259" s="46"/>
      <c r="Y259" s="41"/>
    </row>
    <row r="260" spans="1:25" ht="14.4" hidden="1" x14ac:dyDescent="0.3">
      <c r="A260" s="86"/>
      <c r="B260" s="42">
        <f>_xlfn.XLOOKUP(Table3[[#This Row],[Verzekerde]],Relatie,fin_sub)</f>
        <v>0</v>
      </c>
      <c r="C260" s="87">
        <v>254</v>
      </c>
      <c r="D260" s="41" t="s">
        <v>7</v>
      </c>
      <c r="E260" s="41"/>
      <c r="F260" s="43"/>
      <c r="G260" s="43"/>
      <c r="H260" s="43" t="s">
        <v>7</v>
      </c>
      <c r="I260" s="43" t="s">
        <v>7</v>
      </c>
      <c r="J260" s="127"/>
      <c r="K260" s="127"/>
      <c r="L260" s="127"/>
      <c r="M260" s="127"/>
      <c r="N260" s="127"/>
      <c r="O260" s="41"/>
      <c r="P260" s="41"/>
      <c r="Q260" s="41"/>
      <c r="R260" s="44">
        <v>0</v>
      </c>
      <c r="S260" s="45">
        <f t="shared" si="15"/>
        <v>0</v>
      </c>
      <c r="T260" s="45">
        <f>Table3[[#This Row],[Verzekerde Waarde]]-Table3[[#This Row],[Mutaties]]</f>
        <v>0</v>
      </c>
      <c r="U260" s="45">
        <f t="shared" si="14"/>
        <v>0</v>
      </c>
      <c r="V260" s="41"/>
      <c r="W260" s="45">
        <f>X260+SUMIF(Table4[Subnummer],Table3[[#This Row],[Sub]],Table4[Som mutaties])</f>
        <v>0</v>
      </c>
      <c r="X260" s="46"/>
      <c r="Y260" s="41"/>
    </row>
    <row r="261" spans="1:25" ht="14.4" hidden="1" x14ac:dyDescent="0.3">
      <c r="A261" s="86"/>
      <c r="B261" s="42">
        <f>_xlfn.XLOOKUP(Table3[[#This Row],[Verzekerde]],Relatie,fin_sub)</f>
        <v>0</v>
      </c>
      <c r="C261" s="87">
        <v>255</v>
      </c>
      <c r="D261" s="41" t="s">
        <v>7</v>
      </c>
      <c r="E261" s="41"/>
      <c r="F261" s="43"/>
      <c r="G261" s="43"/>
      <c r="H261" s="43" t="s">
        <v>7</v>
      </c>
      <c r="I261" s="43" t="s">
        <v>7</v>
      </c>
      <c r="J261" s="127"/>
      <c r="K261" s="127"/>
      <c r="L261" s="127"/>
      <c r="M261" s="127"/>
      <c r="N261" s="127"/>
      <c r="O261" s="41"/>
      <c r="P261" s="41"/>
      <c r="Q261" s="41"/>
      <c r="R261" s="44">
        <v>0</v>
      </c>
      <c r="S261" s="45">
        <f t="shared" si="15"/>
        <v>0</v>
      </c>
      <c r="T261" s="45">
        <f>Table3[[#This Row],[Verzekerde Waarde]]-Table3[[#This Row],[Mutaties]]</f>
        <v>0</v>
      </c>
      <c r="U261" s="45">
        <f t="shared" ref="U261:U291" si="16">IF(V261=Y261,W261,ROUNDUP(W261/Y261*V261,-3))</f>
        <v>0</v>
      </c>
      <c r="V261" s="41"/>
      <c r="W261" s="45">
        <f>X261+SUMIF(Table4[Subnummer],Table3[[#This Row],[Sub]],Table4[Som mutaties])</f>
        <v>0</v>
      </c>
      <c r="X261" s="46"/>
      <c r="Y261" s="41"/>
    </row>
    <row r="262" spans="1:25" ht="14.4" hidden="1" x14ac:dyDescent="0.3">
      <c r="A262" s="86"/>
      <c r="B262" s="42">
        <f>_xlfn.XLOOKUP(Table3[[#This Row],[Verzekerde]],Relatie,fin_sub)</f>
        <v>0</v>
      </c>
      <c r="C262" s="87">
        <v>256</v>
      </c>
      <c r="D262" s="41" t="s">
        <v>7</v>
      </c>
      <c r="E262" s="41"/>
      <c r="F262" s="43"/>
      <c r="G262" s="43"/>
      <c r="H262" s="43" t="s">
        <v>7</v>
      </c>
      <c r="I262" s="43" t="s">
        <v>7</v>
      </c>
      <c r="J262" s="127"/>
      <c r="K262" s="127"/>
      <c r="L262" s="127"/>
      <c r="M262" s="127"/>
      <c r="N262" s="127"/>
      <c r="O262" s="41"/>
      <c r="P262" s="41"/>
      <c r="Q262" s="41"/>
      <c r="R262" s="44">
        <v>0</v>
      </c>
      <c r="S262" s="45">
        <f t="shared" si="15"/>
        <v>0</v>
      </c>
      <c r="T262" s="45">
        <f>Table3[[#This Row],[Verzekerde Waarde]]-Table3[[#This Row],[Mutaties]]</f>
        <v>0</v>
      </c>
      <c r="U262" s="45">
        <f t="shared" si="16"/>
        <v>0</v>
      </c>
      <c r="V262" s="41"/>
      <c r="W262" s="45">
        <f>X262+SUMIF(Table4[Subnummer],Table3[[#This Row],[Sub]],Table4[Som mutaties])</f>
        <v>0</v>
      </c>
      <c r="X262" s="46"/>
      <c r="Y262" s="41"/>
    </row>
    <row r="263" spans="1:25" ht="14.4" hidden="1" x14ac:dyDescent="0.3">
      <c r="A263" s="86"/>
      <c r="B263" s="42">
        <f>_xlfn.XLOOKUP(Table3[[#This Row],[Verzekerde]],Relatie,fin_sub)</f>
        <v>0</v>
      </c>
      <c r="C263" s="87">
        <v>257</v>
      </c>
      <c r="D263" s="41" t="s">
        <v>7</v>
      </c>
      <c r="E263" s="41"/>
      <c r="F263" s="43"/>
      <c r="G263" s="43"/>
      <c r="H263" s="43" t="s">
        <v>7</v>
      </c>
      <c r="I263" s="43" t="s">
        <v>7</v>
      </c>
      <c r="J263" s="127"/>
      <c r="K263" s="127"/>
      <c r="L263" s="127"/>
      <c r="M263" s="127"/>
      <c r="N263" s="127"/>
      <c r="O263" s="41"/>
      <c r="P263" s="41"/>
      <c r="Q263" s="41"/>
      <c r="R263" s="44">
        <v>0</v>
      </c>
      <c r="S263" s="45">
        <f t="shared" si="15"/>
        <v>0</v>
      </c>
      <c r="T263" s="45">
        <f>Table3[[#This Row],[Verzekerde Waarde]]-Table3[[#This Row],[Mutaties]]</f>
        <v>0</v>
      </c>
      <c r="U263" s="45">
        <f t="shared" si="16"/>
        <v>0</v>
      </c>
      <c r="V263" s="41"/>
      <c r="W263" s="45">
        <f>X263+SUMIF(Table4[Subnummer],Table3[[#This Row],[Sub]],Table4[Som mutaties])</f>
        <v>0</v>
      </c>
      <c r="X263" s="46"/>
      <c r="Y263" s="41"/>
    </row>
    <row r="264" spans="1:25" ht="14.4" hidden="1" x14ac:dyDescent="0.3">
      <c r="A264" s="86"/>
      <c r="B264" s="42">
        <f>_xlfn.XLOOKUP(Table3[[#This Row],[Verzekerde]],Relatie,fin_sub)</f>
        <v>0</v>
      </c>
      <c r="C264" s="87">
        <v>258</v>
      </c>
      <c r="D264" s="41" t="s">
        <v>7</v>
      </c>
      <c r="E264" s="41"/>
      <c r="F264" s="43"/>
      <c r="G264" s="43"/>
      <c r="H264" s="43" t="s">
        <v>7</v>
      </c>
      <c r="I264" s="43" t="s">
        <v>7</v>
      </c>
      <c r="J264" s="127"/>
      <c r="K264" s="127"/>
      <c r="L264" s="127"/>
      <c r="M264" s="127"/>
      <c r="N264" s="127"/>
      <c r="O264" s="41"/>
      <c r="P264" s="41"/>
      <c r="Q264" s="41"/>
      <c r="R264" s="44">
        <v>0</v>
      </c>
      <c r="S264" s="45">
        <f t="shared" si="15"/>
        <v>0</v>
      </c>
      <c r="T264" s="45">
        <f>Table3[[#This Row],[Verzekerde Waarde]]-Table3[[#This Row],[Mutaties]]</f>
        <v>0</v>
      </c>
      <c r="U264" s="45">
        <f t="shared" si="16"/>
        <v>0</v>
      </c>
      <c r="V264" s="41"/>
      <c r="W264" s="45">
        <f>X264+SUMIF(Table4[Subnummer],Table3[[#This Row],[Sub]],Table4[Som mutaties])</f>
        <v>0</v>
      </c>
      <c r="X264" s="46"/>
      <c r="Y264" s="41"/>
    </row>
    <row r="265" spans="1:25" ht="14.4" hidden="1" x14ac:dyDescent="0.3">
      <c r="A265" s="86"/>
      <c r="B265" s="42">
        <f>_xlfn.XLOOKUP(Table3[[#This Row],[Verzekerde]],Relatie,fin_sub)</f>
        <v>0</v>
      </c>
      <c r="C265" s="87">
        <v>259</v>
      </c>
      <c r="D265" s="41" t="s">
        <v>7</v>
      </c>
      <c r="E265" s="41"/>
      <c r="F265" s="43"/>
      <c r="G265" s="43"/>
      <c r="H265" s="43" t="s">
        <v>7</v>
      </c>
      <c r="I265" s="43" t="s">
        <v>7</v>
      </c>
      <c r="J265" s="127"/>
      <c r="K265" s="127"/>
      <c r="L265" s="127"/>
      <c r="M265" s="127"/>
      <c r="N265" s="127"/>
      <c r="O265" s="41"/>
      <c r="P265" s="41"/>
      <c r="Q265" s="41"/>
      <c r="R265" s="44">
        <v>0</v>
      </c>
      <c r="S265" s="45">
        <f t="shared" si="15"/>
        <v>0</v>
      </c>
      <c r="T265" s="45">
        <f>Table3[[#This Row],[Verzekerde Waarde]]-Table3[[#This Row],[Mutaties]]</f>
        <v>0</v>
      </c>
      <c r="U265" s="45">
        <f t="shared" si="16"/>
        <v>0</v>
      </c>
      <c r="V265" s="41"/>
      <c r="W265" s="45">
        <f>X265+SUMIF(Table4[Subnummer],Table3[[#This Row],[Sub]],Table4[Som mutaties])</f>
        <v>0</v>
      </c>
      <c r="X265" s="46"/>
      <c r="Y265" s="41"/>
    </row>
    <row r="266" spans="1:25" ht="14.4" hidden="1" x14ac:dyDescent="0.3">
      <c r="A266" s="86"/>
      <c r="B266" s="42">
        <f>_xlfn.XLOOKUP(Table3[[#This Row],[Verzekerde]],Relatie,fin_sub)</f>
        <v>0</v>
      </c>
      <c r="C266" s="87">
        <v>260</v>
      </c>
      <c r="D266" s="41" t="s">
        <v>7</v>
      </c>
      <c r="E266" s="41"/>
      <c r="F266" s="43"/>
      <c r="G266" s="43"/>
      <c r="H266" s="43" t="s">
        <v>7</v>
      </c>
      <c r="I266" s="43" t="s">
        <v>7</v>
      </c>
      <c r="J266" s="127"/>
      <c r="K266" s="127"/>
      <c r="L266" s="127"/>
      <c r="M266" s="127"/>
      <c r="N266" s="127"/>
      <c r="O266" s="41"/>
      <c r="P266" s="41"/>
      <c r="Q266" s="41"/>
      <c r="R266" s="44">
        <v>0</v>
      </c>
      <c r="S266" s="45">
        <f t="shared" si="15"/>
        <v>0</v>
      </c>
      <c r="T266" s="45">
        <f>Table3[[#This Row],[Verzekerde Waarde]]-Table3[[#This Row],[Mutaties]]</f>
        <v>0</v>
      </c>
      <c r="U266" s="45">
        <f t="shared" si="16"/>
        <v>0</v>
      </c>
      <c r="V266" s="41"/>
      <c r="W266" s="45">
        <f>X266+SUMIF(Table4[Subnummer],Table3[[#This Row],[Sub]],Table4[Som mutaties])</f>
        <v>0</v>
      </c>
      <c r="X266" s="46"/>
      <c r="Y266" s="41"/>
    </row>
    <row r="267" spans="1:25" ht="14.4" hidden="1" x14ac:dyDescent="0.3">
      <c r="A267" s="86"/>
      <c r="B267" s="42">
        <f>_xlfn.XLOOKUP(Table3[[#This Row],[Verzekerde]],Relatie,fin_sub)</f>
        <v>0</v>
      </c>
      <c r="C267" s="87">
        <v>261</v>
      </c>
      <c r="D267" s="41" t="s">
        <v>7</v>
      </c>
      <c r="E267" s="41"/>
      <c r="F267" s="43"/>
      <c r="G267" s="43"/>
      <c r="H267" s="43" t="s">
        <v>7</v>
      </c>
      <c r="I267" s="43" t="s">
        <v>7</v>
      </c>
      <c r="J267" s="127"/>
      <c r="K267" s="127"/>
      <c r="L267" s="127"/>
      <c r="M267" s="127"/>
      <c r="N267" s="127"/>
      <c r="O267" s="41"/>
      <c r="P267" s="41"/>
      <c r="Q267" s="41"/>
      <c r="R267" s="44">
        <v>0</v>
      </c>
      <c r="S267" s="45">
        <f t="shared" si="15"/>
        <v>0</v>
      </c>
      <c r="T267" s="45">
        <f>Table3[[#This Row],[Verzekerde Waarde]]-Table3[[#This Row],[Mutaties]]</f>
        <v>0</v>
      </c>
      <c r="U267" s="45">
        <f t="shared" si="16"/>
        <v>0</v>
      </c>
      <c r="V267" s="41"/>
      <c r="W267" s="45">
        <f>X267+SUMIF(Table4[Subnummer],Table3[[#This Row],[Sub]],Table4[Som mutaties])</f>
        <v>0</v>
      </c>
      <c r="X267" s="46"/>
      <c r="Y267" s="41"/>
    </row>
    <row r="268" spans="1:25" ht="14.4" hidden="1" x14ac:dyDescent="0.3">
      <c r="A268" s="86"/>
      <c r="B268" s="42">
        <f>_xlfn.XLOOKUP(Table3[[#This Row],[Verzekerde]],Relatie,fin_sub)</f>
        <v>0</v>
      </c>
      <c r="C268" s="87">
        <v>262</v>
      </c>
      <c r="D268" s="41" t="s">
        <v>7</v>
      </c>
      <c r="E268" s="41"/>
      <c r="F268" s="43"/>
      <c r="G268" s="43"/>
      <c r="H268" s="43" t="s">
        <v>7</v>
      </c>
      <c r="I268" s="43" t="s">
        <v>7</v>
      </c>
      <c r="J268" s="127"/>
      <c r="K268" s="127"/>
      <c r="L268" s="127"/>
      <c r="M268" s="127"/>
      <c r="N268" s="127"/>
      <c r="O268" s="41"/>
      <c r="P268" s="41"/>
      <c r="Q268" s="41"/>
      <c r="R268" s="44">
        <v>0</v>
      </c>
      <c r="S268" s="45">
        <f t="shared" si="15"/>
        <v>0</v>
      </c>
      <c r="T268" s="45">
        <f>Table3[[#This Row],[Verzekerde Waarde]]-Table3[[#This Row],[Mutaties]]</f>
        <v>0</v>
      </c>
      <c r="U268" s="45">
        <f t="shared" si="16"/>
        <v>0</v>
      </c>
      <c r="V268" s="41"/>
      <c r="W268" s="45">
        <f>X268+SUMIF(Table4[Subnummer],Table3[[#This Row],[Sub]],Table4[Som mutaties])</f>
        <v>0</v>
      </c>
      <c r="X268" s="46"/>
      <c r="Y268" s="41"/>
    </row>
    <row r="269" spans="1:25" ht="14.4" hidden="1" x14ac:dyDescent="0.3">
      <c r="A269" s="86"/>
      <c r="B269" s="42">
        <f>_xlfn.XLOOKUP(Table3[[#This Row],[Verzekerde]],Relatie,fin_sub)</f>
        <v>0</v>
      </c>
      <c r="C269" s="87">
        <v>263</v>
      </c>
      <c r="D269" s="41" t="s">
        <v>7</v>
      </c>
      <c r="E269" s="41"/>
      <c r="F269" s="43"/>
      <c r="G269" s="43"/>
      <c r="H269" s="43" t="s">
        <v>7</v>
      </c>
      <c r="I269" s="43" t="s">
        <v>7</v>
      </c>
      <c r="J269" s="127"/>
      <c r="K269" s="127"/>
      <c r="L269" s="127"/>
      <c r="M269" s="127"/>
      <c r="N269" s="127"/>
      <c r="O269" s="41"/>
      <c r="P269" s="41"/>
      <c r="Q269" s="41"/>
      <c r="R269" s="44">
        <v>0</v>
      </c>
      <c r="S269" s="45">
        <f t="shared" si="15"/>
        <v>0</v>
      </c>
      <c r="T269" s="45">
        <f>Table3[[#This Row],[Verzekerde Waarde]]-Table3[[#This Row],[Mutaties]]</f>
        <v>0</v>
      </c>
      <c r="U269" s="45">
        <f t="shared" si="16"/>
        <v>0</v>
      </c>
      <c r="V269" s="41"/>
      <c r="W269" s="45">
        <f>X269+SUMIF(Table4[Subnummer],Table3[[#This Row],[Sub]],Table4[Som mutaties])</f>
        <v>0</v>
      </c>
      <c r="X269" s="46"/>
      <c r="Y269" s="41"/>
    </row>
    <row r="270" spans="1:25" ht="14.4" hidden="1" x14ac:dyDescent="0.3">
      <c r="A270" s="86"/>
      <c r="B270" s="42">
        <f>_xlfn.XLOOKUP(Table3[[#This Row],[Verzekerde]],Relatie,fin_sub)</f>
        <v>0</v>
      </c>
      <c r="C270" s="87">
        <v>264</v>
      </c>
      <c r="D270" s="41" t="s">
        <v>7</v>
      </c>
      <c r="E270" s="41"/>
      <c r="F270" s="43"/>
      <c r="G270" s="43"/>
      <c r="H270" s="43" t="s">
        <v>7</v>
      </c>
      <c r="I270" s="43" t="s">
        <v>7</v>
      </c>
      <c r="J270" s="127"/>
      <c r="K270" s="127"/>
      <c r="L270" s="127"/>
      <c r="M270" s="127"/>
      <c r="N270" s="127"/>
      <c r="O270" s="41"/>
      <c r="P270" s="41"/>
      <c r="Q270" s="41"/>
      <c r="R270" s="44">
        <v>0</v>
      </c>
      <c r="S270" s="45">
        <f t="shared" si="15"/>
        <v>0</v>
      </c>
      <c r="T270" s="45">
        <f>Table3[[#This Row],[Verzekerde Waarde]]-Table3[[#This Row],[Mutaties]]</f>
        <v>0</v>
      </c>
      <c r="U270" s="45">
        <f t="shared" si="16"/>
        <v>0</v>
      </c>
      <c r="V270" s="41"/>
      <c r="W270" s="45">
        <f>X270+SUMIF(Table4[Subnummer],Table3[[#This Row],[Sub]],Table4[Som mutaties])</f>
        <v>0</v>
      </c>
      <c r="X270" s="46"/>
      <c r="Y270" s="41"/>
    </row>
    <row r="271" spans="1:25" ht="14.4" hidden="1" x14ac:dyDescent="0.3">
      <c r="A271" s="86"/>
      <c r="B271" s="42">
        <f>_xlfn.XLOOKUP(Table3[[#This Row],[Verzekerde]],Relatie,fin_sub)</f>
        <v>0</v>
      </c>
      <c r="C271" s="87">
        <v>265</v>
      </c>
      <c r="D271" s="41" t="s">
        <v>7</v>
      </c>
      <c r="E271" s="41"/>
      <c r="F271" s="43"/>
      <c r="G271" s="43"/>
      <c r="H271" s="43" t="s">
        <v>7</v>
      </c>
      <c r="I271" s="43" t="s">
        <v>7</v>
      </c>
      <c r="J271" s="127"/>
      <c r="K271" s="127"/>
      <c r="L271" s="127"/>
      <c r="M271" s="127"/>
      <c r="N271" s="127"/>
      <c r="O271" s="41"/>
      <c r="P271" s="41"/>
      <c r="Q271" s="41"/>
      <c r="R271" s="44">
        <v>0</v>
      </c>
      <c r="S271" s="45">
        <f t="shared" si="15"/>
        <v>0</v>
      </c>
      <c r="T271" s="45">
        <f>Table3[[#This Row],[Verzekerde Waarde]]-Table3[[#This Row],[Mutaties]]</f>
        <v>0</v>
      </c>
      <c r="U271" s="45">
        <f t="shared" si="16"/>
        <v>0</v>
      </c>
      <c r="V271" s="41"/>
      <c r="W271" s="45">
        <f>X271+SUMIF(Table4[Subnummer],Table3[[#This Row],[Sub]],Table4[Som mutaties])</f>
        <v>0</v>
      </c>
      <c r="X271" s="46"/>
      <c r="Y271" s="41"/>
    </row>
    <row r="272" spans="1:25" ht="14.4" hidden="1" x14ac:dyDescent="0.3">
      <c r="A272" s="86"/>
      <c r="B272" s="42">
        <f>_xlfn.XLOOKUP(Table3[[#This Row],[Verzekerde]],Relatie,fin_sub)</f>
        <v>0</v>
      </c>
      <c r="C272" s="87">
        <v>266</v>
      </c>
      <c r="D272" s="41" t="s">
        <v>7</v>
      </c>
      <c r="E272" s="41"/>
      <c r="F272" s="43"/>
      <c r="G272" s="43"/>
      <c r="H272" s="43" t="s">
        <v>7</v>
      </c>
      <c r="I272" s="43" t="s">
        <v>7</v>
      </c>
      <c r="J272" s="127"/>
      <c r="K272" s="127"/>
      <c r="L272" s="127"/>
      <c r="M272" s="127"/>
      <c r="N272" s="127"/>
      <c r="O272" s="41"/>
      <c r="P272" s="41"/>
      <c r="Q272" s="41"/>
      <c r="R272" s="44">
        <v>0</v>
      </c>
      <c r="S272" s="45">
        <f t="shared" si="15"/>
        <v>0</v>
      </c>
      <c r="T272" s="45">
        <f>Table3[[#This Row],[Verzekerde Waarde]]-Table3[[#This Row],[Mutaties]]</f>
        <v>0</v>
      </c>
      <c r="U272" s="45">
        <f t="shared" si="16"/>
        <v>0</v>
      </c>
      <c r="V272" s="41"/>
      <c r="W272" s="45">
        <f>X272+SUMIF(Table4[Subnummer],Table3[[#This Row],[Sub]],Table4[Som mutaties])</f>
        <v>0</v>
      </c>
      <c r="X272" s="46"/>
      <c r="Y272" s="41"/>
    </row>
    <row r="273" spans="1:25" ht="14.4" hidden="1" x14ac:dyDescent="0.3">
      <c r="A273" s="86"/>
      <c r="B273" s="42">
        <f>_xlfn.XLOOKUP(Table3[[#This Row],[Verzekerde]],Relatie,fin_sub)</f>
        <v>0</v>
      </c>
      <c r="C273" s="87">
        <v>267</v>
      </c>
      <c r="D273" s="41" t="s">
        <v>7</v>
      </c>
      <c r="E273" s="41"/>
      <c r="F273" s="43"/>
      <c r="G273" s="43"/>
      <c r="H273" s="43" t="s">
        <v>7</v>
      </c>
      <c r="I273" s="43" t="s">
        <v>7</v>
      </c>
      <c r="J273" s="127"/>
      <c r="K273" s="127"/>
      <c r="L273" s="127"/>
      <c r="M273" s="127"/>
      <c r="N273" s="127"/>
      <c r="O273" s="41"/>
      <c r="P273" s="41"/>
      <c r="Q273" s="41"/>
      <c r="R273" s="44">
        <v>0</v>
      </c>
      <c r="S273" s="45">
        <f t="shared" si="15"/>
        <v>0</v>
      </c>
      <c r="T273" s="45">
        <f>Table3[[#This Row],[Verzekerde Waarde]]-Table3[[#This Row],[Mutaties]]</f>
        <v>0</v>
      </c>
      <c r="U273" s="45">
        <f t="shared" si="16"/>
        <v>0</v>
      </c>
      <c r="V273" s="41"/>
      <c r="W273" s="45">
        <f>X273+SUMIF(Table4[Subnummer],Table3[[#This Row],[Sub]],Table4[Som mutaties])</f>
        <v>0</v>
      </c>
      <c r="X273" s="46"/>
      <c r="Y273" s="41"/>
    </row>
    <row r="274" spans="1:25" ht="14.4" hidden="1" x14ac:dyDescent="0.3">
      <c r="A274" s="86"/>
      <c r="B274" s="42">
        <f>_xlfn.XLOOKUP(Table3[[#This Row],[Verzekerde]],Relatie,fin_sub)</f>
        <v>0</v>
      </c>
      <c r="C274" s="87">
        <v>268</v>
      </c>
      <c r="D274" s="41" t="s">
        <v>7</v>
      </c>
      <c r="E274" s="41"/>
      <c r="F274" s="43"/>
      <c r="G274" s="43"/>
      <c r="H274" s="43" t="s">
        <v>7</v>
      </c>
      <c r="I274" s="43" t="s">
        <v>7</v>
      </c>
      <c r="J274" s="127"/>
      <c r="K274" s="127"/>
      <c r="L274" s="127"/>
      <c r="M274" s="127"/>
      <c r="N274" s="127"/>
      <c r="O274" s="41"/>
      <c r="P274" s="41"/>
      <c r="Q274" s="41"/>
      <c r="R274" s="44">
        <v>0</v>
      </c>
      <c r="S274" s="45">
        <f t="shared" si="15"/>
        <v>0</v>
      </c>
      <c r="T274" s="45">
        <f>Table3[[#This Row],[Verzekerde Waarde]]-Table3[[#This Row],[Mutaties]]</f>
        <v>0</v>
      </c>
      <c r="U274" s="45">
        <f t="shared" si="16"/>
        <v>0</v>
      </c>
      <c r="V274" s="41"/>
      <c r="W274" s="45">
        <f>X274+SUMIF(Table4[Subnummer],Table3[[#This Row],[Sub]],Table4[Som mutaties])</f>
        <v>0</v>
      </c>
      <c r="X274" s="46"/>
      <c r="Y274" s="41"/>
    </row>
    <row r="275" spans="1:25" ht="14.4" hidden="1" x14ac:dyDescent="0.3">
      <c r="A275" s="86"/>
      <c r="B275" s="42">
        <f>_xlfn.XLOOKUP(Table3[[#This Row],[Verzekerde]],Relatie,fin_sub)</f>
        <v>0</v>
      </c>
      <c r="C275" s="87">
        <v>269</v>
      </c>
      <c r="D275" s="41" t="s">
        <v>7</v>
      </c>
      <c r="E275" s="41"/>
      <c r="F275" s="43"/>
      <c r="G275" s="43"/>
      <c r="H275" s="43" t="s">
        <v>7</v>
      </c>
      <c r="I275" s="43" t="s">
        <v>7</v>
      </c>
      <c r="J275" s="127"/>
      <c r="K275" s="127"/>
      <c r="L275" s="127"/>
      <c r="M275" s="127"/>
      <c r="N275" s="127"/>
      <c r="O275" s="41"/>
      <c r="P275" s="41"/>
      <c r="Q275" s="41"/>
      <c r="R275" s="44">
        <v>0</v>
      </c>
      <c r="S275" s="45">
        <f t="shared" si="15"/>
        <v>0</v>
      </c>
      <c r="T275" s="45">
        <f>Table3[[#This Row],[Verzekerde Waarde]]-Table3[[#This Row],[Mutaties]]</f>
        <v>0</v>
      </c>
      <c r="U275" s="45">
        <f t="shared" si="16"/>
        <v>0</v>
      </c>
      <c r="V275" s="41"/>
      <c r="W275" s="45">
        <f>X275+SUMIF(Table4[Subnummer],Table3[[#This Row],[Sub]],Table4[Som mutaties])</f>
        <v>0</v>
      </c>
      <c r="X275" s="46"/>
      <c r="Y275" s="41"/>
    </row>
    <row r="276" spans="1:25" ht="14.4" hidden="1" x14ac:dyDescent="0.3">
      <c r="A276" s="86"/>
      <c r="B276" s="42">
        <f>_xlfn.XLOOKUP(Table3[[#This Row],[Verzekerde]],Relatie,fin_sub)</f>
        <v>0</v>
      </c>
      <c r="C276" s="87">
        <v>270</v>
      </c>
      <c r="D276" s="41" t="s">
        <v>7</v>
      </c>
      <c r="E276" s="41"/>
      <c r="F276" s="43"/>
      <c r="G276" s="43"/>
      <c r="H276" s="43" t="s">
        <v>7</v>
      </c>
      <c r="I276" s="43" t="s">
        <v>7</v>
      </c>
      <c r="J276" s="127"/>
      <c r="K276" s="127"/>
      <c r="L276" s="127"/>
      <c r="M276" s="127"/>
      <c r="N276" s="127"/>
      <c r="O276" s="41"/>
      <c r="P276" s="41"/>
      <c r="Q276" s="41"/>
      <c r="R276" s="44">
        <v>0</v>
      </c>
      <c r="S276" s="45">
        <f t="shared" si="15"/>
        <v>0</v>
      </c>
      <c r="T276" s="45">
        <f>Table3[[#This Row],[Verzekerde Waarde]]-Table3[[#This Row],[Mutaties]]</f>
        <v>0</v>
      </c>
      <c r="U276" s="45">
        <f t="shared" si="16"/>
        <v>0</v>
      </c>
      <c r="V276" s="41"/>
      <c r="W276" s="45">
        <f>X276+SUMIF(Table4[Subnummer],Table3[[#This Row],[Sub]],Table4[Som mutaties])</f>
        <v>0</v>
      </c>
      <c r="X276" s="46"/>
      <c r="Y276" s="41"/>
    </row>
    <row r="277" spans="1:25" ht="14.4" hidden="1" x14ac:dyDescent="0.3">
      <c r="A277" s="86"/>
      <c r="B277" s="42">
        <f>_xlfn.XLOOKUP(Table3[[#This Row],[Verzekerde]],Relatie,fin_sub)</f>
        <v>0</v>
      </c>
      <c r="C277" s="87">
        <v>271</v>
      </c>
      <c r="D277" s="41" t="s">
        <v>7</v>
      </c>
      <c r="E277" s="41"/>
      <c r="F277" s="43"/>
      <c r="G277" s="43"/>
      <c r="H277" s="43" t="s">
        <v>7</v>
      </c>
      <c r="I277" s="43" t="s">
        <v>7</v>
      </c>
      <c r="J277" s="127"/>
      <c r="K277" s="127"/>
      <c r="L277" s="127"/>
      <c r="M277" s="127"/>
      <c r="N277" s="127"/>
      <c r="O277" s="41"/>
      <c r="P277" s="41"/>
      <c r="Q277" s="41"/>
      <c r="R277" s="44">
        <v>0</v>
      </c>
      <c r="S277" s="45">
        <f t="shared" si="15"/>
        <v>0</v>
      </c>
      <c r="T277" s="45">
        <f>Table3[[#This Row],[Verzekerde Waarde]]-Table3[[#This Row],[Mutaties]]</f>
        <v>0</v>
      </c>
      <c r="U277" s="45">
        <f t="shared" si="16"/>
        <v>0</v>
      </c>
      <c r="V277" s="41"/>
      <c r="W277" s="45">
        <f>X277+SUMIF(Table4[Subnummer],Table3[[#This Row],[Sub]],Table4[Som mutaties])</f>
        <v>0</v>
      </c>
      <c r="X277" s="46"/>
      <c r="Y277" s="41"/>
    </row>
    <row r="278" spans="1:25" ht="14.4" hidden="1" x14ac:dyDescent="0.3">
      <c r="A278" s="86"/>
      <c r="B278" s="42">
        <f>_xlfn.XLOOKUP(Table3[[#This Row],[Verzekerde]],Relatie,fin_sub)</f>
        <v>0</v>
      </c>
      <c r="C278" s="87">
        <v>272</v>
      </c>
      <c r="D278" s="41" t="s">
        <v>7</v>
      </c>
      <c r="E278" s="41"/>
      <c r="F278" s="43"/>
      <c r="G278" s="43"/>
      <c r="H278" s="43" t="s">
        <v>7</v>
      </c>
      <c r="I278" s="43" t="s">
        <v>7</v>
      </c>
      <c r="J278" s="127"/>
      <c r="K278" s="127"/>
      <c r="L278" s="127"/>
      <c r="M278" s="127"/>
      <c r="N278" s="127"/>
      <c r="O278" s="41"/>
      <c r="P278" s="41"/>
      <c r="Q278" s="41"/>
      <c r="R278" s="44">
        <v>0</v>
      </c>
      <c r="S278" s="45">
        <f t="shared" si="15"/>
        <v>0</v>
      </c>
      <c r="T278" s="45">
        <f>Table3[[#This Row],[Verzekerde Waarde]]-Table3[[#This Row],[Mutaties]]</f>
        <v>0</v>
      </c>
      <c r="U278" s="45">
        <f t="shared" si="16"/>
        <v>0</v>
      </c>
      <c r="V278" s="41"/>
      <c r="W278" s="45">
        <f>X278+SUMIF(Table4[Subnummer],Table3[[#This Row],[Sub]],Table4[Som mutaties])</f>
        <v>0</v>
      </c>
      <c r="X278" s="46"/>
      <c r="Y278" s="41"/>
    </row>
    <row r="279" spans="1:25" ht="14.4" hidden="1" x14ac:dyDescent="0.3">
      <c r="A279" s="86"/>
      <c r="B279" s="42">
        <f>_xlfn.XLOOKUP(Table3[[#This Row],[Verzekerde]],Relatie,fin_sub)</f>
        <v>0</v>
      </c>
      <c r="C279" s="87">
        <v>273</v>
      </c>
      <c r="D279" s="41" t="s">
        <v>7</v>
      </c>
      <c r="E279" s="41"/>
      <c r="F279" s="43"/>
      <c r="G279" s="43"/>
      <c r="H279" s="43" t="s">
        <v>7</v>
      </c>
      <c r="I279" s="43" t="s">
        <v>7</v>
      </c>
      <c r="J279" s="127"/>
      <c r="K279" s="127"/>
      <c r="L279" s="127"/>
      <c r="M279" s="127"/>
      <c r="N279" s="127"/>
      <c r="O279" s="41"/>
      <c r="P279" s="41"/>
      <c r="Q279" s="41"/>
      <c r="R279" s="44">
        <v>0</v>
      </c>
      <c r="S279" s="45">
        <f t="shared" si="15"/>
        <v>0</v>
      </c>
      <c r="T279" s="45">
        <f>Table3[[#This Row],[Verzekerde Waarde]]-Table3[[#This Row],[Mutaties]]</f>
        <v>0</v>
      </c>
      <c r="U279" s="45">
        <f t="shared" si="16"/>
        <v>0</v>
      </c>
      <c r="V279" s="41"/>
      <c r="W279" s="45">
        <f>X279+SUMIF(Table4[Subnummer],Table3[[#This Row],[Sub]],Table4[Som mutaties])</f>
        <v>0</v>
      </c>
      <c r="X279" s="46"/>
      <c r="Y279" s="41"/>
    </row>
    <row r="280" spans="1:25" ht="14.4" hidden="1" x14ac:dyDescent="0.3">
      <c r="A280" s="86"/>
      <c r="B280" s="42">
        <f>_xlfn.XLOOKUP(Table3[[#This Row],[Verzekerde]],Relatie,fin_sub)</f>
        <v>0</v>
      </c>
      <c r="C280" s="87">
        <v>274</v>
      </c>
      <c r="D280" s="41" t="s">
        <v>7</v>
      </c>
      <c r="E280" s="41"/>
      <c r="F280" s="43"/>
      <c r="G280" s="43"/>
      <c r="H280" s="43" t="s">
        <v>7</v>
      </c>
      <c r="I280" s="43" t="s">
        <v>7</v>
      </c>
      <c r="J280" s="127"/>
      <c r="K280" s="127"/>
      <c r="L280" s="127"/>
      <c r="M280" s="127"/>
      <c r="N280" s="127"/>
      <c r="O280" s="41"/>
      <c r="P280" s="41"/>
      <c r="Q280" s="41"/>
      <c r="R280" s="44">
        <v>0</v>
      </c>
      <c r="S280" s="45">
        <f t="shared" si="15"/>
        <v>0</v>
      </c>
      <c r="T280" s="45">
        <f>Table3[[#This Row],[Verzekerde Waarde]]-Table3[[#This Row],[Mutaties]]</f>
        <v>0</v>
      </c>
      <c r="U280" s="45">
        <f t="shared" si="16"/>
        <v>0</v>
      </c>
      <c r="V280" s="41"/>
      <c r="W280" s="45">
        <f>X280+SUMIF(Table4[Subnummer],Table3[[#This Row],[Sub]],Table4[Som mutaties])</f>
        <v>0</v>
      </c>
      <c r="X280" s="46"/>
      <c r="Y280" s="41"/>
    </row>
    <row r="281" spans="1:25" ht="14.4" hidden="1" x14ac:dyDescent="0.3">
      <c r="A281" s="86"/>
      <c r="B281" s="42">
        <f>_xlfn.XLOOKUP(Table3[[#This Row],[Verzekerde]],Relatie,fin_sub)</f>
        <v>0</v>
      </c>
      <c r="C281" s="87">
        <v>275</v>
      </c>
      <c r="D281" s="41" t="s">
        <v>7</v>
      </c>
      <c r="E281" s="41"/>
      <c r="F281" s="43"/>
      <c r="G281" s="43"/>
      <c r="H281" s="43" t="s">
        <v>7</v>
      </c>
      <c r="I281" s="43" t="s">
        <v>7</v>
      </c>
      <c r="J281" s="127"/>
      <c r="K281" s="127"/>
      <c r="L281" s="127"/>
      <c r="M281" s="127"/>
      <c r="N281" s="127"/>
      <c r="O281" s="41"/>
      <c r="P281" s="41"/>
      <c r="Q281" s="41"/>
      <c r="R281" s="44">
        <v>0</v>
      </c>
      <c r="S281" s="45">
        <f t="shared" si="15"/>
        <v>0</v>
      </c>
      <c r="T281" s="45">
        <f>Table3[[#This Row],[Verzekerde Waarde]]-Table3[[#This Row],[Mutaties]]</f>
        <v>0</v>
      </c>
      <c r="U281" s="45">
        <f t="shared" si="16"/>
        <v>0</v>
      </c>
      <c r="V281" s="41"/>
      <c r="W281" s="45">
        <f>X281+SUMIF(Table4[Subnummer],Table3[[#This Row],[Sub]],Table4[Som mutaties])</f>
        <v>0</v>
      </c>
      <c r="X281" s="46"/>
      <c r="Y281" s="41"/>
    </row>
    <row r="282" spans="1:25" ht="14.4" hidden="1" x14ac:dyDescent="0.3">
      <c r="A282" s="86"/>
      <c r="B282" s="42">
        <f>_xlfn.XLOOKUP(Table3[[#This Row],[Verzekerde]],Relatie,fin_sub)</f>
        <v>0</v>
      </c>
      <c r="C282" s="87">
        <v>276</v>
      </c>
      <c r="D282" s="41" t="s">
        <v>7</v>
      </c>
      <c r="E282" s="41"/>
      <c r="F282" s="43"/>
      <c r="G282" s="43"/>
      <c r="H282" s="43" t="s">
        <v>7</v>
      </c>
      <c r="I282" s="43" t="s">
        <v>7</v>
      </c>
      <c r="J282" s="127"/>
      <c r="K282" s="127"/>
      <c r="L282" s="127"/>
      <c r="M282" s="127"/>
      <c r="N282" s="127"/>
      <c r="O282" s="41"/>
      <c r="P282" s="41"/>
      <c r="Q282" s="41"/>
      <c r="R282" s="44">
        <v>0</v>
      </c>
      <c r="S282" s="45">
        <f t="shared" si="15"/>
        <v>0</v>
      </c>
      <c r="T282" s="45">
        <f>Table3[[#This Row],[Verzekerde Waarde]]-Table3[[#This Row],[Mutaties]]</f>
        <v>0</v>
      </c>
      <c r="U282" s="45">
        <f t="shared" si="16"/>
        <v>0</v>
      </c>
      <c r="V282" s="41"/>
      <c r="W282" s="45">
        <f>X282+SUMIF(Table4[Subnummer],Table3[[#This Row],[Sub]],Table4[Som mutaties])</f>
        <v>0</v>
      </c>
      <c r="X282" s="46"/>
      <c r="Y282" s="41"/>
    </row>
    <row r="283" spans="1:25" ht="14.4" hidden="1" x14ac:dyDescent="0.3">
      <c r="A283" s="86"/>
      <c r="B283" s="42">
        <f>_xlfn.XLOOKUP(Table3[[#This Row],[Verzekerde]],Relatie,fin_sub)</f>
        <v>0</v>
      </c>
      <c r="C283" s="87">
        <v>277</v>
      </c>
      <c r="D283" s="41" t="s">
        <v>7</v>
      </c>
      <c r="E283" s="41"/>
      <c r="F283" s="43"/>
      <c r="G283" s="43"/>
      <c r="H283" s="43" t="s">
        <v>7</v>
      </c>
      <c r="I283" s="43" t="s">
        <v>7</v>
      </c>
      <c r="J283" s="127"/>
      <c r="K283" s="127"/>
      <c r="L283" s="127"/>
      <c r="M283" s="127"/>
      <c r="N283" s="127"/>
      <c r="O283" s="41"/>
      <c r="P283" s="41"/>
      <c r="Q283" s="41"/>
      <c r="R283" s="44">
        <v>0</v>
      </c>
      <c r="S283" s="45">
        <f t="shared" ref="S283:S291" si="17">IF(R283=0,U283,(U283+R283)/2)</f>
        <v>0</v>
      </c>
      <c r="T283" s="45">
        <f>Table3[[#This Row],[Verzekerde Waarde]]-Table3[[#This Row],[Mutaties]]</f>
        <v>0</v>
      </c>
      <c r="U283" s="45">
        <f t="shared" si="16"/>
        <v>0</v>
      </c>
      <c r="V283" s="41"/>
      <c r="W283" s="45">
        <f>X283+SUMIF(Table4[Subnummer],Table3[[#This Row],[Sub]],Table4[Som mutaties])</f>
        <v>0</v>
      </c>
      <c r="X283" s="46"/>
      <c r="Y283" s="41"/>
    </row>
    <row r="284" spans="1:25" ht="14.4" hidden="1" x14ac:dyDescent="0.3">
      <c r="A284" s="86"/>
      <c r="B284" s="42">
        <f>_xlfn.XLOOKUP(Table3[[#This Row],[Verzekerde]],Relatie,fin_sub)</f>
        <v>0</v>
      </c>
      <c r="C284" s="87">
        <v>278</v>
      </c>
      <c r="D284" s="41" t="s">
        <v>7</v>
      </c>
      <c r="E284" s="41"/>
      <c r="F284" s="43"/>
      <c r="G284" s="43"/>
      <c r="H284" s="43" t="s">
        <v>7</v>
      </c>
      <c r="I284" s="43" t="s">
        <v>7</v>
      </c>
      <c r="J284" s="127"/>
      <c r="K284" s="127"/>
      <c r="L284" s="127"/>
      <c r="M284" s="127"/>
      <c r="N284" s="127"/>
      <c r="O284" s="41"/>
      <c r="P284" s="41"/>
      <c r="Q284" s="41"/>
      <c r="R284" s="44">
        <v>0</v>
      </c>
      <c r="S284" s="45">
        <f t="shared" si="17"/>
        <v>0</v>
      </c>
      <c r="T284" s="45">
        <f>Table3[[#This Row],[Verzekerde Waarde]]-Table3[[#This Row],[Mutaties]]</f>
        <v>0</v>
      </c>
      <c r="U284" s="45">
        <f t="shared" si="16"/>
        <v>0</v>
      </c>
      <c r="V284" s="41"/>
      <c r="W284" s="45">
        <f>X284+SUMIF(Table4[Subnummer],Table3[[#This Row],[Sub]],Table4[Som mutaties])</f>
        <v>0</v>
      </c>
      <c r="X284" s="46"/>
      <c r="Y284" s="41"/>
    </row>
    <row r="285" spans="1:25" ht="14.4" hidden="1" x14ac:dyDescent="0.3">
      <c r="A285" s="86"/>
      <c r="B285" s="42">
        <f>_xlfn.XLOOKUP(Table3[[#This Row],[Verzekerde]],Relatie,fin_sub)</f>
        <v>0</v>
      </c>
      <c r="C285" s="87">
        <v>279</v>
      </c>
      <c r="D285" s="41" t="s">
        <v>7</v>
      </c>
      <c r="E285" s="41"/>
      <c r="F285" s="43"/>
      <c r="G285" s="43"/>
      <c r="H285" s="43" t="s">
        <v>7</v>
      </c>
      <c r="I285" s="43" t="s">
        <v>7</v>
      </c>
      <c r="J285" s="127"/>
      <c r="K285" s="127"/>
      <c r="L285" s="127"/>
      <c r="M285" s="127"/>
      <c r="N285" s="127"/>
      <c r="O285" s="41"/>
      <c r="P285" s="41"/>
      <c r="Q285" s="41"/>
      <c r="R285" s="44">
        <v>0</v>
      </c>
      <c r="S285" s="45">
        <f t="shared" si="17"/>
        <v>0</v>
      </c>
      <c r="T285" s="45">
        <f>Table3[[#This Row],[Verzekerde Waarde]]-Table3[[#This Row],[Mutaties]]</f>
        <v>0</v>
      </c>
      <c r="U285" s="45">
        <f t="shared" si="16"/>
        <v>0</v>
      </c>
      <c r="V285" s="41"/>
      <c r="W285" s="45">
        <f>X285+SUMIF(Table4[Subnummer],Table3[[#This Row],[Sub]],Table4[Som mutaties])</f>
        <v>0</v>
      </c>
      <c r="X285" s="46"/>
      <c r="Y285" s="41"/>
    </row>
    <row r="286" spans="1:25" ht="14.4" hidden="1" x14ac:dyDescent="0.3">
      <c r="A286" s="86"/>
      <c r="B286" s="42">
        <f>_xlfn.XLOOKUP(Table3[[#This Row],[Verzekerde]],Relatie,fin_sub)</f>
        <v>0</v>
      </c>
      <c r="C286" s="87">
        <v>280</v>
      </c>
      <c r="D286" s="41" t="s">
        <v>7</v>
      </c>
      <c r="E286" s="41"/>
      <c r="F286" s="43"/>
      <c r="G286" s="43"/>
      <c r="H286" s="43" t="s">
        <v>7</v>
      </c>
      <c r="I286" s="43" t="s">
        <v>7</v>
      </c>
      <c r="J286" s="127"/>
      <c r="K286" s="127"/>
      <c r="L286" s="127"/>
      <c r="M286" s="127"/>
      <c r="N286" s="127"/>
      <c r="O286" s="41"/>
      <c r="P286" s="41"/>
      <c r="Q286" s="41"/>
      <c r="R286" s="44">
        <v>0</v>
      </c>
      <c r="S286" s="45">
        <f t="shared" si="17"/>
        <v>0</v>
      </c>
      <c r="T286" s="45">
        <f>Table3[[#This Row],[Verzekerde Waarde]]-Table3[[#This Row],[Mutaties]]</f>
        <v>0</v>
      </c>
      <c r="U286" s="45">
        <f t="shared" si="16"/>
        <v>0</v>
      </c>
      <c r="V286" s="41"/>
      <c r="W286" s="45">
        <f>X286+SUMIF(Table4[Subnummer],Table3[[#This Row],[Sub]],Table4[Som mutaties])</f>
        <v>0</v>
      </c>
      <c r="X286" s="46"/>
      <c r="Y286" s="41"/>
    </row>
    <row r="287" spans="1:25" ht="14.4" hidden="1" x14ac:dyDescent="0.3">
      <c r="A287" s="86"/>
      <c r="B287" s="42">
        <f>_xlfn.XLOOKUP(Table3[[#This Row],[Verzekerde]],Relatie,fin_sub)</f>
        <v>0</v>
      </c>
      <c r="C287" s="87">
        <v>281</v>
      </c>
      <c r="D287" s="41" t="s">
        <v>7</v>
      </c>
      <c r="E287" s="41"/>
      <c r="F287" s="43"/>
      <c r="G287" s="43"/>
      <c r="H287" s="43" t="s">
        <v>7</v>
      </c>
      <c r="I287" s="43" t="s">
        <v>7</v>
      </c>
      <c r="J287" s="127"/>
      <c r="K287" s="127"/>
      <c r="L287" s="127"/>
      <c r="M287" s="127"/>
      <c r="N287" s="127"/>
      <c r="O287" s="41"/>
      <c r="P287" s="41"/>
      <c r="Q287" s="41"/>
      <c r="R287" s="44">
        <v>0</v>
      </c>
      <c r="S287" s="45">
        <f t="shared" si="17"/>
        <v>0</v>
      </c>
      <c r="T287" s="45">
        <f>Table3[[#This Row],[Verzekerde Waarde]]-Table3[[#This Row],[Mutaties]]</f>
        <v>0</v>
      </c>
      <c r="U287" s="45">
        <f t="shared" si="16"/>
        <v>0</v>
      </c>
      <c r="V287" s="41"/>
      <c r="W287" s="45">
        <f>X287+SUMIF(Table4[Subnummer],Table3[[#This Row],[Sub]],Table4[Som mutaties])</f>
        <v>0</v>
      </c>
      <c r="X287" s="46"/>
      <c r="Y287" s="41"/>
    </row>
    <row r="288" spans="1:25" ht="14.4" hidden="1" x14ac:dyDescent="0.3">
      <c r="A288" s="86"/>
      <c r="B288" s="42">
        <f>_xlfn.XLOOKUP(Table3[[#This Row],[Verzekerde]],Relatie,fin_sub)</f>
        <v>0</v>
      </c>
      <c r="C288" s="87">
        <v>282</v>
      </c>
      <c r="D288" s="41" t="s">
        <v>7</v>
      </c>
      <c r="E288" s="41"/>
      <c r="F288" s="43"/>
      <c r="G288" s="43"/>
      <c r="H288" s="43" t="s">
        <v>7</v>
      </c>
      <c r="I288" s="43" t="s">
        <v>7</v>
      </c>
      <c r="J288" s="127"/>
      <c r="K288" s="127"/>
      <c r="L288" s="127"/>
      <c r="M288" s="127"/>
      <c r="N288" s="127"/>
      <c r="O288" s="41"/>
      <c r="P288" s="41"/>
      <c r="Q288" s="41"/>
      <c r="R288" s="44">
        <v>0</v>
      </c>
      <c r="S288" s="45">
        <f t="shared" si="17"/>
        <v>0</v>
      </c>
      <c r="T288" s="45">
        <f>Table3[[#This Row],[Verzekerde Waarde]]-Table3[[#This Row],[Mutaties]]</f>
        <v>0</v>
      </c>
      <c r="U288" s="45">
        <f t="shared" si="16"/>
        <v>0</v>
      </c>
      <c r="V288" s="41"/>
      <c r="W288" s="45">
        <f>X288+SUMIF(Table4[Subnummer],Table3[[#This Row],[Sub]],Table4[Som mutaties])</f>
        <v>0</v>
      </c>
      <c r="X288" s="46"/>
      <c r="Y288" s="41"/>
    </row>
    <row r="289" spans="1:25" ht="14.4" hidden="1" x14ac:dyDescent="0.3">
      <c r="A289" s="86"/>
      <c r="B289" s="42">
        <f>_xlfn.XLOOKUP(Table3[[#This Row],[Verzekerde]],Relatie,fin_sub)</f>
        <v>0</v>
      </c>
      <c r="C289" s="87">
        <v>283</v>
      </c>
      <c r="D289" s="41" t="s">
        <v>7</v>
      </c>
      <c r="E289" s="41"/>
      <c r="F289" s="43"/>
      <c r="G289" s="43"/>
      <c r="H289" s="43" t="s">
        <v>7</v>
      </c>
      <c r="I289" s="43" t="s">
        <v>7</v>
      </c>
      <c r="J289" s="127"/>
      <c r="K289" s="127"/>
      <c r="L289" s="127"/>
      <c r="M289" s="127"/>
      <c r="N289" s="127"/>
      <c r="O289" s="41"/>
      <c r="P289" s="41"/>
      <c r="Q289" s="41"/>
      <c r="R289" s="44">
        <v>0</v>
      </c>
      <c r="S289" s="45">
        <f t="shared" si="17"/>
        <v>0</v>
      </c>
      <c r="T289" s="45">
        <f>Table3[[#This Row],[Verzekerde Waarde]]-Table3[[#This Row],[Mutaties]]</f>
        <v>0</v>
      </c>
      <c r="U289" s="45">
        <f t="shared" si="16"/>
        <v>0</v>
      </c>
      <c r="V289" s="41"/>
      <c r="W289" s="45">
        <f>X289+SUMIF(Table4[Subnummer],Table3[[#This Row],[Sub]],Table4[Som mutaties])</f>
        <v>0</v>
      </c>
      <c r="X289" s="46"/>
      <c r="Y289" s="41"/>
    </row>
    <row r="290" spans="1:25" ht="14.4" hidden="1" x14ac:dyDescent="0.3">
      <c r="A290" s="86"/>
      <c r="B290" s="42">
        <f>_xlfn.XLOOKUP(Table3[[#This Row],[Verzekerde]],Relatie,fin_sub)</f>
        <v>0</v>
      </c>
      <c r="C290" s="87">
        <v>284</v>
      </c>
      <c r="D290" s="41" t="s">
        <v>7</v>
      </c>
      <c r="E290" s="41"/>
      <c r="F290" s="43"/>
      <c r="G290" s="43"/>
      <c r="H290" s="43" t="s">
        <v>7</v>
      </c>
      <c r="I290" s="43" t="s">
        <v>7</v>
      </c>
      <c r="J290" s="127"/>
      <c r="K290" s="127"/>
      <c r="L290" s="127"/>
      <c r="M290" s="127"/>
      <c r="N290" s="127"/>
      <c r="O290" s="41"/>
      <c r="P290" s="41"/>
      <c r="Q290" s="41"/>
      <c r="R290" s="44">
        <v>0</v>
      </c>
      <c r="S290" s="45">
        <f t="shared" si="17"/>
        <v>0</v>
      </c>
      <c r="T290" s="45">
        <f>Table3[[#This Row],[Verzekerde Waarde]]-Table3[[#This Row],[Mutaties]]</f>
        <v>0</v>
      </c>
      <c r="U290" s="45">
        <f t="shared" si="16"/>
        <v>0</v>
      </c>
      <c r="V290" s="41"/>
      <c r="W290" s="45">
        <f>X290+SUMIF(Table4[Subnummer],Table3[[#This Row],[Sub]],Table4[Som mutaties])</f>
        <v>0</v>
      </c>
      <c r="X290" s="46"/>
      <c r="Y290" s="41"/>
    </row>
    <row r="291" spans="1:25" ht="14.4" hidden="1" x14ac:dyDescent="0.3">
      <c r="A291" s="86"/>
      <c r="B291" s="42">
        <f>_xlfn.XLOOKUP(Table3[[#This Row],[Verzekerde]],Relatie,fin_sub)</f>
        <v>0</v>
      </c>
      <c r="C291" s="87">
        <v>285</v>
      </c>
      <c r="D291" s="41" t="s">
        <v>7</v>
      </c>
      <c r="E291" s="41"/>
      <c r="F291" s="43"/>
      <c r="G291" s="43"/>
      <c r="H291" s="43" t="s">
        <v>7</v>
      </c>
      <c r="I291" s="43" t="s">
        <v>7</v>
      </c>
      <c r="J291" s="127"/>
      <c r="K291" s="127"/>
      <c r="L291" s="127"/>
      <c r="M291" s="127"/>
      <c r="N291" s="127"/>
      <c r="O291" s="41"/>
      <c r="P291" s="41"/>
      <c r="Q291" s="41"/>
      <c r="R291" s="44">
        <v>0</v>
      </c>
      <c r="S291" s="45">
        <f t="shared" si="17"/>
        <v>0</v>
      </c>
      <c r="T291" s="45">
        <f>Table3[[#This Row],[Verzekerde Waarde]]-Table3[[#This Row],[Mutaties]]</f>
        <v>0</v>
      </c>
      <c r="U291" s="45">
        <f t="shared" si="16"/>
        <v>0</v>
      </c>
      <c r="V291" s="41"/>
      <c r="W291" s="45">
        <f>X291+SUMIF(Table4[Subnummer],Table3[[#This Row],[Sub]],Table4[Som mutaties])</f>
        <v>0</v>
      </c>
      <c r="X291" s="46"/>
      <c r="Y291" s="41"/>
    </row>
    <row r="292" spans="1:25" ht="14.4" x14ac:dyDescent="0.3">
      <c r="A292" s="41" t="s">
        <v>53</v>
      </c>
      <c r="B292" s="41"/>
      <c r="C292" s="42"/>
      <c r="D292" s="41"/>
      <c r="E292" s="41"/>
      <c r="F292" s="43"/>
      <c r="G292" s="43"/>
      <c r="H292" s="43"/>
      <c r="I292" s="43"/>
      <c r="J292" s="43"/>
      <c r="K292" s="43"/>
      <c r="L292" s="43"/>
      <c r="M292" s="43"/>
      <c r="N292" s="43"/>
      <c r="O292" s="41"/>
      <c r="P292" s="41"/>
      <c r="Q292" s="41"/>
      <c r="R292" s="46">
        <f>SUBTOTAL(109,Table3[Vorkbedrag])</f>
        <v>0</v>
      </c>
      <c r="S292" s="46">
        <f>SUBTOTAL(109,Table3[Premiegrondslag])</f>
        <v>99858600</v>
      </c>
      <c r="T292" s="46">
        <f>SUBTOTAL(109,Table3[Indexverschil])</f>
        <v>6979000</v>
      </c>
      <c r="U292" s="46">
        <f>SUBTOTAL(109,Table3[Verzekerde Waarde])</f>
        <v>99858600</v>
      </c>
      <c r="V292" s="41"/>
      <c r="W292" s="47">
        <f>SUBTOTAL(109,Table3[Mutaties])</f>
        <v>92879600</v>
      </c>
      <c r="X292" s="46">
        <f>SUBTOTAL(109,Table3[Verz. Waarde Oud:])</f>
        <v>92879600</v>
      </c>
      <c r="Y292" s="41"/>
    </row>
    <row r="295" spans="1:25" ht="37.799999999999997" hidden="1" x14ac:dyDescent="0.3">
      <c r="A295" s="8" t="s">
        <v>54</v>
      </c>
      <c r="B295" s="10" t="s">
        <v>55</v>
      </c>
      <c r="C295" s="8" t="s">
        <v>54</v>
      </c>
      <c r="D295" s="8" t="s">
        <v>54</v>
      </c>
      <c r="E295" s="8" t="s">
        <v>56</v>
      </c>
      <c r="F295" s="8" t="s">
        <v>56</v>
      </c>
      <c r="G295" s="8" t="s">
        <v>56</v>
      </c>
      <c r="H295" s="8" t="s">
        <v>56</v>
      </c>
      <c r="I295" s="8" t="s">
        <v>54</v>
      </c>
      <c r="J295" s="10" t="s">
        <v>57</v>
      </c>
      <c r="K295" s="10" t="s">
        <v>57</v>
      </c>
      <c r="L295" s="10" t="s">
        <v>57</v>
      </c>
      <c r="M295" s="10" t="s">
        <v>57</v>
      </c>
      <c r="N295" s="8" t="s">
        <v>54</v>
      </c>
      <c r="O295" s="8" t="s">
        <v>56</v>
      </c>
      <c r="P295" s="8" t="s">
        <v>54</v>
      </c>
      <c r="Q295" s="8" t="s">
        <v>54</v>
      </c>
      <c r="R295" s="8" t="s">
        <v>56</v>
      </c>
      <c r="S295" s="8" t="s">
        <v>56</v>
      </c>
      <c r="T295" s="10" t="s">
        <v>57</v>
      </c>
      <c r="U295" s="8" t="s">
        <v>54</v>
      </c>
      <c r="V295" s="8" t="s">
        <v>54</v>
      </c>
      <c r="W295" s="10" t="s">
        <v>57</v>
      </c>
      <c r="X295" s="10" t="s">
        <v>57</v>
      </c>
      <c r="Y295" s="10" t="s">
        <v>57</v>
      </c>
    </row>
  </sheetData>
  <sheetProtection formatCells="0" formatRows="0" insertRows="0" deleteRows="0"/>
  <mergeCells count="1">
    <mergeCell ref="R7:V7"/>
  </mergeCells>
  <phoneticPr fontId="5" type="noConversion"/>
  <dataValidations count="5">
    <dataValidation type="list" allowBlank="1" showInputMessage="1" showErrorMessage="1" sqref="D9:D291" xr:uid="{01120292-CFD5-4024-9285-AB3464112197}">
      <formula1>Interest</formula1>
    </dataValidation>
    <dataValidation type="list" allowBlank="1" showInputMessage="1" showErrorMessage="1" sqref="H9:H291" xr:uid="{A46D4949-E34B-4AC6-B17A-C4158B4C1F1F}">
      <formula1>Bouwaard</formula1>
    </dataValidation>
    <dataValidation type="list" allowBlank="1" showInputMessage="1" showErrorMessage="1" sqref="I9:I291" xr:uid="{A2AA30C1-EDD4-4BB8-9B89-7DAD80FA1F1F}">
      <formula1>Taxatie</formula1>
    </dataValidation>
    <dataValidation type="list" allowBlank="1" showInputMessage="1" showErrorMessage="1" sqref="A9:A291" xr:uid="{ACCDD71A-4D58-4061-8A27-9D5597D6ABF5}">
      <formula1>Relatie</formula1>
    </dataValidation>
    <dataValidation type="list" allowBlank="1" showInputMessage="1" showErrorMessage="1" sqref="B9:B291" xr:uid="{0A2D5274-2E38-4B81-AB56-F80502FAAB81}">
      <formula1>fin_sub</formula1>
    </dataValidation>
  </dataValidations>
  <pageMargins left="0.23622047244094491" right="0.23622047244094491" top="0.74803149606299213" bottom="0.74803149606299213" header="0.31496062992125984" footer="0.31496062992125984"/>
  <pageSetup paperSize="9" orientation="landscape" horizontalDpi="1200" verticalDpi="1200" r:id="rId1"/>
  <headerFooter>
    <oddFooter>&amp;L&amp;F
Uniek nr e-ABS XXXXXXXXXXXXXXXXXXX&amp;R&amp;A
&amp;P/&amp;N</oddFooter>
  </headerFooter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D4E16DC-EAA3-4084-8A19-EA659C90E284}">
          <x14:formula1>
            <xm:f>Data!$C$6:$C$48</xm:f>
          </x14:formula1>
          <xm:sqref>Q9:Q291</xm:sqref>
        </x14:dataValidation>
        <x14:dataValidation type="list" allowBlank="1" showInputMessage="1" showErrorMessage="1" xr:uid="{4B4132E1-6F9C-4F03-8A07-4BC977D8B286}">
          <x14:formula1>
            <xm:f>Data!$K$6:$K$8</xm:f>
          </x14:formula1>
          <xm:sqref>M9:M291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5A77B-CA43-41E5-8C27-BBC72617EFE7}">
  <sheetPr codeName="Sheet3"/>
  <dimension ref="A1:G501"/>
  <sheetViews>
    <sheetView showGridLines="0" zoomScale="85" zoomScaleNormal="85" workbookViewId="0">
      <selection activeCell="E53" sqref="E53"/>
    </sheetView>
  </sheetViews>
  <sheetFormatPr defaultRowHeight="14.4" x14ac:dyDescent="0.3"/>
  <cols>
    <col min="1" max="1" width="6.88671875" bestFit="1" customWidth="1"/>
    <col min="2" max="2" width="29.33203125" bestFit="1" customWidth="1"/>
    <col min="3" max="3" width="15.5546875" bestFit="1" customWidth="1"/>
    <col min="4" max="4" width="26.6640625" bestFit="1" customWidth="1"/>
    <col min="5" max="5" width="15.5546875" bestFit="1" customWidth="1"/>
    <col min="6" max="6" width="18" bestFit="1" customWidth="1"/>
    <col min="7" max="7" width="13.109375" bestFit="1" customWidth="1"/>
  </cols>
  <sheetData>
    <row r="1" spans="1:7" ht="16.2" x14ac:dyDescent="0.3">
      <c r="A1" s="83"/>
      <c r="B1" s="83"/>
      <c r="C1" s="83"/>
      <c r="D1" s="83"/>
      <c r="E1" s="83"/>
      <c r="F1" s="83"/>
      <c r="G1" s="83"/>
    </row>
    <row r="2" spans="1:7" ht="16.2" x14ac:dyDescent="0.3">
      <c r="A2" s="83"/>
      <c r="B2" s="83"/>
      <c r="C2" s="83"/>
      <c r="D2" s="83"/>
      <c r="E2" s="83"/>
      <c r="F2" s="83"/>
      <c r="G2" s="83"/>
    </row>
    <row r="3" spans="1:7" ht="16.2" x14ac:dyDescent="0.3">
      <c r="A3" s="83"/>
      <c r="B3" s="83"/>
      <c r="C3" s="83"/>
      <c r="D3" s="83"/>
      <c r="E3" s="83"/>
      <c r="F3" s="83"/>
      <c r="G3" s="83"/>
    </row>
    <row r="4" spans="1:7" ht="16.2" x14ac:dyDescent="0.3">
      <c r="A4" s="83"/>
      <c r="B4" s="83"/>
      <c r="C4" s="83"/>
      <c r="D4" s="83"/>
      <c r="E4" s="83"/>
      <c r="F4" s="83"/>
      <c r="G4" s="83"/>
    </row>
    <row r="5" spans="1:7" ht="16.2" x14ac:dyDescent="0.3">
      <c r="A5" s="83"/>
      <c r="B5" s="83"/>
      <c r="C5" s="83"/>
      <c r="D5" s="83"/>
      <c r="E5" s="83"/>
      <c r="F5" s="83"/>
      <c r="G5" s="83"/>
    </row>
    <row r="6" spans="1:7" ht="16.8" thickBot="1" x14ac:dyDescent="0.35">
      <c r="A6" s="83"/>
      <c r="B6" s="83"/>
      <c r="C6" s="83"/>
      <c r="D6" s="83"/>
      <c r="E6" s="83"/>
      <c r="F6" s="83"/>
      <c r="G6" s="83"/>
    </row>
    <row r="7" spans="1:7" ht="15" thickBot="1" x14ac:dyDescent="0.35">
      <c r="A7" s="108" t="s">
        <v>20</v>
      </c>
      <c r="B7" s="109" t="s">
        <v>58</v>
      </c>
      <c r="C7" s="109" t="s">
        <v>59</v>
      </c>
      <c r="D7" s="109" t="s">
        <v>27</v>
      </c>
      <c r="E7" s="109" t="s">
        <v>28</v>
      </c>
      <c r="F7" s="109" t="s">
        <v>29</v>
      </c>
      <c r="G7" s="110" t="s">
        <v>30</v>
      </c>
    </row>
    <row r="8" spans="1:7" x14ac:dyDescent="0.3">
      <c r="A8" s="111" cm="1">
        <f t="array" ref="A8:A18">IFERROR(_xlfn._xlws.FILTER(Table3[Sub],Table3[Getaxeerd]="Ja"),"")</f>
        <v>1</v>
      </c>
      <c r="B8" s="112" t="str" cm="1">
        <f t="array" ref="B8:B18">IFERROR(_xlfn._xlws.FILTER(Table3[Adres],Table3[Getaxeerd]="Ja"),"")</f>
        <v>Expeditiestraat 6</v>
      </c>
      <c r="C8" s="113" t="str">
        <f>IFERROR(_xlfn.XLOOKUP(Taxaties!$A8,Table3[Sub],Table3[Verzekerde interest]),"-")</f>
        <v>Gebouwen</v>
      </c>
      <c r="D8" s="113" cm="1">
        <f t="array" ref="D8:D18">IFERROR(_xlfn._xlws.FILTER(Table3[Taxateur],Table3[Getaxeerd]="Ja"),"")</f>
        <v>0</v>
      </c>
      <c r="E8" s="114" cm="1">
        <f t="array" ref="E8:E18">IFERROR(_xlfn._xlws.FILTER(Table3[Taxatiedatum],Table3[Getaxeerd]="Ja"),"")</f>
        <v>0</v>
      </c>
      <c r="F8" s="113" cm="1">
        <f t="array" ref="F8:F18">IFERROR(_xlfn._xlws.FILTER(Table3[Rapportnummer],Table3[Getaxeerd]="Ja"),"")</f>
        <v>0</v>
      </c>
      <c r="G8" s="115" cm="1">
        <f t="array" ref="G8:G18">IFERROR(_xlfn._xlws.FILTER(Table3[Geldigheid],Table3[Getaxeerd]="Ja"),"")</f>
        <v>0</v>
      </c>
    </row>
    <row r="9" spans="1:7" x14ac:dyDescent="0.3">
      <c r="A9" s="116">
        <v>4</v>
      </c>
      <c r="B9" s="117" t="str">
        <v>Grotestraat 11</v>
      </c>
      <c r="C9" s="118" t="str">
        <f>IFERROR(_xlfn.XLOOKUP(Taxaties!$A9,Table3[Sub],Table3[Verzekerde interest]),"-")</f>
        <v>Gebouwen</v>
      </c>
      <c r="D9" s="118">
        <v>0</v>
      </c>
      <c r="E9" s="119">
        <v>0</v>
      </c>
      <c r="F9" s="118">
        <v>0</v>
      </c>
      <c r="G9" s="120">
        <v>0</v>
      </c>
    </row>
    <row r="10" spans="1:7" x14ac:dyDescent="0.3">
      <c r="A10" s="121">
        <v>9</v>
      </c>
      <c r="B10" s="122" t="str">
        <v>Maria Theresialaan 99</v>
      </c>
      <c r="C10" s="123" t="str">
        <f>IFERROR(_xlfn.XLOOKUP(Taxaties!$A10,Table3[Sub],Table3[Verzekerde interest]),"-")</f>
        <v>Gebouwen</v>
      </c>
      <c r="D10" s="123">
        <v>0</v>
      </c>
      <c r="E10" s="124">
        <v>0</v>
      </c>
      <c r="F10" s="123">
        <v>0</v>
      </c>
      <c r="G10" s="125">
        <v>0</v>
      </c>
    </row>
    <row r="11" spans="1:7" x14ac:dyDescent="0.3">
      <c r="A11" s="116">
        <v>10</v>
      </c>
      <c r="B11" s="117" t="str">
        <v>Maria Theresialaan 99</v>
      </c>
      <c r="C11" s="118" t="str">
        <f>IFERROR(_xlfn.XLOOKUP(Taxaties!$A11,Table3[Sub],Table3[Verzekerde interest]),"-")</f>
        <v>Bedrijfsuitrusting</v>
      </c>
      <c r="D11" s="118">
        <v>0</v>
      </c>
      <c r="E11" s="119">
        <v>0</v>
      </c>
      <c r="F11" s="118">
        <v>0</v>
      </c>
      <c r="G11" s="120">
        <v>0</v>
      </c>
    </row>
    <row r="12" spans="1:7" x14ac:dyDescent="0.3">
      <c r="A12" s="121">
        <v>11</v>
      </c>
      <c r="B12" s="122" t="str">
        <v>Kruisweg 48-50</v>
      </c>
      <c r="C12" s="123" t="str">
        <f>IFERROR(_xlfn.XLOOKUP(Taxaties!$A12,Table3[Sub],Table3[Verzekerde interest]),"-")</f>
        <v>Gebouwen</v>
      </c>
      <c r="D12" s="123">
        <v>0</v>
      </c>
      <c r="E12" s="124">
        <v>0</v>
      </c>
      <c r="F12" s="123">
        <v>0</v>
      </c>
      <c r="G12" s="125">
        <v>0</v>
      </c>
    </row>
    <row r="13" spans="1:7" x14ac:dyDescent="0.3">
      <c r="A13" s="116">
        <v>12</v>
      </c>
      <c r="B13" s="117" t="str">
        <v>Maria Theresialaan 99</v>
      </c>
      <c r="C13" s="118" t="str">
        <f>IFERROR(_xlfn.XLOOKUP(Taxaties!$A13,Table3[Sub],Table3[Verzekerde interest]),"-")</f>
        <v>Bedrijfsuitrusting</v>
      </c>
      <c r="D13" s="118">
        <v>0</v>
      </c>
      <c r="E13" s="119">
        <v>0</v>
      </c>
      <c r="F13" s="118">
        <v>0</v>
      </c>
      <c r="G13" s="120">
        <v>0</v>
      </c>
    </row>
    <row r="14" spans="1:7" x14ac:dyDescent="0.3">
      <c r="A14" s="121">
        <v>13</v>
      </c>
      <c r="B14" s="122" t="str">
        <v>Molenweg 56</v>
      </c>
      <c r="C14" s="123" t="str">
        <f>IFERROR(_xlfn.XLOOKUP(Taxaties!$A14,Table3[Sub],Table3[Verzekerde interest]),"-")</f>
        <v>Gebouwen</v>
      </c>
      <c r="D14" s="123">
        <v>0</v>
      </c>
      <c r="E14" s="124">
        <v>0</v>
      </c>
      <c r="F14" s="123">
        <v>0</v>
      </c>
      <c r="G14" s="125">
        <v>0</v>
      </c>
    </row>
    <row r="15" spans="1:7" x14ac:dyDescent="0.3">
      <c r="A15" s="116">
        <v>14</v>
      </c>
      <c r="B15" s="117" t="str">
        <v>Rijksweg Noord 305</v>
      </c>
      <c r="C15" s="118" t="str">
        <f>IFERROR(_xlfn.XLOOKUP(Taxaties!$A15,Table3[Sub],Table3[Verzekerde interest]),"-")</f>
        <v>Gebouwen</v>
      </c>
      <c r="D15" s="118">
        <v>0</v>
      </c>
      <c r="E15" s="119">
        <v>0</v>
      </c>
      <c r="F15" s="118">
        <v>0</v>
      </c>
      <c r="G15" s="120">
        <v>0</v>
      </c>
    </row>
    <row r="16" spans="1:7" x14ac:dyDescent="0.3">
      <c r="A16" s="121">
        <v>15</v>
      </c>
      <c r="B16" s="122" t="str">
        <v>Rijksweg Noord 305</v>
      </c>
      <c r="C16" s="123" t="str">
        <f>IFERROR(_xlfn.XLOOKUP(Taxaties!$A16,Table3[Sub],Table3[Verzekerde interest]),"-")</f>
        <v>Bedrijfsuitrusting/inventaris</v>
      </c>
      <c r="D16" s="123">
        <v>0</v>
      </c>
      <c r="E16" s="124">
        <v>0</v>
      </c>
      <c r="F16" s="123">
        <v>0</v>
      </c>
      <c r="G16" s="125">
        <v>0</v>
      </c>
    </row>
    <row r="17" spans="1:7" x14ac:dyDescent="0.3">
      <c r="A17" s="116">
        <v>17</v>
      </c>
      <c r="B17" s="117" t="str">
        <v>Brommelen 9</v>
      </c>
      <c r="C17" s="118" t="str">
        <f>IFERROR(_xlfn.XLOOKUP(Taxaties!$A17,Table3[Sub],Table3[Verzekerde interest]),"-")</f>
        <v>Gebouwen</v>
      </c>
      <c r="D17" s="118">
        <v>0</v>
      </c>
      <c r="E17" s="119">
        <v>0</v>
      </c>
      <c r="F17" s="118">
        <v>0</v>
      </c>
      <c r="G17" s="120">
        <v>0</v>
      </c>
    </row>
    <row r="18" spans="1:7" x14ac:dyDescent="0.3">
      <c r="A18" s="121">
        <v>18</v>
      </c>
      <c r="B18" s="122" t="str">
        <v>Brommelen 9</v>
      </c>
      <c r="C18" s="123" t="str">
        <f>IFERROR(_xlfn.XLOOKUP(Taxaties!$A18,Table3[Sub],Table3[Verzekerde interest]),"-")</f>
        <v>Bedrijfsuitrusting/inventaris</v>
      </c>
      <c r="D18" s="123">
        <v>0</v>
      </c>
      <c r="E18" s="124">
        <v>0</v>
      </c>
      <c r="F18" s="123">
        <v>0</v>
      </c>
      <c r="G18" s="125">
        <v>0</v>
      </c>
    </row>
    <row r="19" spans="1:7" x14ac:dyDescent="0.3">
      <c r="A19" s="116"/>
      <c r="B19" s="117"/>
      <c r="C19" s="118" t="str">
        <f>IFERROR(_xlfn.XLOOKUP(Taxaties!$A19,Table3[Sub],Table3[Verzekerde interest]),"-")</f>
        <v>-</v>
      </c>
      <c r="D19" s="118"/>
      <c r="E19" s="119"/>
      <c r="F19" s="118"/>
      <c r="G19" s="120"/>
    </row>
    <row r="20" spans="1:7" x14ac:dyDescent="0.3">
      <c r="A20" s="121"/>
      <c r="B20" s="122"/>
      <c r="C20" s="123" t="str">
        <f>IFERROR(_xlfn.XLOOKUP(Taxaties!$A20,Table3[Sub],Table3[Verzekerde interest]),"-")</f>
        <v>-</v>
      </c>
      <c r="D20" s="123"/>
      <c r="E20" s="124"/>
      <c r="F20" s="123"/>
      <c r="G20" s="125"/>
    </row>
    <row r="21" spans="1:7" x14ac:dyDescent="0.3">
      <c r="A21" s="116"/>
      <c r="B21" s="117"/>
      <c r="C21" s="118" t="str">
        <f>IFERROR(_xlfn.XLOOKUP(Taxaties!$A21,Table3[Sub],Table3[Verzekerde interest]),"-")</f>
        <v>-</v>
      </c>
      <c r="D21" s="118"/>
      <c r="E21" s="119"/>
      <c r="F21" s="118"/>
      <c r="G21" s="120"/>
    </row>
    <row r="22" spans="1:7" x14ac:dyDescent="0.3">
      <c r="A22" s="121"/>
      <c r="B22" s="122"/>
      <c r="C22" s="123" t="str">
        <f>IFERROR(_xlfn.XLOOKUP(Taxaties!$A22,Table3[Sub],Table3[Verzekerde interest]),"-")</f>
        <v>-</v>
      </c>
      <c r="D22" s="123"/>
      <c r="E22" s="124"/>
      <c r="F22" s="123"/>
      <c r="G22" s="125"/>
    </row>
    <row r="23" spans="1:7" x14ac:dyDescent="0.3">
      <c r="A23" s="116"/>
      <c r="B23" s="117"/>
      <c r="C23" s="118" t="str">
        <f>IFERROR(_xlfn.XLOOKUP(Taxaties!$A23,Table3[Sub],Table3[Verzekerde interest]),"-")</f>
        <v>-</v>
      </c>
      <c r="D23" s="118"/>
      <c r="E23" s="119"/>
      <c r="F23" s="118"/>
      <c r="G23" s="120"/>
    </row>
    <row r="24" spans="1:7" x14ac:dyDescent="0.3">
      <c r="A24" s="121"/>
      <c r="B24" s="122"/>
      <c r="C24" s="123" t="str">
        <f>IFERROR(_xlfn.XLOOKUP(Taxaties!$A24,Table3[Sub],Table3[Verzekerde interest]),"-")</f>
        <v>-</v>
      </c>
      <c r="D24" s="123"/>
      <c r="E24" s="124"/>
      <c r="F24" s="123"/>
      <c r="G24" s="125"/>
    </row>
    <row r="25" spans="1:7" x14ac:dyDescent="0.3">
      <c r="A25" s="116"/>
      <c r="B25" s="117"/>
      <c r="C25" s="118" t="str">
        <f>IFERROR(_xlfn.XLOOKUP(Taxaties!$A25,Table3[Sub],Table3[Verzekerde interest]),"-")</f>
        <v>-</v>
      </c>
      <c r="D25" s="118"/>
      <c r="E25" s="119"/>
      <c r="F25" s="118"/>
      <c r="G25" s="120"/>
    </row>
    <row r="26" spans="1:7" x14ac:dyDescent="0.3">
      <c r="A26" s="121"/>
      <c r="B26" s="122"/>
      <c r="C26" s="123" t="str">
        <f>IFERROR(_xlfn.XLOOKUP(Taxaties!$A26,Table3[Sub],Table3[Verzekerde interest]),"-")</f>
        <v>-</v>
      </c>
      <c r="D26" s="123"/>
      <c r="E26" s="124"/>
      <c r="F26" s="123"/>
      <c r="G26" s="125"/>
    </row>
    <row r="27" spans="1:7" x14ac:dyDescent="0.3">
      <c r="A27" s="116"/>
      <c r="B27" s="117"/>
      <c r="C27" s="118" t="str">
        <f>IFERROR(_xlfn.XLOOKUP(Taxaties!$A27,Table3[Sub],Table3[Verzekerde interest]),"-")</f>
        <v>-</v>
      </c>
      <c r="D27" s="118"/>
      <c r="E27" s="119"/>
      <c r="F27" s="118"/>
      <c r="G27" s="120"/>
    </row>
    <row r="28" spans="1:7" x14ac:dyDescent="0.3">
      <c r="A28" s="121"/>
      <c r="B28" s="123"/>
      <c r="C28" s="123" t="str">
        <f>IFERROR(_xlfn.XLOOKUP(Taxaties!$A28,Table3[Sub],Table3[Verzekerde interest]),"-")</f>
        <v>-</v>
      </c>
      <c r="D28" s="123"/>
      <c r="E28" s="124"/>
      <c r="F28" s="123"/>
      <c r="G28" s="125"/>
    </row>
    <row r="29" spans="1:7" x14ac:dyDescent="0.3">
      <c r="A29" s="116"/>
      <c r="B29" s="118"/>
      <c r="C29" s="118" t="str">
        <f>IFERROR(_xlfn.XLOOKUP(Taxaties!$A29,Table3[Sub],Table3[Verzekerde interest]),"-")</f>
        <v>-</v>
      </c>
      <c r="D29" s="118"/>
      <c r="E29" s="119"/>
      <c r="F29" s="118"/>
      <c r="G29" s="120"/>
    </row>
    <row r="30" spans="1:7" x14ac:dyDescent="0.3">
      <c r="A30" s="121"/>
      <c r="B30" s="123"/>
      <c r="C30" s="123" t="str">
        <f>IFERROR(_xlfn.XLOOKUP(Taxaties!$A30,Table3[Sub],Table3[Verzekerde interest]),"-")</f>
        <v>-</v>
      </c>
      <c r="D30" s="123"/>
      <c r="E30" s="124"/>
      <c r="F30" s="123"/>
      <c r="G30" s="125"/>
    </row>
    <row r="31" spans="1:7" x14ac:dyDescent="0.3">
      <c r="A31" s="116"/>
      <c r="B31" s="118"/>
      <c r="C31" s="118" t="str">
        <f>IFERROR(_xlfn.XLOOKUP(Taxaties!$A31,Table3[Sub],Table3[Verzekerde interest]),"-")</f>
        <v>-</v>
      </c>
      <c r="D31" s="118"/>
      <c r="E31" s="119"/>
      <c r="F31" s="118"/>
      <c r="G31" s="120"/>
    </row>
    <row r="32" spans="1:7" x14ac:dyDescent="0.3">
      <c r="A32" s="121"/>
      <c r="B32" s="123"/>
      <c r="C32" s="123" t="str">
        <f>IFERROR(_xlfn.XLOOKUP(Taxaties!$A32,Table3[Sub],Table3[Verzekerde interest]),"-")</f>
        <v>-</v>
      </c>
      <c r="D32" s="123"/>
      <c r="E32" s="124"/>
      <c r="F32" s="123"/>
      <c r="G32" s="125"/>
    </row>
    <row r="33" spans="1:7" x14ac:dyDescent="0.3">
      <c r="A33" s="116"/>
      <c r="B33" s="118"/>
      <c r="C33" s="118" t="str">
        <f>IFERROR(_xlfn.XLOOKUP(Taxaties!$A33,Table3[Sub],Table3[Verzekerde interest]),"-")</f>
        <v>-</v>
      </c>
      <c r="D33" s="118"/>
      <c r="E33" s="119"/>
      <c r="F33" s="118"/>
      <c r="G33" s="120"/>
    </row>
    <row r="34" spans="1:7" x14ac:dyDescent="0.3">
      <c r="A34" s="121"/>
      <c r="B34" s="123"/>
      <c r="C34" s="123" t="str">
        <f>IFERROR(_xlfn.XLOOKUP(Taxaties!$A34,Table3[Sub],Table3[Verzekerde interest]),"-")</f>
        <v>-</v>
      </c>
      <c r="D34" s="123"/>
      <c r="E34" s="124"/>
      <c r="F34" s="123"/>
      <c r="G34" s="125"/>
    </row>
    <row r="35" spans="1:7" x14ac:dyDescent="0.3">
      <c r="A35" s="116"/>
      <c r="B35" s="118"/>
      <c r="C35" s="118" t="str">
        <f>IFERROR(_xlfn.XLOOKUP(Taxaties!$A35,Table3[Sub],Table3[Verzekerde interest]),"-")</f>
        <v>-</v>
      </c>
      <c r="D35" s="118"/>
      <c r="E35" s="119"/>
      <c r="F35" s="118"/>
      <c r="G35" s="120"/>
    </row>
    <row r="36" spans="1:7" x14ac:dyDescent="0.3">
      <c r="A36" s="121"/>
      <c r="B36" s="123"/>
      <c r="C36" s="123" t="str">
        <f>IFERROR(_xlfn.XLOOKUP(Taxaties!$A36,Table3[Sub],Table3[Verzekerde interest]),"-")</f>
        <v>-</v>
      </c>
      <c r="D36" s="123"/>
      <c r="E36" s="124"/>
      <c r="F36" s="123"/>
      <c r="G36" s="125"/>
    </row>
    <row r="37" spans="1:7" x14ac:dyDescent="0.3">
      <c r="A37" s="116"/>
      <c r="B37" s="118"/>
      <c r="C37" s="118" t="str">
        <f>IFERROR(_xlfn.XLOOKUP(Taxaties!$A37,Table3[Sub],Table3[Verzekerde interest]),"-")</f>
        <v>-</v>
      </c>
      <c r="D37" s="118"/>
      <c r="E37" s="119"/>
      <c r="F37" s="118"/>
      <c r="G37" s="120"/>
    </row>
    <row r="38" spans="1:7" x14ac:dyDescent="0.3">
      <c r="A38" s="121"/>
      <c r="B38" s="123"/>
      <c r="C38" s="123" t="str">
        <f>IFERROR(_xlfn.XLOOKUP(Taxaties!$A38,Table3[Sub],Table3[Verzekerde interest]),"-")</f>
        <v>-</v>
      </c>
      <c r="D38" s="123"/>
      <c r="E38" s="124"/>
      <c r="F38" s="123"/>
      <c r="G38" s="125"/>
    </row>
    <row r="39" spans="1:7" x14ac:dyDescent="0.3">
      <c r="A39" s="116"/>
      <c r="B39" s="118"/>
      <c r="C39" s="118" t="str">
        <f>IFERROR(_xlfn.XLOOKUP(Taxaties!$A39,Table3[Sub],Table3[Verzekerde interest]),"-")</f>
        <v>-</v>
      </c>
      <c r="D39" s="118"/>
      <c r="E39" s="119"/>
      <c r="F39" s="118"/>
      <c r="G39" s="120"/>
    </row>
    <row r="40" spans="1:7" x14ac:dyDescent="0.3">
      <c r="A40" s="121"/>
      <c r="B40" s="123"/>
      <c r="C40" s="123" t="str">
        <f>IFERROR(_xlfn.XLOOKUP(Taxaties!$A40,Table3[Sub],Table3[Verzekerde interest]),"-")</f>
        <v>-</v>
      </c>
      <c r="D40" s="123"/>
      <c r="E40" s="124"/>
      <c r="F40" s="123"/>
      <c r="G40" s="125"/>
    </row>
    <row r="41" spans="1:7" x14ac:dyDescent="0.3">
      <c r="A41" s="116"/>
      <c r="B41" s="118"/>
      <c r="C41" s="118" t="str">
        <f>IFERROR(_xlfn.XLOOKUP(Taxaties!$A41,Table3[Sub],Table3[Verzekerde interest]),"-")</f>
        <v>-</v>
      </c>
      <c r="D41" s="118"/>
      <c r="E41" s="119"/>
      <c r="F41" s="118"/>
      <c r="G41" s="120"/>
    </row>
    <row r="42" spans="1:7" x14ac:dyDescent="0.3">
      <c r="A42" s="121"/>
      <c r="B42" s="123"/>
      <c r="C42" s="123" t="str">
        <f>IFERROR(_xlfn.XLOOKUP(Taxaties!$A42,Table3[Sub],Table3[Verzekerde interest]),"-")</f>
        <v>-</v>
      </c>
      <c r="D42" s="123"/>
      <c r="E42" s="124"/>
      <c r="F42" s="123"/>
      <c r="G42" s="125"/>
    </row>
    <row r="43" spans="1:7" x14ac:dyDescent="0.3">
      <c r="A43" s="116"/>
      <c r="B43" s="118"/>
      <c r="C43" s="118" t="str">
        <f>IFERROR(_xlfn.XLOOKUP(Taxaties!$A43,Table3[Sub],Table3[Verzekerde interest]),"-")</f>
        <v>-</v>
      </c>
      <c r="D43" s="118"/>
      <c r="E43" s="119"/>
      <c r="F43" s="118"/>
      <c r="G43" s="120"/>
    </row>
    <row r="44" spans="1:7" x14ac:dyDescent="0.3">
      <c r="A44" s="121"/>
      <c r="B44" s="123"/>
      <c r="C44" s="123" t="str">
        <f>IFERROR(_xlfn.XLOOKUP(Taxaties!$A44,Table3[Sub],Table3[Verzekerde interest]),"-")</f>
        <v>-</v>
      </c>
      <c r="D44" s="123"/>
      <c r="E44" s="124"/>
      <c r="F44" s="123"/>
      <c r="G44" s="125"/>
    </row>
    <row r="45" spans="1:7" x14ac:dyDescent="0.3">
      <c r="A45" s="116"/>
      <c r="B45" s="118"/>
      <c r="C45" s="118" t="str">
        <f>IFERROR(_xlfn.XLOOKUP(Taxaties!$A45,Table3[Sub],Table3[Verzekerde interest]),"-")</f>
        <v>-</v>
      </c>
      <c r="D45" s="118"/>
      <c r="E45" s="119"/>
      <c r="F45" s="118"/>
      <c r="G45" s="120"/>
    </row>
    <row r="46" spans="1:7" x14ac:dyDescent="0.3">
      <c r="A46" s="121"/>
      <c r="B46" s="123"/>
      <c r="C46" s="123" t="str">
        <f>IFERROR(_xlfn.XLOOKUP(Taxaties!$A46,Table3[Sub],Table3[Verzekerde interest]),"-")</f>
        <v>-</v>
      </c>
      <c r="D46" s="123"/>
      <c r="E46" s="124"/>
      <c r="F46" s="123"/>
      <c r="G46" s="125"/>
    </row>
    <row r="47" spans="1:7" x14ac:dyDescent="0.3">
      <c r="A47" s="116"/>
      <c r="B47" s="118"/>
      <c r="C47" s="118" t="str">
        <f>IFERROR(_xlfn.XLOOKUP(Taxaties!$A47,Table3[Sub],Table3[Verzekerde interest]),"-")</f>
        <v>-</v>
      </c>
      <c r="D47" s="118"/>
      <c r="E47" s="119"/>
      <c r="F47" s="118"/>
      <c r="G47" s="120"/>
    </row>
    <row r="48" spans="1:7" x14ac:dyDescent="0.3">
      <c r="A48" s="121"/>
      <c r="B48" s="123"/>
      <c r="C48" s="123" t="str">
        <f>IFERROR(_xlfn.XLOOKUP(Taxaties!$A48,Table3[Sub],Table3[Verzekerde interest]),"-")</f>
        <v>-</v>
      </c>
      <c r="D48" s="123"/>
      <c r="E48" s="124"/>
      <c r="F48" s="123"/>
      <c r="G48" s="125"/>
    </row>
    <row r="49" spans="1:7" x14ac:dyDescent="0.3">
      <c r="A49" s="116"/>
      <c r="B49" s="118"/>
      <c r="C49" s="118" t="str">
        <f>IFERROR(_xlfn.XLOOKUP(Taxaties!$A49,Table3[Sub],Table3[Verzekerde interest]),"-")</f>
        <v>-</v>
      </c>
      <c r="D49" s="118"/>
      <c r="E49" s="119"/>
      <c r="F49" s="118"/>
      <c r="G49" s="120"/>
    </row>
    <row r="50" spans="1:7" x14ac:dyDescent="0.3">
      <c r="A50" s="121"/>
      <c r="B50" s="123"/>
      <c r="C50" s="123" t="str">
        <f>IFERROR(_xlfn.XLOOKUP(Taxaties!$A50,Table3[Sub],Table3[Verzekerde interest]),"-")</f>
        <v>-</v>
      </c>
      <c r="D50" s="123"/>
      <c r="E50" s="124"/>
      <c r="F50" s="123"/>
      <c r="G50" s="125"/>
    </row>
    <row r="51" spans="1:7" x14ac:dyDescent="0.3">
      <c r="A51" s="116"/>
      <c r="B51" s="118"/>
      <c r="C51" s="118" t="str">
        <f>IFERROR(_xlfn.XLOOKUP(Taxaties!$A51,Table3[Sub],Table3[Verzekerde interest]),"-")</f>
        <v>-</v>
      </c>
      <c r="D51" s="118"/>
      <c r="E51" s="119"/>
      <c r="F51" s="118"/>
      <c r="G51" s="120"/>
    </row>
    <row r="52" spans="1:7" x14ac:dyDescent="0.3">
      <c r="A52" s="121"/>
      <c r="B52" s="123"/>
      <c r="C52" s="123" t="str">
        <f>IFERROR(_xlfn.XLOOKUP(Taxaties!$A52,Table3[Sub],Table3[Verzekerde interest]),"-")</f>
        <v>-</v>
      </c>
      <c r="D52" s="123"/>
      <c r="E52" s="124"/>
      <c r="F52" s="123"/>
      <c r="G52" s="125"/>
    </row>
    <row r="53" spans="1:7" x14ac:dyDescent="0.3">
      <c r="A53" s="116"/>
      <c r="B53" s="118"/>
      <c r="C53" s="118" t="str">
        <f>IFERROR(_xlfn.XLOOKUP(Taxaties!$A53,Table3[Sub],Table3[Verzekerde interest]),"-")</f>
        <v>-</v>
      </c>
      <c r="D53" s="118"/>
      <c r="E53" s="119"/>
      <c r="F53" s="118"/>
      <c r="G53" s="120"/>
    </row>
    <row r="54" spans="1:7" x14ac:dyDescent="0.3">
      <c r="A54" s="121"/>
      <c r="B54" s="123"/>
      <c r="C54" s="123" t="str">
        <f>IFERROR(_xlfn.XLOOKUP(Taxaties!$A54,Table3[Sub],Table3[Verzekerde interest]),"-")</f>
        <v>-</v>
      </c>
      <c r="D54" s="123"/>
      <c r="E54" s="124"/>
      <c r="F54" s="123"/>
      <c r="G54" s="125"/>
    </row>
    <row r="55" spans="1:7" x14ac:dyDescent="0.3">
      <c r="A55" s="116"/>
      <c r="B55" s="118"/>
      <c r="C55" s="118" t="str">
        <f>IFERROR(_xlfn.XLOOKUP(Taxaties!$A55,Table3[Sub],Table3[Verzekerde interest]),"-")</f>
        <v>-</v>
      </c>
      <c r="D55" s="118"/>
      <c r="E55" s="119"/>
      <c r="F55" s="118"/>
      <c r="G55" s="120"/>
    </row>
    <row r="56" spans="1:7" x14ac:dyDescent="0.3">
      <c r="A56" s="121"/>
      <c r="B56" s="123"/>
      <c r="C56" s="123" t="str">
        <f>IFERROR(_xlfn.XLOOKUP(Taxaties!$A56,Table3[Sub],Table3[Verzekerde interest]),"-")</f>
        <v>-</v>
      </c>
      <c r="D56" s="123"/>
      <c r="E56" s="124"/>
      <c r="F56" s="123"/>
      <c r="G56" s="125"/>
    </row>
    <row r="57" spans="1:7" x14ac:dyDescent="0.3">
      <c r="A57" s="116"/>
      <c r="B57" s="118"/>
      <c r="C57" s="118" t="str">
        <f>IFERROR(_xlfn.XLOOKUP(Taxaties!$A57,Table3[Sub],Table3[Verzekerde interest]),"-")</f>
        <v>-</v>
      </c>
      <c r="D57" s="118"/>
      <c r="E57" s="119"/>
      <c r="F57" s="118"/>
      <c r="G57" s="120"/>
    </row>
    <row r="58" spans="1:7" x14ac:dyDescent="0.3">
      <c r="A58" s="121"/>
      <c r="B58" s="123"/>
      <c r="C58" s="123" t="str">
        <f>IFERROR(_xlfn.XLOOKUP(Taxaties!$A58,Table3[Sub],Table3[Verzekerde interest]),"-")</f>
        <v>-</v>
      </c>
      <c r="D58" s="123"/>
      <c r="E58" s="124"/>
      <c r="F58" s="123"/>
      <c r="G58" s="125"/>
    </row>
    <row r="59" spans="1:7" x14ac:dyDescent="0.3">
      <c r="A59" s="116"/>
      <c r="B59" s="118"/>
      <c r="C59" s="118" t="str">
        <f>IFERROR(_xlfn.XLOOKUP(Taxaties!$A59,Table3[Sub],Table3[Verzekerde interest]),"-")</f>
        <v>-</v>
      </c>
      <c r="D59" s="118"/>
      <c r="E59" s="119"/>
      <c r="F59" s="118"/>
      <c r="G59" s="120"/>
    </row>
    <row r="60" spans="1:7" x14ac:dyDescent="0.3">
      <c r="A60" s="121"/>
      <c r="B60" s="123"/>
      <c r="C60" s="123" t="str">
        <f>IFERROR(_xlfn.XLOOKUP(Taxaties!$A60,Table3[Sub],Table3[Verzekerde interest]),"-")</f>
        <v>-</v>
      </c>
      <c r="D60" s="123"/>
      <c r="E60" s="124"/>
      <c r="F60" s="123"/>
      <c r="G60" s="125"/>
    </row>
    <row r="61" spans="1:7" x14ac:dyDescent="0.3">
      <c r="A61" s="116"/>
      <c r="B61" s="118"/>
      <c r="C61" s="118" t="str">
        <f>IFERROR(_xlfn.XLOOKUP(Taxaties!$A61,Table3[Sub],Table3[Verzekerde interest]),"-")</f>
        <v>-</v>
      </c>
      <c r="D61" s="118"/>
      <c r="E61" s="119"/>
      <c r="F61" s="118"/>
      <c r="G61" s="120"/>
    </row>
    <row r="62" spans="1:7" x14ac:dyDescent="0.3">
      <c r="A62" s="121"/>
      <c r="B62" s="123"/>
      <c r="C62" s="123" t="str">
        <f>IFERROR(_xlfn.XLOOKUP(Taxaties!$A62,Table3[Sub],Table3[Verzekerde interest]),"-")</f>
        <v>-</v>
      </c>
      <c r="D62" s="123"/>
      <c r="E62" s="124"/>
      <c r="F62" s="123"/>
      <c r="G62" s="125"/>
    </row>
    <row r="63" spans="1:7" x14ac:dyDescent="0.3">
      <c r="A63" s="116"/>
      <c r="B63" s="118"/>
      <c r="C63" s="118" t="str">
        <f>IFERROR(_xlfn.XLOOKUP(Taxaties!$A63,Table3[Sub],Table3[Verzekerde interest]),"-")</f>
        <v>-</v>
      </c>
      <c r="D63" s="118"/>
      <c r="E63" s="119"/>
      <c r="F63" s="118"/>
      <c r="G63" s="120"/>
    </row>
    <row r="64" spans="1:7" x14ac:dyDescent="0.3">
      <c r="A64" s="121"/>
      <c r="B64" s="123"/>
      <c r="C64" s="123" t="str">
        <f>IFERROR(_xlfn.XLOOKUP(Taxaties!$A64,Table3[Sub],Table3[Verzekerde interest]),"-")</f>
        <v>-</v>
      </c>
      <c r="D64" s="123"/>
      <c r="E64" s="124"/>
      <c r="F64" s="123"/>
      <c r="G64" s="125"/>
    </row>
    <row r="65" spans="1:7" x14ac:dyDescent="0.3">
      <c r="A65" s="116"/>
      <c r="B65" s="118"/>
      <c r="C65" s="118" t="str">
        <f>IFERROR(_xlfn.XLOOKUP(Taxaties!$A65,Table3[Sub],Table3[Verzekerde interest]),"-")</f>
        <v>-</v>
      </c>
      <c r="D65" s="118"/>
      <c r="E65" s="119"/>
      <c r="F65" s="118"/>
      <c r="G65" s="120"/>
    </row>
    <row r="66" spans="1:7" x14ac:dyDescent="0.3">
      <c r="A66" s="121"/>
      <c r="B66" s="123"/>
      <c r="C66" s="123" t="str">
        <f>IFERROR(_xlfn.XLOOKUP(Taxaties!$A66,Table3[Sub],Table3[Verzekerde interest]),"-")</f>
        <v>-</v>
      </c>
      <c r="D66" s="123"/>
      <c r="E66" s="124"/>
      <c r="F66" s="123"/>
      <c r="G66" s="125"/>
    </row>
    <row r="67" spans="1:7" x14ac:dyDescent="0.3">
      <c r="A67" s="116"/>
      <c r="B67" s="118"/>
      <c r="C67" s="118" t="str">
        <f>IFERROR(_xlfn.XLOOKUP(Taxaties!$A67,Table3[Sub],Table3[Verzekerde interest]),"-")</f>
        <v>-</v>
      </c>
      <c r="D67" s="118"/>
      <c r="E67" s="119"/>
      <c r="F67" s="118"/>
      <c r="G67" s="120"/>
    </row>
    <row r="68" spans="1:7" x14ac:dyDescent="0.3">
      <c r="A68" s="121"/>
      <c r="B68" s="123"/>
      <c r="C68" s="123" t="str">
        <f>IFERROR(_xlfn.XLOOKUP(Taxaties!$A68,Table3[Sub],Table3[Verzekerde interest]),"-")</f>
        <v>-</v>
      </c>
      <c r="D68" s="123"/>
      <c r="E68" s="124"/>
      <c r="F68" s="123"/>
      <c r="G68" s="125"/>
    </row>
    <row r="69" spans="1:7" x14ac:dyDescent="0.3">
      <c r="A69" s="116"/>
      <c r="B69" s="118"/>
      <c r="C69" s="118" t="str">
        <f>IFERROR(_xlfn.XLOOKUP(Taxaties!$A69,Table3[Sub],Table3[Verzekerde interest]),"-")</f>
        <v>-</v>
      </c>
      <c r="D69" s="118"/>
      <c r="E69" s="119"/>
      <c r="F69" s="118"/>
      <c r="G69" s="120"/>
    </row>
    <row r="70" spans="1:7" x14ac:dyDescent="0.3">
      <c r="A70" s="121"/>
      <c r="B70" s="123"/>
      <c r="C70" s="123" t="str">
        <f>IFERROR(_xlfn.XLOOKUP(Taxaties!$A70,Table3[Sub],Table3[Verzekerde interest]),"-")</f>
        <v>-</v>
      </c>
      <c r="D70" s="123"/>
      <c r="E70" s="124"/>
      <c r="F70" s="123"/>
      <c r="G70" s="125"/>
    </row>
    <row r="71" spans="1:7" x14ac:dyDescent="0.3">
      <c r="A71" s="116"/>
      <c r="B71" s="118"/>
      <c r="C71" s="118" t="str">
        <f>IFERROR(_xlfn.XLOOKUP(Taxaties!$A71,Table3[Sub],Table3[Verzekerde interest]),"-")</f>
        <v>-</v>
      </c>
      <c r="D71" s="118"/>
      <c r="E71" s="119"/>
      <c r="F71" s="118"/>
      <c r="G71" s="120"/>
    </row>
    <row r="72" spans="1:7" x14ac:dyDescent="0.3">
      <c r="A72" s="121"/>
      <c r="B72" s="123"/>
      <c r="C72" s="123" t="str">
        <f>IFERROR(_xlfn.XLOOKUP(Taxaties!$A72,Table3[Sub],Table3[Verzekerde interest]),"-")</f>
        <v>-</v>
      </c>
      <c r="D72" s="123"/>
      <c r="E72" s="124"/>
      <c r="F72" s="123"/>
      <c r="G72" s="125"/>
    </row>
    <row r="73" spans="1:7" x14ac:dyDescent="0.3">
      <c r="A73" s="116"/>
      <c r="B73" s="118"/>
      <c r="C73" s="118" t="str">
        <f>IFERROR(_xlfn.XLOOKUP(Taxaties!$A73,Table3[Sub],Table3[Verzekerde interest]),"-")</f>
        <v>-</v>
      </c>
      <c r="D73" s="118"/>
      <c r="E73" s="119"/>
      <c r="F73" s="118"/>
      <c r="G73" s="120"/>
    </row>
    <row r="74" spans="1:7" x14ac:dyDescent="0.3">
      <c r="A74" s="121"/>
      <c r="B74" s="123"/>
      <c r="C74" s="123" t="str">
        <f>IFERROR(_xlfn.XLOOKUP(Taxaties!$A74,Table3[Sub],Table3[Verzekerde interest]),"-")</f>
        <v>-</v>
      </c>
      <c r="D74" s="123"/>
      <c r="E74" s="124"/>
      <c r="F74" s="123"/>
      <c r="G74" s="125"/>
    </row>
    <row r="75" spans="1:7" x14ac:dyDescent="0.3">
      <c r="A75" s="116"/>
      <c r="B75" s="118"/>
      <c r="C75" s="118" t="str">
        <f>IFERROR(_xlfn.XLOOKUP(Taxaties!$A75,Table3[Sub],Table3[Verzekerde interest]),"-")</f>
        <v>-</v>
      </c>
      <c r="D75" s="118"/>
      <c r="E75" s="119"/>
      <c r="F75" s="118"/>
      <c r="G75" s="120"/>
    </row>
    <row r="76" spans="1:7" x14ac:dyDescent="0.3">
      <c r="A76" s="121"/>
      <c r="B76" s="123"/>
      <c r="C76" s="123" t="str">
        <f>IFERROR(_xlfn.XLOOKUP(Taxaties!$A76,Table3[Sub],Table3[Verzekerde interest]),"-")</f>
        <v>-</v>
      </c>
      <c r="D76" s="123"/>
      <c r="E76" s="124"/>
      <c r="F76" s="123"/>
      <c r="G76" s="125"/>
    </row>
    <row r="77" spans="1:7" x14ac:dyDescent="0.3">
      <c r="A77" s="116"/>
      <c r="B77" s="118"/>
      <c r="C77" s="118" t="str">
        <f>IFERROR(_xlfn.XLOOKUP(Taxaties!$A77,Table3[Sub],Table3[Verzekerde interest]),"-")</f>
        <v>-</v>
      </c>
      <c r="D77" s="118"/>
      <c r="E77" s="119"/>
      <c r="F77" s="118"/>
      <c r="G77" s="120"/>
    </row>
    <row r="78" spans="1:7" x14ac:dyDescent="0.3">
      <c r="A78" s="121"/>
      <c r="B78" s="123"/>
      <c r="C78" s="123" t="str">
        <f>IFERROR(_xlfn.XLOOKUP(Taxaties!$A78,Table3[Sub],Table3[Verzekerde interest]),"-")</f>
        <v>-</v>
      </c>
      <c r="D78" s="123"/>
      <c r="E78" s="124"/>
      <c r="F78" s="123"/>
      <c r="G78" s="125"/>
    </row>
    <row r="79" spans="1:7" x14ac:dyDescent="0.3">
      <c r="A79" s="116"/>
      <c r="B79" s="118"/>
      <c r="C79" s="118" t="str">
        <f>IFERROR(_xlfn.XLOOKUP(Taxaties!$A79,Table3[Sub],Table3[Verzekerde interest]),"-")</f>
        <v>-</v>
      </c>
      <c r="D79" s="118"/>
      <c r="E79" s="119"/>
      <c r="F79" s="118"/>
      <c r="G79" s="120"/>
    </row>
    <row r="80" spans="1:7" x14ac:dyDescent="0.3">
      <c r="A80" s="121"/>
      <c r="B80" s="123"/>
      <c r="C80" s="123" t="str">
        <f>IFERROR(_xlfn.XLOOKUP(Taxaties!$A80,Table3[Sub],Table3[Verzekerde interest]),"-")</f>
        <v>-</v>
      </c>
      <c r="D80" s="123"/>
      <c r="E80" s="124"/>
      <c r="F80" s="123"/>
      <c r="G80" s="125"/>
    </row>
    <row r="81" spans="1:7" x14ac:dyDescent="0.3">
      <c r="A81" s="116"/>
      <c r="B81" s="118"/>
      <c r="C81" s="118" t="str">
        <f>IFERROR(_xlfn.XLOOKUP(Taxaties!$A81,Table3[Sub],Table3[Verzekerde interest]),"-")</f>
        <v>-</v>
      </c>
      <c r="D81" s="118"/>
      <c r="E81" s="119"/>
      <c r="F81" s="118"/>
      <c r="G81" s="120"/>
    </row>
    <row r="82" spans="1:7" x14ac:dyDescent="0.3">
      <c r="A82" s="121"/>
      <c r="B82" s="123"/>
      <c r="C82" s="123" t="str">
        <f>IFERROR(_xlfn.XLOOKUP(Taxaties!$A82,Table3[Sub],Table3[Verzekerde interest]),"-")</f>
        <v>-</v>
      </c>
      <c r="D82" s="123"/>
      <c r="E82" s="124"/>
      <c r="F82" s="123"/>
      <c r="G82" s="125"/>
    </row>
    <row r="83" spans="1:7" x14ac:dyDescent="0.3">
      <c r="A83" s="116"/>
      <c r="B83" s="118"/>
      <c r="C83" s="118" t="str">
        <f>IFERROR(_xlfn.XLOOKUP(Taxaties!$A83,Table3[Sub],Table3[Verzekerde interest]),"-")</f>
        <v>-</v>
      </c>
      <c r="D83" s="118"/>
      <c r="E83" s="119"/>
      <c r="F83" s="118"/>
      <c r="G83" s="120"/>
    </row>
    <row r="84" spans="1:7" x14ac:dyDescent="0.3">
      <c r="A84" s="121"/>
      <c r="B84" s="123"/>
      <c r="C84" s="123" t="str">
        <f>IFERROR(_xlfn.XLOOKUP(Taxaties!$A84,Table3[Sub],Table3[Verzekerde interest]),"-")</f>
        <v>-</v>
      </c>
      <c r="D84" s="123"/>
      <c r="E84" s="124"/>
      <c r="F84" s="123"/>
      <c r="G84" s="125"/>
    </row>
    <row r="85" spans="1:7" x14ac:dyDescent="0.3">
      <c r="A85" s="116"/>
      <c r="B85" s="118"/>
      <c r="C85" s="118" t="str">
        <f>IFERROR(_xlfn.XLOOKUP(Taxaties!$A85,Table3[Sub],Table3[Verzekerde interest]),"-")</f>
        <v>-</v>
      </c>
      <c r="D85" s="118"/>
      <c r="E85" s="119"/>
      <c r="F85" s="118"/>
      <c r="G85" s="120"/>
    </row>
    <row r="86" spans="1:7" x14ac:dyDescent="0.3">
      <c r="A86" s="121"/>
      <c r="B86" s="123"/>
      <c r="C86" s="123" t="str">
        <f>IFERROR(_xlfn.XLOOKUP(Taxaties!$A86,Table3[Sub],Table3[Verzekerde interest]),"-")</f>
        <v>-</v>
      </c>
      <c r="D86" s="123"/>
      <c r="E86" s="124"/>
      <c r="F86" s="123"/>
      <c r="G86" s="125"/>
    </row>
    <row r="87" spans="1:7" x14ac:dyDescent="0.3">
      <c r="A87" s="116"/>
      <c r="B87" s="118"/>
      <c r="C87" s="118" t="str">
        <f>IFERROR(_xlfn.XLOOKUP(Taxaties!$A87,Table3[Sub],Table3[Verzekerde interest]),"-")</f>
        <v>-</v>
      </c>
      <c r="D87" s="118"/>
      <c r="E87" s="119"/>
      <c r="F87" s="118"/>
      <c r="G87" s="120"/>
    </row>
    <row r="88" spans="1:7" x14ac:dyDescent="0.3">
      <c r="A88" s="121"/>
      <c r="B88" s="123"/>
      <c r="C88" s="123" t="str">
        <f>IFERROR(_xlfn.XLOOKUP(Taxaties!$A88,Table3[Sub],Table3[Verzekerde interest]),"-")</f>
        <v>-</v>
      </c>
      <c r="D88" s="123"/>
      <c r="E88" s="124"/>
      <c r="F88" s="123"/>
      <c r="G88" s="125"/>
    </row>
    <row r="89" spans="1:7" x14ac:dyDescent="0.3">
      <c r="A89" s="116"/>
      <c r="B89" s="118"/>
      <c r="C89" s="118" t="str">
        <f>IFERROR(_xlfn.XLOOKUP(Taxaties!$A89,Table3[Sub],Table3[Verzekerde interest]),"-")</f>
        <v>-</v>
      </c>
      <c r="D89" s="118"/>
      <c r="E89" s="119"/>
      <c r="F89" s="118"/>
      <c r="G89" s="120"/>
    </row>
    <row r="90" spans="1:7" x14ac:dyDescent="0.3">
      <c r="A90" s="121"/>
      <c r="B90" s="123"/>
      <c r="C90" s="123" t="str">
        <f>IFERROR(_xlfn.XLOOKUP(Taxaties!$A90,Table3[Sub],Table3[Verzekerde interest]),"-")</f>
        <v>-</v>
      </c>
      <c r="D90" s="123"/>
      <c r="E90" s="124"/>
      <c r="F90" s="123"/>
      <c r="G90" s="125"/>
    </row>
    <row r="91" spans="1:7" x14ac:dyDescent="0.3">
      <c r="A91" s="116"/>
      <c r="B91" s="118"/>
      <c r="C91" s="118" t="str">
        <f>IFERROR(_xlfn.XLOOKUP(Taxaties!$A91,Table3[Sub],Table3[Verzekerde interest]),"-")</f>
        <v>-</v>
      </c>
      <c r="D91" s="118"/>
      <c r="E91" s="119"/>
      <c r="F91" s="118"/>
      <c r="G91" s="120"/>
    </row>
    <row r="92" spans="1:7" x14ac:dyDescent="0.3">
      <c r="A92" s="121"/>
      <c r="B92" s="123"/>
      <c r="C92" s="123" t="str">
        <f>IFERROR(_xlfn.XLOOKUP(Taxaties!$A92,Table3[Sub],Table3[Verzekerde interest]),"-")</f>
        <v>-</v>
      </c>
      <c r="D92" s="123"/>
      <c r="E92" s="124"/>
      <c r="F92" s="123"/>
      <c r="G92" s="125"/>
    </row>
    <row r="93" spans="1:7" x14ac:dyDescent="0.3">
      <c r="A93" s="116"/>
      <c r="B93" s="118"/>
      <c r="C93" s="118" t="str">
        <f>IFERROR(_xlfn.XLOOKUP(Taxaties!$A93,Table3[Sub],Table3[Verzekerde interest]),"-")</f>
        <v>-</v>
      </c>
      <c r="D93" s="118"/>
      <c r="E93" s="119"/>
      <c r="F93" s="118"/>
      <c r="G93" s="120"/>
    </row>
    <row r="94" spans="1:7" x14ac:dyDescent="0.3">
      <c r="A94" s="121"/>
      <c r="B94" s="123"/>
      <c r="C94" s="123" t="str">
        <f>IFERROR(_xlfn.XLOOKUP(Taxaties!$A94,Table3[Sub],Table3[Verzekerde interest]),"-")</f>
        <v>-</v>
      </c>
      <c r="D94" s="123"/>
      <c r="E94" s="124"/>
      <c r="F94" s="123"/>
      <c r="G94" s="125"/>
    </row>
    <row r="95" spans="1:7" x14ac:dyDescent="0.3">
      <c r="A95" s="116"/>
      <c r="B95" s="118"/>
      <c r="C95" s="118" t="str">
        <f>IFERROR(_xlfn.XLOOKUP(Taxaties!$A95,Table3[Sub],Table3[Verzekerde interest]),"-")</f>
        <v>-</v>
      </c>
      <c r="D95" s="118"/>
      <c r="E95" s="119"/>
      <c r="F95" s="118"/>
      <c r="G95" s="120"/>
    </row>
    <row r="96" spans="1:7" x14ac:dyDescent="0.3">
      <c r="A96" s="121"/>
      <c r="B96" s="123"/>
      <c r="C96" s="123" t="str">
        <f>IFERROR(_xlfn.XLOOKUP(Taxaties!$A96,Table3[Sub],Table3[Verzekerde interest]),"-")</f>
        <v>-</v>
      </c>
      <c r="D96" s="123"/>
      <c r="E96" s="124"/>
      <c r="F96" s="123"/>
      <c r="G96" s="125"/>
    </row>
    <row r="97" spans="1:7" x14ac:dyDescent="0.3">
      <c r="A97" s="116"/>
      <c r="B97" s="118"/>
      <c r="C97" s="118" t="str">
        <f>IFERROR(_xlfn.XLOOKUP(Taxaties!$A97,Table3[Sub],Table3[Verzekerde interest]),"-")</f>
        <v>-</v>
      </c>
      <c r="D97" s="118"/>
      <c r="E97" s="119"/>
      <c r="F97" s="118"/>
      <c r="G97" s="120"/>
    </row>
    <row r="98" spans="1:7" x14ac:dyDescent="0.3">
      <c r="A98" s="121"/>
      <c r="B98" s="123"/>
      <c r="C98" s="123" t="str">
        <f>IFERROR(_xlfn.XLOOKUP(Taxaties!$A98,Table3[Sub],Table3[Verzekerde interest]),"-")</f>
        <v>-</v>
      </c>
      <c r="D98" s="123"/>
      <c r="E98" s="124"/>
      <c r="F98" s="123"/>
      <c r="G98" s="125"/>
    </row>
    <row r="99" spans="1:7" x14ac:dyDescent="0.3">
      <c r="A99" s="116"/>
      <c r="B99" s="118"/>
      <c r="C99" s="118" t="str">
        <f>IFERROR(_xlfn.XLOOKUP(Taxaties!$A99,Table3[Sub],Table3[Verzekerde interest]),"-")</f>
        <v>-</v>
      </c>
      <c r="D99" s="118"/>
      <c r="E99" s="119"/>
      <c r="F99" s="118"/>
      <c r="G99" s="120"/>
    </row>
    <row r="100" spans="1:7" x14ac:dyDescent="0.3">
      <c r="A100" s="121"/>
      <c r="B100" s="123"/>
      <c r="C100" s="123" t="str">
        <f>IFERROR(_xlfn.XLOOKUP(Taxaties!$A100,Table3[Sub],Table3[Verzekerde interest]),"-")</f>
        <v>-</v>
      </c>
      <c r="D100" s="123"/>
      <c r="E100" s="124"/>
      <c r="F100" s="123"/>
      <c r="G100" s="125"/>
    </row>
    <row r="101" spans="1:7" x14ac:dyDescent="0.3">
      <c r="A101" s="116"/>
      <c r="B101" s="118"/>
      <c r="C101" s="118" t="str">
        <f>IFERROR(_xlfn.XLOOKUP(Taxaties!$A101,Table3[Sub],Table3[Verzekerde interest]),"-")</f>
        <v>-</v>
      </c>
      <c r="D101" s="118"/>
      <c r="E101" s="119"/>
      <c r="F101" s="118"/>
      <c r="G101" s="120"/>
    </row>
    <row r="102" spans="1:7" x14ac:dyDescent="0.3">
      <c r="A102" s="121"/>
      <c r="B102" s="123"/>
      <c r="C102" s="123" t="str">
        <f>IFERROR(_xlfn.XLOOKUP(Taxaties!$A102,Table3[Sub],Table3[Verzekerde interest]),"-")</f>
        <v>-</v>
      </c>
      <c r="D102" s="123"/>
      <c r="E102" s="124"/>
      <c r="F102" s="123"/>
      <c r="G102" s="125"/>
    </row>
    <row r="103" spans="1:7" x14ac:dyDescent="0.3">
      <c r="A103" s="116"/>
      <c r="B103" s="118"/>
      <c r="C103" s="118" t="str">
        <f>IFERROR(_xlfn.XLOOKUP(Taxaties!$A103,Table3[Sub],Table3[Verzekerde interest]),"-")</f>
        <v>-</v>
      </c>
      <c r="D103" s="118"/>
      <c r="E103" s="119"/>
      <c r="F103" s="118"/>
      <c r="G103" s="120"/>
    </row>
    <row r="104" spans="1:7" x14ac:dyDescent="0.3">
      <c r="A104" s="121"/>
      <c r="B104" s="123"/>
      <c r="C104" s="123" t="str">
        <f>IFERROR(_xlfn.XLOOKUP(Taxaties!$A104,Table3[Sub],Table3[Verzekerde interest]),"-")</f>
        <v>-</v>
      </c>
      <c r="D104" s="123"/>
      <c r="E104" s="124"/>
      <c r="F104" s="123"/>
      <c r="G104" s="125"/>
    </row>
    <row r="105" spans="1:7" x14ac:dyDescent="0.3">
      <c r="A105" s="116"/>
      <c r="B105" s="118"/>
      <c r="C105" s="118" t="str">
        <f>IFERROR(_xlfn.XLOOKUP(Taxaties!$A105,Table3[Sub],Table3[Verzekerde interest]),"-")</f>
        <v>-</v>
      </c>
      <c r="D105" s="118"/>
      <c r="E105" s="119"/>
      <c r="F105" s="118"/>
      <c r="G105" s="120"/>
    </row>
    <row r="106" spans="1:7" x14ac:dyDescent="0.3">
      <c r="A106" s="121"/>
      <c r="B106" s="123"/>
      <c r="C106" s="123" t="str">
        <f>IFERROR(_xlfn.XLOOKUP(Taxaties!$A106,Table3[Sub],Table3[Verzekerde interest]),"-")</f>
        <v>-</v>
      </c>
      <c r="D106" s="123"/>
      <c r="E106" s="124"/>
      <c r="F106" s="123"/>
      <c r="G106" s="125"/>
    </row>
    <row r="107" spans="1:7" x14ac:dyDescent="0.3">
      <c r="A107" s="116"/>
      <c r="B107" s="118"/>
      <c r="C107" s="118" t="str">
        <f>IFERROR(_xlfn.XLOOKUP(Taxaties!$A107,Table3[Sub],Table3[Verzekerde interest]),"-")</f>
        <v>-</v>
      </c>
      <c r="D107" s="118"/>
      <c r="E107" s="119"/>
      <c r="F107" s="118"/>
      <c r="G107" s="120"/>
    </row>
    <row r="108" spans="1:7" x14ac:dyDescent="0.3">
      <c r="A108" s="121"/>
      <c r="B108" s="123"/>
      <c r="C108" s="123" t="str">
        <f>IFERROR(_xlfn.XLOOKUP(Taxaties!$A108,Table3[Sub],Table3[Verzekerde interest]),"-")</f>
        <v>-</v>
      </c>
      <c r="D108" s="123"/>
      <c r="E108" s="124"/>
      <c r="F108" s="123"/>
      <c r="G108" s="125"/>
    </row>
    <row r="109" spans="1:7" x14ac:dyDescent="0.3">
      <c r="A109" s="116"/>
      <c r="B109" s="118"/>
      <c r="C109" s="118" t="str">
        <f>IFERROR(_xlfn.XLOOKUP(Taxaties!$A109,Table3[Sub],Table3[Verzekerde interest]),"-")</f>
        <v>-</v>
      </c>
      <c r="D109" s="118"/>
      <c r="E109" s="119"/>
      <c r="F109" s="118"/>
      <c r="G109" s="120"/>
    </row>
    <row r="110" spans="1:7" x14ac:dyDescent="0.3">
      <c r="A110" s="121"/>
      <c r="B110" s="123"/>
      <c r="C110" s="123" t="str">
        <f>IFERROR(_xlfn.XLOOKUP(Taxaties!$A110,Table3[Sub],Table3[Verzekerde interest]),"-")</f>
        <v>-</v>
      </c>
      <c r="D110" s="123"/>
      <c r="E110" s="124"/>
      <c r="F110" s="123"/>
      <c r="G110" s="125"/>
    </row>
    <row r="111" spans="1:7" x14ac:dyDescent="0.3">
      <c r="A111" s="116"/>
      <c r="B111" s="118"/>
      <c r="C111" s="118" t="str">
        <f>IFERROR(_xlfn.XLOOKUP(Taxaties!$A111,Table3[Sub],Table3[Verzekerde interest]),"-")</f>
        <v>-</v>
      </c>
      <c r="D111" s="118"/>
      <c r="E111" s="119"/>
      <c r="F111" s="118"/>
      <c r="G111" s="120"/>
    </row>
    <row r="112" spans="1:7" x14ac:dyDescent="0.3">
      <c r="A112" s="121"/>
      <c r="B112" s="123"/>
      <c r="C112" s="123" t="str">
        <f>IFERROR(_xlfn.XLOOKUP(Taxaties!$A112,Table3[Sub],Table3[Verzekerde interest]),"-")</f>
        <v>-</v>
      </c>
      <c r="D112" s="123"/>
      <c r="E112" s="124"/>
      <c r="F112" s="123"/>
      <c r="G112" s="125"/>
    </row>
    <row r="113" spans="1:7" x14ac:dyDescent="0.3">
      <c r="A113" s="116"/>
      <c r="B113" s="118"/>
      <c r="C113" s="118" t="str">
        <f>IFERROR(_xlfn.XLOOKUP(Taxaties!$A113,Table3[Sub],Table3[Verzekerde interest]),"-")</f>
        <v>-</v>
      </c>
      <c r="D113" s="118"/>
      <c r="E113" s="119"/>
      <c r="F113" s="118"/>
      <c r="G113" s="120"/>
    </row>
    <row r="114" spans="1:7" x14ac:dyDescent="0.3">
      <c r="A114" s="121"/>
      <c r="B114" s="123"/>
      <c r="C114" s="123" t="str">
        <f>IFERROR(_xlfn.XLOOKUP(Taxaties!$A114,Table3[Sub],Table3[Verzekerde interest]),"-")</f>
        <v>-</v>
      </c>
      <c r="D114" s="123"/>
      <c r="E114" s="124"/>
      <c r="F114" s="123"/>
      <c r="G114" s="125"/>
    </row>
    <row r="115" spans="1:7" x14ac:dyDescent="0.3">
      <c r="A115" s="116"/>
      <c r="B115" s="118"/>
      <c r="C115" s="118" t="str">
        <f>IFERROR(_xlfn.XLOOKUP(Taxaties!$A115,Table3[Sub],Table3[Verzekerde interest]),"-")</f>
        <v>-</v>
      </c>
      <c r="D115" s="118"/>
      <c r="E115" s="119"/>
      <c r="F115" s="118"/>
      <c r="G115" s="120"/>
    </row>
    <row r="116" spans="1:7" x14ac:dyDescent="0.3">
      <c r="A116" s="121"/>
      <c r="B116" s="123"/>
      <c r="C116" s="123" t="str">
        <f>IFERROR(_xlfn.XLOOKUP(Taxaties!$A116,Table3[Sub],Table3[Verzekerde interest]),"-")</f>
        <v>-</v>
      </c>
      <c r="D116" s="123"/>
      <c r="E116" s="124"/>
      <c r="F116" s="123"/>
      <c r="G116" s="125"/>
    </row>
    <row r="117" spans="1:7" x14ac:dyDescent="0.3">
      <c r="A117" s="116"/>
      <c r="B117" s="118"/>
      <c r="C117" s="118" t="str">
        <f>IFERROR(_xlfn.XLOOKUP(Taxaties!$A117,Table3[Sub],Table3[Verzekerde interest]),"-")</f>
        <v>-</v>
      </c>
      <c r="D117" s="118"/>
      <c r="E117" s="119"/>
      <c r="F117" s="118"/>
      <c r="G117" s="120"/>
    </row>
    <row r="118" spans="1:7" x14ac:dyDescent="0.3">
      <c r="A118" s="121"/>
      <c r="B118" s="123"/>
      <c r="C118" s="123" t="str">
        <f>IFERROR(_xlfn.XLOOKUP(Taxaties!$A118,Table3[Sub],Table3[Verzekerde interest]),"-")</f>
        <v>-</v>
      </c>
      <c r="D118" s="123"/>
      <c r="E118" s="124"/>
      <c r="F118" s="123"/>
      <c r="G118" s="125"/>
    </row>
    <row r="119" spans="1:7" x14ac:dyDescent="0.3">
      <c r="A119" s="116"/>
      <c r="B119" s="118"/>
      <c r="C119" s="118" t="str">
        <f>IFERROR(_xlfn.XLOOKUP(Taxaties!$A119,Table3[Sub],Table3[Verzekerde interest]),"-")</f>
        <v>-</v>
      </c>
      <c r="D119" s="118"/>
      <c r="E119" s="119"/>
      <c r="F119" s="118"/>
      <c r="G119" s="120"/>
    </row>
    <row r="120" spans="1:7" x14ac:dyDescent="0.3">
      <c r="A120" s="121"/>
      <c r="B120" s="123"/>
      <c r="C120" s="123" t="str">
        <f>IFERROR(_xlfn.XLOOKUP(Taxaties!$A120,Table3[Sub],Table3[Verzekerde interest]),"-")</f>
        <v>-</v>
      </c>
      <c r="D120" s="123"/>
      <c r="E120" s="124"/>
      <c r="F120" s="123"/>
      <c r="G120" s="125"/>
    </row>
    <row r="121" spans="1:7" x14ac:dyDescent="0.3">
      <c r="A121" s="116"/>
      <c r="B121" s="118"/>
      <c r="C121" s="118" t="str">
        <f>IFERROR(_xlfn.XLOOKUP(Taxaties!$A121,Table3[Sub],Table3[Verzekerde interest]),"-")</f>
        <v>-</v>
      </c>
      <c r="D121" s="118"/>
      <c r="E121" s="119"/>
      <c r="F121" s="118"/>
      <c r="G121" s="120"/>
    </row>
    <row r="122" spans="1:7" x14ac:dyDescent="0.3">
      <c r="A122" s="121"/>
      <c r="B122" s="123"/>
      <c r="C122" s="123" t="str">
        <f>IFERROR(_xlfn.XLOOKUP(Taxaties!$A122,Table3[Sub],Table3[Verzekerde interest]),"-")</f>
        <v>-</v>
      </c>
      <c r="D122" s="123"/>
      <c r="E122" s="124"/>
      <c r="F122" s="123"/>
      <c r="G122" s="125"/>
    </row>
    <row r="123" spans="1:7" x14ac:dyDescent="0.3">
      <c r="A123" s="116"/>
      <c r="B123" s="118"/>
      <c r="C123" s="118" t="str">
        <f>IFERROR(_xlfn.XLOOKUP(Taxaties!$A123,Table3[Sub],Table3[Verzekerde interest]),"-")</f>
        <v>-</v>
      </c>
      <c r="D123" s="118"/>
      <c r="E123" s="119"/>
      <c r="F123" s="118"/>
      <c r="G123" s="120"/>
    </row>
    <row r="124" spans="1:7" x14ac:dyDescent="0.3">
      <c r="A124" s="121"/>
      <c r="B124" s="123"/>
      <c r="C124" s="123" t="str">
        <f>IFERROR(_xlfn.XLOOKUP(Taxaties!$A124,Table3[Sub],Table3[Verzekerde interest]),"-")</f>
        <v>-</v>
      </c>
      <c r="D124" s="123"/>
      <c r="E124" s="124"/>
      <c r="F124" s="123"/>
      <c r="G124" s="125"/>
    </row>
    <row r="125" spans="1:7" x14ac:dyDescent="0.3">
      <c r="A125" s="116"/>
      <c r="B125" s="118"/>
      <c r="C125" s="118" t="str">
        <f>IFERROR(_xlfn.XLOOKUP(Taxaties!$A125,Table3[Sub],Table3[Verzekerde interest]),"-")</f>
        <v>-</v>
      </c>
      <c r="D125" s="118"/>
      <c r="E125" s="119"/>
      <c r="F125" s="118"/>
      <c r="G125" s="120"/>
    </row>
    <row r="126" spans="1:7" x14ac:dyDescent="0.3">
      <c r="A126" s="121"/>
      <c r="B126" s="123"/>
      <c r="C126" s="123" t="str">
        <f>IFERROR(_xlfn.XLOOKUP(Taxaties!$A126,Table3[Sub],Table3[Verzekerde interest]),"-")</f>
        <v>-</v>
      </c>
      <c r="D126" s="123"/>
      <c r="E126" s="124"/>
      <c r="F126" s="123"/>
      <c r="G126" s="125"/>
    </row>
    <row r="127" spans="1:7" x14ac:dyDescent="0.3">
      <c r="A127" s="116"/>
      <c r="B127" s="118"/>
      <c r="C127" s="118" t="str">
        <f>IFERROR(_xlfn.XLOOKUP(Taxaties!$A127,Table3[Sub],Table3[Verzekerde interest]),"-")</f>
        <v>-</v>
      </c>
      <c r="D127" s="118"/>
      <c r="E127" s="119"/>
      <c r="F127" s="118"/>
      <c r="G127" s="120"/>
    </row>
    <row r="128" spans="1:7" x14ac:dyDescent="0.3">
      <c r="A128" s="121"/>
      <c r="B128" s="123"/>
      <c r="C128" s="123" t="str">
        <f>IFERROR(_xlfn.XLOOKUP(Taxaties!$A128,Table3[Sub],Table3[Verzekerde interest]),"-")</f>
        <v>-</v>
      </c>
      <c r="D128" s="123"/>
      <c r="E128" s="124"/>
      <c r="F128" s="123"/>
      <c r="G128" s="125"/>
    </row>
    <row r="129" spans="1:7" x14ac:dyDescent="0.3">
      <c r="A129" s="116"/>
      <c r="B129" s="118"/>
      <c r="C129" s="118" t="str">
        <f>IFERROR(_xlfn.XLOOKUP(Taxaties!$A129,Table3[Sub],Table3[Verzekerde interest]),"-")</f>
        <v>-</v>
      </c>
      <c r="D129" s="118"/>
      <c r="E129" s="119"/>
      <c r="F129" s="118"/>
      <c r="G129" s="120"/>
    </row>
    <row r="130" spans="1:7" x14ac:dyDescent="0.3">
      <c r="A130" s="121"/>
      <c r="B130" s="123"/>
      <c r="C130" s="123" t="str">
        <f>IFERROR(_xlfn.XLOOKUP(Taxaties!$A130,Table3[Sub],Table3[Verzekerde interest]),"-")</f>
        <v>-</v>
      </c>
      <c r="D130" s="123"/>
      <c r="E130" s="124"/>
      <c r="F130" s="123"/>
      <c r="G130" s="125"/>
    </row>
    <row r="131" spans="1:7" x14ac:dyDescent="0.3">
      <c r="A131" s="116"/>
      <c r="B131" s="118"/>
      <c r="C131" s="118" t="str">
        <f>IFERROR(_xlfn.XLOOKUP(Taxaties!$A131,Table3[Sub],Table3[Verzekerde interest]),"-")</f>
        <v>-</v>
      </c>
      <c r="D131" s="118"/>
      <c r="E131" s="119"/>
      <c r="F131" s="118"/>
      <c r="G131" s="120"/>
    </row>
    <row r="132" spans="1:7" x14ac:dyDescent="0.3">
      <c r="A132" s="121"/>
      <c r="B132" s="123"/>
      <c r="C132" s="123" t="str">
        <f>IFERROR(_xlfn.XLOOKUP(Taxaties!$A132,Table3[Sub],Table3[Verzekerde interest]),"-")</f>
        <v>-</v>
      </c>
      <c r="D132" s="123"/>
      <c r="E132" s="124"/>
      <c r="F132" s="123"/>
      <c r="G132" s="125"/>
    </row>
    <row r="133" spans="1:7" x14ac:dyDescent="0.3">
      <c r="A133" s="116"/>
      <c r="B133" s="118"/>
      <c r="C133" s="118" t="str">
        <f>IFERROR(_xlfn.XLOOKUP(Taxaties!$A133,Table3[Sub],Table3[Verzekerde interest]),"-")</f>
        <v>-</v>
      </c>
      <c r="D133" s="118"/>
      <c r="E133" s="119"/>
      <c r="F133" s="118"/>
      <c r="G133" s="120"/>
    </row>
    <row r="134" spans="1:7" x14ac:dyDescent="0.3">
      <c r="A134" s="121"/>
      <c r="B134" s="123"/>
      <c r="C134" s="123" t="str">
        <f>IFERROR(_xlfn.XLOOKUP(Taxaties!$A134,Table3[Sub],Table3[Verzekerde interest]),"-")</f>
        <v>-</v>
      </c>
      <c r="D134" s="123"/>
      <c r="E134" s="124"/>
      <c r="F134" s="123"/>
      <c r="G134" s="125"/>
    </row>
    <row r="135" spans="1:7" x14ac:dyDescent="0.3">
      <c r="A135" s="116"/>
      <c r="B135" s="118"/>
      <c r="C135" s="118" t="str">
        <f>IFERROR(_xlfn.XLOOKUP(Taxaties!$A135,Table3[Sub],Table3[Verzekerde interest]),"-")</f>
        <v>-</v>
      </c>
      <c r="D135" s="118"/>
      <c r="E135" s="119"/>
      <c r="F135" s="118"/>
      <c r="G135" s="120"/>
    </row>
    <row r="136" spans="1:7" x14ac:dyDescent="0.3">
      <c r="A136" s="121"/>
      <c r="B136" s="123"/>
      <c r="C136" s="123" t="str">
        <f>IFERROR(_xlfn.XLOOKUP(Taxaties!$A136,Table3[Sub],Table3[Verzekerde interest]),"-")</f>
        <v>-</v>
      </c>
      <c r="D136" s="123"/>
      <c r="E136" s="124"/>
      <c r="F136" s="123"/>
      <c r="G136" s="125"/>
    </row>
    <row r="137" spans="1:7" x14ac:dyDescent="0.3">
      <c r="A137" s="116"/>
      <c r="B137" s="118"/>
      <c r="C137" s="118" t="str">
        <f>IFERROR(_xlfn.XLOOKUP(Taxaties!$A137,Table3[Sub],Table3[Verzekerde interest]),"-")</f>
        <v>-</v>
      </c>
      <c r="D137" s="118"/>
      <c r="E137" s="119"/>
      <c r="F137" s="118"/>
      <c r="G137" s="120"/>
    </row>
    <row r="138" spans="1:7" x14ac:dyDescent="0.3">
      <c r="A138" s="121"/>
      <c r="B138" s="123"/>
      <c r="C138" s="123" t="str">
        <f>IFERROR(_xlfn.XLOOKUP(Taxaties!$A138,Table3[Sub],Table3[Verzekerde interest]),"-")</f>
        <v>-</v>
      </c>
      <c r="D138" s="123"/>
      <c r="E138" s="124"/>
      <c r="F138" s="123"/>
      <c r="G138" s="125"/>
    </row>
    <row r="139" spans="1:7" x14ac:dyDescent="0.3">
      <c r="A139" s="116"/>
      <c r="B139" s="118"/>
      <c r="C139" s="118" t="str">
        <f>IFERROR(_xlfn.XLOOKUP(Taxaties!$A139,Table3[Sub],Table3[Verzekerde interest]),"-")</f>
        <v>-</v>
      </c>
      <c r="D139" s="118"/>
      <c r="E139" s="119"/>
      <c r="F139" s="118"/>
      <c r="G139" s="120"/>
    </row>
    <row r="140" spans="1:7" x14ac:dyDescent="0.3">
      <c r="A140" s="121"/>
      <c r="B140" s="123"/>
      <c r="C140" s="123" t="str">
        <f>IFERROR(_xlfn.XLOOKUP(Taxaties!$A140,Table3[Sub],Table3[Verzekerde interest]),"-")</f>
        <v>-</v>
      </c>
      <c r="D140" s="123"/>
      <c r="E140" s="124"/>
      <c r="F140" s="123"/>
      <c r="G140" s="125"/>
    </row>
    <row r="141" spans="1:7" x14ac:dyDescent="0.3">
      <c r="A141" s="116"/>
      <c r="B141" s="118"/>
      <c r="C141" s="118" t="str">
        <f>IFERROR(_xlfn.XLOOKUP(Taxaties!$A141,Table3[Sub],Table3[Verzekerde interest]),"-")</f>
        <v>-</v>
      </c>
      <c r="D141" s="118"/>
      <c r="E141" s="119"/>
      <c r="F141" s="118"/>
      <c r="G141" s="120"/>
    </row>
    <row r="142" spans="1:7" x14ac:dyDescent="0.3">
      <c r="A142" s="121"/>
      <c r="B142" s="123"/>
      <c r="C142" s="123" t="str">
        <f>IFERROR(_xlfn.XLOOKUP(Taxaties!$A142,Table3[Sub],Table3[Verzekerde interest]),"-")</f>
        <v>-</v>
      </c>
      <c r="D142" s="123"/>
      <c r="E142" s="124"/>
      <c r="F142" s="123"/>
      <c r="G142" s="125"/>
    </row>
    <row r="143" spans="1:7" x14ac:dyDescent="0.3">
      <c r="A143" s="116"/>
      <c r="B143" s="118"/>
      <c r="C143" s="118" t="str">
        <f>IFERROR(_xlfn.XLOOKUP(Taxaties!$A143,Table3[Sub],Table3[Verzekerde interest]),"-")</f>
        <v>-</v>
      </c>
      <c r="D143" s="118"/>
      <c r="E143" s="119"/>
      <c r="F143" s="118"/>
      <c r="G143" s="120"/>
    </row>
    <row r="144" spans="1:7" x14ac:dyDescent="0.3">
      <c r="A144" s="121"/>
      <c r="B144" s="123"/>
      <c r="C144" s="123" t="str">
        <f>IFERROR(_xlfn.XLOOKUP(Taxaties!$A144,Table3[Sub],Table3[Verzekerde interest]),"-")</f>
        <v>-</v>
      </c>
      <c r="D144" s="123"/>
      <c r="E144" s="124"/>
      <c r="F144" s="123"/>
      <c r="G144" s="125"/>
    </row>
    <row r="145" spans="1:7" x14ac:dyDescent="0.3">
      <c r="A145" s="116"/>
      <c r="B145" s="118"/>
      <c r="C145" s="118" t="str">
        <f>IFERROR(_xlfn.XLOOKUP(Taxaties!$A145,Table3[Sub],Table3[Verzekerde interest]),"-")</f>
        <v>-</v>
      </c>
      <c r="D145" s="118"/>
      <c r="E145" s="119"/>
      <c r="F145" s="118"/>
      <c r="G145" s="120"/>
    </row>
    <row r="146" spans="1:7" x14ac:dyDescent="0.3">
      <c r="A146" s="121"/>
      <c r="B146" s="123"/>
      <c r="C146" s="123" t="str">
        <f>IFERROR(_xlfn.XLOOKUP(Taxaties!$A146,Table3[Sub],Table3[Verzekerde interest]),"-")</f>
        <v>-</v>
      </c>
      <c r="D146" s="123"/>
      <c r="E146" s="124"/>
      <c r="F146" s="123"/>
      <c r="G146" s="125"/>
    </row>
    <row r="147" spans="1:7" x14ac:dyDescent="0.3">
      <c r="A147" s="116"/>
      <c r="B147" s="118"/>
      <c r="C147" s="118" t="str">
        <f>IFERROR(_xlfn.XLOOKUP(Taxaties!$A147,Table3[Sub],Table3[Verzekerde interest]),"-")</f>
        <v>-</v>
      </c>
      <c r="D147" s="118"/>
      <c r="E147" s="119"/>
      <c r="F147" s="118"/>
      <c r="G147" s="120"/>
    </row>
    <row r="148" spans="1:7" x14ac:dyDescent="0.3">
      <c r="A148" s="121"/>
      <c r="B148" s="123"/>
      <c r="C148" s="123" t="str">
        <f>IFERROR(_xlfn.XLOOKUP(Taxaties!$A148,Table3[Sub],Table3[Verzekerde interest]),"-")</f>
        <v>-</v>
      </c>
      <c r="D148" s="123"/>
      <c r="E148" s="124"/>
      <c r="F148" s="123"/>
      <c r="G148" s="125"/>
    </row>
    <row r="149" spans="1:7" x14ac:dyDescent="0.3">
      <c r="A149" s="116"/>
      <c r="B149" s="118"/>
      <c r="C149" s="118" t="str">
        <f>IFERROR(_xlfn.XLOOKUP(Taxaties!$A149,Table3[Sub],Table3[Verzekerde interest]),"-")</f>
        <v>-</v>
      </c>
      <c r="D149" s="118"/>
      <c r="E149" s="119"/>
      <c r="F149" s="118"/>
      <c r="G149" s="120"/>
    </row>
    <row r="150" spans="1:7" x14ac:dyDescent="0.3">
      <c r="A150" s="121"/>
      <c r="B150" s="123"/>
      <c r="C150" s="123" t="str">
        <f>IFERROR(_xlfn.XLOOKUP(Taxaties!$A150,Table3[Sub],Table3[Verzekerde interest]),"-")</f>
        <v>-</v>
      </c>
      <c r="D150" s="123"/>
      <c r="E150" s="124"/>
      <c r="F150" s="123"/>
      <c r="G150" s="125"/>
    </row>
    <row r="151" spans="1:7" x14ac:dyDescent="0.3">
      <c r="A151" s="116"/>
      <c r="B151" s="118"/>
      <c r="C151" s="118" t="str">
        <f>IFERROR(_xlfn.XLOOKUP(Taxaties!$A151,Table3[Sub],Table3[Verzekerde interest]),"-")</f>
        <v>-</v>
      </c>
      <c r="D151" s="118"/>
      <c r="E151" s="119"/>
      <c r="F151" s="118"/>
      <c r="G151" s="120"/>
    </row>
    <row r="152" spans="1:7" x14ac:dyDescent="0.3">
      <c r="A152" s="121"/>
      <c r="B152" s="123"/>
      <c r="C152" s="123" t="str">
        <f>IFERROR(_xlfn.XLOOKUP(Taxaties!$A152,Table3[Sub],Table3[Verzekerde interest]),"-")</f>
        <v>-</v>
      </c>
      <c r="D152" s="123"/>
      <c r="E152" s="124"/>
      <c r="F152" s="123"/>
      <c r="G152" s="125"/>
    </row>
    <row r="153" spans="1:7" x14ac:dyDescent="0.3">
      <c r="A153" s="116"/>
      <c r="B153" s="118"/>
      <c r="C153" s="118" t="str">
        <f>IFERROR(_xlfn.XLOOKUP(Taxaties!$A153,Table3[Sub],Table3[Verzekerde interest]),"-")</f>
        <v>-</v>
      </c>
      <c r="D153" s="118"/>
      <c r="E153" s="119"/>
      <c r="F153" s="118"/>
      <c r="G153" s="120"/>
    </row>
    <row r="154" spans="1:7" x14ac:dyDescent="0.3">
      <c r="A154" s="121"/>
      <c r="B154" s="123"/>
      <c r="C154" s="123" t="str">
        <f>IFERROR(_xlfn.XLOOKUP(Taxaties!$A154,Table3[Sub],Table3[Verzekerde interest]),"-")</f>
        <v>-</v>
      </c>
      <c r="D154" s="123"/>
      <c r="E154" s="124"/>
      <c r="F154" s="123"/>
      <c r="G154" s="125"/>
    </row>
    <row r="155" spans="1:7" x14ac:dyDescent="0.3">
      <c r="A155" s="116"/>
      <c r="B155" s="118"/>
      <c r="C155" s="118" t="str">
        <f>IFERROR(_xlfn.XLOOKUP(Taxaties!$A155,Table3[Sub],Table3[Verzekerde interest]),"-")</f>
        <v>-</v>
      </c>
      <c r="D155" s="118"/>
      <c r="E155" s="119"/>
      <c r="F155" s="118"/>
      <c r="G155" s="120"/>
    </row>
    <row r="156" spans="1:7" x14ac:dyDescent="0.3">
      <c r="A156" s="121"/>
      <c r="B156" s="123"/>
      <c r="C156" s="123" t="str">
        <f>IFERROR(_xlfn.XLOOKUP(Taxaties!$A156,Table3[Sub],Table3[Verzekerde interest]),"-")</f>
        <v>-</v>
      </c>
      <c r="D156" s="123"/>
      <c r="E156" s="124"/>
      <c r="F156" s="123"/>
      <c r="G156" s="125"/>
    </row>
    <row r="157" spans="1:7" x14ac:dyDescent="0.3">
      <c r="A157" s="116"/>
      <c r="B157" s="118"/>
      <c r="C157" s="118" t="str">
        <f>IFERROR(_xlfn.XLOOKUP(Taxaties!$A157,Table3[Sub],Table3[Verzekerde interest]),"-")</f>
        <v>-</v>
      </c>
      <c r="D157" s="118"/>
      <c r="E157" s="119"/>
      <c r="F157" s="118"/>
      <c r="G157" s="120"/>
    </row>
    <row r="158" spans="1:7" x14ac:dyDescent="0.3">
      <c r="A158" s="121"/>
      <c r="B158" s="123"/>
      <c r="C158" s="123" t="str">
        <f>IFERROR(_xlfn.XLOOKUP(Taxaties!$A158,Table3[Sub],Table3[Verzekerde interest]),"-")</f>
        <v>-</v>
      </c>
      <c r="D158" s="123"/>
      <c r="E158" s="124"/>
      <c r="F158" s="123"/>
      <c r="G158" s="125"/>
    </row>
    <row r="159" spans="1:7" x14ac:dyDescent="0.3">
      <c r="A159" s="116"/>
      <c r="B159" s="118"/>
      <c r="C159" s="118" t="str">
        <f>IFERROR(_xlfn.XLOOKUP(Taxaties!$A159,Table3[Sub],Table3[Verzekerde interest]),"-")</f>
        <v>-</v>
      </c>
      <c r="D159" s="118"/>
      <c r="E159" s="119"/>
      <c r="F159" s="118"/>
      <c r="G159" s="120"/>
    </row>
    <row r="160" spans="1:7" x14ac:dyDescent="0.3">
      <c r="A160" s="121"/>
      <c r="B160" s="123"/>
      <c r="C160" s="123" t="str">
        <f>IFERROR(_xlfn.XLOOKUP(Taxaties!$A160,Table3[Sub],Table3[Verzekerde interest]),"-")</f>
        <v>-</v>
      </c>
      <c r="D160" s="123"/>
      <c r="E160" s="124"/>
      <c r="F160" s="123"/>
      <c r="G160" s="125"/>
    </row>
    <row r="161" spans="1:7" x14ac:dyDescent="0.3">
      <c r="A161" s="116"/>
      <c r="B161" s="118"/>
      <c r="C161" s="118" t="str">
        <f>IFERROR(_xlfn.XLOOKUP(Taxaties!$A161,Table3[Sub],Table3[Verzekerde interest]),"-")</f>
        <v>-</v>
      </c>
      <c r="D161" s="118"/>
      <c r="E161" s="119"/>
      <c r="F161" s="118"/>
      <c r="G161" s="120"/>
    </row>
    <row r="162" spans="1:7" x14ac:dyDescent="0.3">
      <c r="A162" s="121"/>
      <c r="B162" s="123"/>
      <c r="C162" s="123" t="str">
        <f>IFERROR(_xlfn.XLOOKUP(Taxaties!$A162,Table3[Sub],Table3[Verzekerde interest]),"-")</f>
        <v>-</v>
      </c>
      <c r="D162" s="123"/>
      <c r="E162" s="124"/>
      <c r="F162" s="123"/>
      <c r="G162" s="125"/>
    </row>
    <row r="163" spans="1:7" x14ac:dyDescent="0.3">
      <c r="A163" s="116"/>
      <c r="B163" s="118"/>
      <c r="C163" s="118" t="str">
        <f>IFERROR(_xlfn.XLOOKUP(Taxaties!$A163,Table3[Sub],Table3[Verzekerde interest]),"-")</f>
        <v>-</v>
      </c>
      <c r="D163" s="118"/>
      <c r="E163" s="119"/>
      <c r="F163" s="118"/>
      <c r="G163" s="120"/>
    </row>
    <row r="164" spans="1:7" x14ac:dyDescent="0.3">
      <c r="A164" s="121"/>
      <c r="B164" s="123"/>
      <c r="C164" s="123" t="str">
        <f>IFERROR(_xlfn.XLOOKUP(Taxaties!$A164,Table3[Sub],Table3[Verzekerde interest]),"-")</f>
        <v>-</v>
      </c>
      <c r="D164" s="123"/>
      <c r="E164" s="124"/>
      <c r="F164" s="123"/>
      <c r="G164" s="125"/>
    </row>
    <row r="165" spans="1:7" x14ac:dyDescent="0.3">
      <c r="A165" s="116"/>
      <c r="B165" s="118"/>
      <c r="C165" s="118" t="str">
        <f>IFERROR(_xlfn.XLOOKUP(Taxaties!$A165,Table3[Sub],Table3[Verzekerde interest]),"-")</f>
        <v>-</v>
      </c>
      <c r="D165" s="118"/>
      <c r="E165" s="119"/>
      <c r="F165" s="118"/>
      <c r="G165" s="120"/>
    </row>
    <row r="166" spans="1:7" x14ac:dyDescent="0.3">
      <c r="A166" s="121"/>
      <c r="B166" s="123"/>
      <c r="C166" s="123" t="str">
        <f>IFERROR(_xlfn.XLOOKUP(Taxaties!$A166,Table3[Sub],Table3[Verzekerde interest]),"-")</f>
        <v>-</v>
      </c>
      <c r="D166" s="123"/>
      <c r="E166" s="124"/>
      <c r="F166" s="123"/>
      <c r="G166" s="125"/>
    </row>
    <row r="167" spans="1:7" x14ac:dyDescent="0.3">
      <c r="A167" s="116"/>
      <c r="B167" s="118"/>
      <c r="C167" s="118" t="str">
        <f>IFERROR(_xlfn.XLOOKUP(Taxaties!$A167,Table3[Sub],Table3[Verzekerde interest]),"-")</f>
        <v>-</v>
      </c>
      <c r="D167" s="118"/>
      <c r="E167" s="119"/>
      <c r="F167" s="118"/>
      <c r="G167" s="120"/>
    </row>
    <row r="168" spans="1:7" x14ac:dyDescent="0.3">
      <c r="A168" s="121"/>
      <c r="B168" s="123"/>
      <c r="C168" s="123" t="str">
        <f>IFERROR(_xlfn.XLOOKUP(Taxaties!$A168,Table3[Sub],Table3[Verzekerde interest]),"-")</f>
        <v>-</v>
      </c>
      <c r="D168" s="123"/>
      <c r="E168" s="124"/>
      <c r="F168" s="123"/>
      <c r="G168" s="125"/>
    </row>
    <row r="169" spans="1:7" x14ac:dyDescent="0.3">
      <c r="A169" s="116"/>
      <c r="B169" s="118"/>
      <c r="C169" s="118" t="str">
        <f>IFERROR(_xlfn.XLOOKUP(Taxaties!$A169,Table3[Sub],Table3[Verzekerde interest]),"-")</f>
        <v>-</v>
      </c>
      <c r="D169" s="118"/>
      <c r="E169" s="119"/>
      <c r="F169" s="118"/>
      <c r="G169" s="120"/>
    </row>
    <row r="170" spans="1:7" x14ac:dyDescent="0.3">
      <c r="A170" s="121"/>
      <c r="B170" s="123"/>
      <c r="C170" s="123" t="str">
        <f>IFERROR(_xlfn.XLOOKUP(Taxaties!$A170,Table3[Sub],Table3[Verzekerde interest]),"-")</f>
        <v>-</v>
      </c>
      <c r="D170" s="123"/>
      <c r="E170" s="124"/>
      <c r="F170" s="123"/>
      <c r="G170" s="125"/>
    </row>
    <row r="171" spans="1:7" x14ac:dyDescent="0.3">
      <c r="A171" s="116"/>
      <c r="B171" s="118"/>
      <c r="C171" s="118" t="str">
        <f>IFERROR(_xlfn.XLOOKUP(Taxaties!$A171,Table3[Sub],Table3[Verzekerde interest]),"-")</f>
        <v>-</v>
      </c>
      <c r="D171" s="118"/>
      <c r="E171" s="119"/>
      <c r="F171" s="118"/>
      <c r="G171" s="120"/>
    </row>
    <row r="172" spans="1:7" x14ac:dyDescent="0.3">
      <c r="A172" s="121"/>
      <c r="B172" s="123"/>
      <c r="C172" s="123" t="str">
        <f>IFERROR(_xlfn.XLOOKUP(Taxaties!$A172,Table3[Sub],Table3[Verzekerde interest]),"-")</f>
        <v>-</v>
      </c>
      <c r="D172" s="123"/>
      <c r="E172" s="124"/>
      <c r="F172" s="123"/>
      <c r="G172" s="125"/>
    </row>
    <row r="173" spans="1:7" x14ac:dyDescent="0.3">
      <c r="A173" s="116"/>
      <c r="B173" s="118"/>
      <c r="C173" s="118" t="str">
        <f>IFERROR(_xlfn.XLOOKUP(Taxaties!$A173,Table3[Sub],Table3[Verzekerde interest]),"-")</f>
        <v>-</v>
      </c>
      <c r="D173" s="118"/>
      <c r="E173" s="119"/>
      <c r="F173" s="118"/>
      <c r="G173" s="120"/>
    </row>
    <row r="174" spans="1:7" x14ac:dyDescent="0.3">
      <c r="A174" s="121"/>
      <c r="B174" s="123"/>
      <c r="C174" s="123" t="str">
        <f>IFERROR(_xlfn.XLOOKUP(Taxaties!$A174,Table3[Sub],Table3[Verzekerde interest]),"-")</f>
        <v>-</v>
      </c>
      <c r="D174" s="123"/>
      <c r="E174" s="124"/>
      <c r="F174" s="123"/>
      <c r="G174" s="125"/>
    </row>
    <row r="175" spans="1:7" x14ac:dyDescent="0.3">
      <c r="A175" s="116"/>
      <c r="B175" s="118"/>
      <c r="C175" s="118" t="str">
        <f>IFERROR(_xlfn.XLOOKUP(Taxaties!$A175,Table3[Sub],Table3[Verzekerde interest]),"-")</f>
        <v>-</v>
      </c>
      <c r="D175" s="118"/>
      <c r="E175" s="119"/>
      <c r="F175" s="118"/>
      <c r="G175" s="120"/>
    </row>
    <row r="176" spans="1:7" x14ac:dyDescent="0.3">
      <c r="A176" s="121"/>
      <c r="B176" s="123"/>
      <c r="C176" s="123" t="str">
        <f>IFERROR(_xlfn.XLOOKUP(Taxaties!$A176,Table3[Sub],Table3[Verzekerde interest]),"-")</f>
        <v>-</v>
      </c>
      <c r="D176" s="123"/>
      <c r="E176" s="124"/>
      <c r="F176" s="123"/>
      <c r="G176" s="125"/>
    </row>
    <row r="177" spans="1:7" x14ac:dyDescent="0.3">
      <c r="A177" s="116"/>
      <c r="B177" s="118"/>
      <c r="C177" s="118" t="str">
        <f>IFERROR(_xlfn.XLOOKUP(Taxaties!$A177,Table3[Sub],Table3[Verzekerde interest]),"-")</f>
        <v>-</v>
      </c>
      <c r="D177" s="118"/>
      <c r="E177" s="119"/>
      <c r="F177" s="118"/>
      <c r="G177" s="120"/>
    </row>
    <row r="178" spans="1:7" x14ac:dyDescent="0.3">
      <c r="A178" s="121"/>
      <c r="B178" s="123"/>
      <c r="C178" s="123" t="str">
        <f>IFERROR(_xlfn.XLOOKUP(Taxaties!$A178,Table3[Sub],Table3[Verzekerde interest]),"-")</f>
        <v>-</v>
      </c>
      <c r="D178" s="123"/>
      <c r="E178" s="124"/>
      <c r="F178" s="123"/>
      <c r="G178" s="125"/>
    </row>
    <row r="179" spans="1:7" x14ac:dyDescent="0.3">
      <c r="A179" s="116"/>
      <c r="B179" s="118"/>
      <c r="C179" s="118" t="str">
        <f>IFERROR(_xlfn.XLOOKUP(Taxaties!$A179,Table3[Sub],Table3[Verzekerde interest]),"-")</f>
        <v>-</v>
      </c>
      <c r="D179" s="118"/>
      <c r="E179" s="119"/>
      <c r="F179" s="118"/>
      <c r="G179" s="120"/>
    </row>
    <row r="180" spans="1:7" x14ac:dyDescent="0.3">
      <c r="A180" s="121"/>
      <c r="B180" s="123"/>
      <c r="C180" s="123" t="str">
        <f>IFERROR(_xlfn.XLOOKUP(Taxaties!$A180,Table3[Sub],Table3[Verzekerde interest]),"-")</f>
        <v>-</v>
      </c>
      <c r="D180" s="123"/>
      <c r="E180" s="124"/>
      <c r="F180" s="123"/>
      <c r="G180" s="125"/>
    </row>
    <row r="181" spans="1:7" x14ac:dyDescent="0.3">
      <c r="A181" s="116"/>
      <c r="B181" s="118"/>
      <c r="C181" s="118" t="str">
        <f>IFERROR(_xlfn.XLOOKUP(Taxaties!$A181,Table3[Sub],Table3[Verzekerde interest]),"-")</f>
        <v>-</v>
      </c>
      <c r="D181" s="118"/>
      <c r="E181" s="119"/>
      <c r="F181" s="118"/>
      <c r="G181" s="120"/>
    </row>
    <row r="182" spans="1:7" x14ac:dyDescent="0.3">
      <c r="A182" s="121"/>
      <c r="B182" s="123"/>
      <c r="C182" s="123" t="str">
        <f>IFERROR(_xlfn.XLOOKUP(Taxaties!$A182,Table3[Sub],Table3[Verzekerde interest]),"-")</f>
        <v>-</v>
      </c>
      <c r="D182" s="123"/>
      <c r="E182" s="124"/>
      <c r="F182" s="123"/>
      <c r="G182" s="125"/>
    </row>
    <row r="183" spans="1:7" x14ac:dyDescent="0.3">
      <c r="A183" s="116"/>
      <c r="B183" s="118"/>
      <c r="C183" s="118" t="str">
        <f>IFERROR(_xlfn.XLOOKUP(Taxaties!$A183,Table3[Sub],Table3[Verzekerde interest]),"-")</f>
        <v>-</v>
      </c>
      <c r="D183" s="118"/>
      <c r="E183" s="119"/>
      <c r="F183" s="118"/>
      <c r="G183" s="120"/>
    </row>
    <row r="184" spans="1:7" x14ac:dyDescent="0.3">
      <c r="A184" s="121"/>
      <c r="B184" s="123"/>
      <c r="C184" s="123" t="str">
        <f>IFERROR(_xlfn.XLOOKUP(Taxaties!$A184,Table3[Sub],Table3[Verzekerde interest]),"-")</f>
        <v>-</v>
      </c>
      <c r="D184" s="123"/>
      <c r="E184" s="124"/>
      <c r="F184" s="123"/>
      <c r="G184" s="125"/>
    </row>
    <row r="185" spans="1:7" x14ac:dyDescent="0.3">
      <c r="A185" s="116"/>
      <c r="B185" s="118"/>
      <c r="C185" s="118" t="str">
        <f>IFERROR(_xlfn.XLOOKUP(Taxaties!$A185,Table3[Sub],Table3[Verzekerde interest]),"-")</f>
        <v>-</v>
      </c>
      <c r="D185" s="118"/>
      <c r="E185" s="119"/>
      <c r="F185" s="118"/>
      <c r="G185" s="120"/>
    </row>
    <row r="186" spans="1:7" x14ac:dyDescent="0.3">
      <c r="A186" s="121"/>
      <c r="B186" s="123"/>
      <c r="C186" s="123" t="str">
        <f>IFERROR(_xlfn.XLOOKUP(Taxaties!$A186,Table3[Sub],Table3[Verzekerde interest]),"-")</f>
        <v>-</v>
      </c>
      <c r="D186" s="123"/>
      <c r="E186" s="124"/>
      <c r="F186" s="123"/>
      <c r="G186" s="125"/>
    </row>
    <row r="187" spans="1:7" x14ac:dyDescent="0.3">
      <c r="A187" s="116"/>
      <c r="B187" s="118"/>
      <c r="C187" s="118" t="str">
        <f>IFERROR(_xlfn.XLOOKUP(Taxaties!$A187,Table3[Sub],Table3[Verzekerde interest]),"-")</f>
        <v>-</v>
      </c>
      <c r="D187" s="118"/>
      <c r="E187" s="119"/>
      <c r="F187" s="118"/>
      <c r="G187" s="120"/>
    </row>
    <row r="188" spans="1:7" x14ac:dyDescent="0.3">
      <c r="A188" s="121"/>
      <c r="B188" s="123"/>
      <c r="C188" s="123" t="str">
        <f>IFERROR(_xlfn.XLOOKUP(Taxaties!$A188,Table3[Sub],Table3[Verzekerde interest]),"-")</f>
        <v>-</v>
      </c>
      <c r="D188" s="123"/>
      <c r="E188" s="124"/>
      <c r="F188" s="123"/>
      <c r="G188" s="125"/>
    </row>
    <row r="189" spans="1:7" x14ac:dyDescent="0.3">
      <c r="A189" s="116"/>
      <c r="B189" s="118"/>
      <c r="C189" s="118" t="str">
        <f>IFERROR(_xlfn.XLOOKUP(Taxaties!$A189,Table3[Sub],Table3[Verzekerde interest]),"-")</f>
        <v>-</v>
      </c>
      <c r="D189" s="118"/>
      <c r="E189" s="119"/>
      <c r="F189" s="118"/>
      <c r="G189" s="120"/>
    </row>
    <row r="190" spans="1:7" x14ac:dyDescent="0.3">
      <c r="A190" s="121"/>
      <c r="B190" s="123"/>
      <c r="C190" s="123" t="str">
        <f>IFERROR(_xlfn.XLOOKUP(Taxaties!$A190,Table3[Sub],Table3[Verzekerde interest]),"-")</f>
        <v>-</v>
      </c>
      <c r="D190" s="123"/>
      <c r="E190" s="124"/>
      <c r="F190" s="123"/>
      <c r="G190" s="125"/>
    </row>
    <row r="191" spans="1:7" x14ac:dyDescent="0.3">
      <c r="A191" s="116"/>
      <c r="B191" s="118"/>
      <c r="C191" s="118" t="str">
        <f>IFERROR(_xlfn.XLOOKUP(Taxaties!$A191,Table3[Sub],Table3[Verzekerde interest]),"-")</f>
        <v>-</v>
      </c>
      <c r="D191" s="118"/>
      <c r="E191" s="119"/>
      <c r="F191" s="118"/>
      <c r="G191" s="120"/>
    </row>
    <row r="192" spans="1:7" x14ac:dyDescent="0.3">
      <c r="A192" s="121"/>
      <c r="B192" s="123"/>
      <c r="C192" s="123" t="str">
        <f>IFERROR(_xlfn.XLOOKUP(Taxaties!$A192,Table3[Sub],Table3[Verzekerde interest]),"-")</f>
        <v>-</v>
      </c>
      <c r="D192" s="123"/>
      <c r="E192" s="124"/>
      <c r="F192" s="123"/>
      <c r="G192" s="125"/>
    </row>
    <row r="193" spans="1:7" x14ac:dyDescent="0.3">
      <c r="A193" s="116"/>
      <c r="B193" s="118"/>
      <c r="C193" s="118" t="str">
        <f>IFERROR(_xlfn.XLOOKUP(Taxaties!$A193,Table3[Sub],Table3[Verzekerde interest]),"-")</f>
        <v>-</v>
      </c>
      <c r="D193" s="118"/>
      <c r="E193" s="119"/>
      <c r="F193" s="118"/>
      <c r="G193" s="120"/>
    </row>
    <row r="194" spans="1:7" x14ac:dyDescent="0.3">
      <c r="A194" s="121"/>
      <c r="B194" s="123"/>
      <c r="C194" s="123" t="str">
        <f>IFERROR(_xlfn.XLOOKUP(Taxaties!$A194,Table3[Sub],Table3[Verzekerde interest]),"-")</f>
        <v>-</v>
      </c>
      <c r="D194" s="123"/>
      <c r="E194" s="124"/>
      <c r="F194" s="123"/>
      <c r="G194" s="125"/>
    </row>
    <row r="195" spans="1:7" x14ac:dyDescent="0.3">
      <c r="A195" s="116"/>
      <c r="B195" s="118"/>
      <c r="C195" s="118" t="str">
        <f>IFERROR(_xlfn.XLOOKUP(Taxaties!$A195,Table3[Sub],Table3[Verzekerde interest]),"-")</f>
        <v>-</v>
      </c>
      <c r="D195" s="118"/>
      <c r="E195" s="119"/>
      <c r="F195" s="118"/>
      <c r="G195" s="120"/>
    </row>
    <row r="196" spans="1:7" x14ac:dyDescent="0.3">
      <c r="A196" s="121"/>
      <c r="B196" s="123"/>
      <c r="C196" s="123" t="str">
        <f>IFERROR(_xlfn.XLOOKUP(Taxaties!$A196,Table3[Sub],Table3[Verzekerde interest]),"-")</f>
        <v>-</v>
      </c>
      <c r="D196" s="123"/>
      <c r="E196" s="124"/>
      <c r="F196" s="123"/>
      <c r="G196" s="125"/>
    </row>
    <row r="197" spans="1:7" x14ac:dyDescent="0.3">
      <c r="A197" s="116"/>
      <c r="B197" s="118"/>
      <c r="C197" s="118" t="str">
        <f>IFERROR(_xlfn.XLOOKUP(Taxaties!$A197,Table3[Sub],Table3[Verzekerde interest]),"-")</f>
        <v>-</v>
      </c>
      <c r="D197" s="118"/>
      <c r="E197" s="119"/>
      <c r="F197" s="118"/>
      <c r="G197" s="120"/>
    </row>
    <row r="198" spans="1:7" x14ac:dyDescent="0.3">
      <c r="A198" s="121"/>
      <c r="B198" s="123"/>
      <c r="C198" s="123" t="str">
        <f>IFERROR(_xlfn.XLOOKUP(Taxaties!$A198,Table3[Sub],Table3[Verzekerde interest]),"-")</f>
        <v>-</v>
      </c>
      <c r="D198" s="123"/>
      <c r="E198" s="124"/>
      <c r="F198" s="123"/>
      <c r="G198" s="125"/>
    </row>
    <row r="199" spans="1:7" x14ac:dyDescent="0.3">
      <c r="A199" s="116"/>
      <c r="B199" s="118"/>
      <c r="C199" s="118" t="str">
        <f>IFERROR(_xlfn.XLOOKUP(Taxaties!$A199,Table3[Sub],Table3[Verzekerde interest]),"-")</f>
        <v>-</v>
      </c>
      <c r="D199" s="118"/>
      <c r="E199" s="119"/>
      <c r="F199" s="118"/>
      <c r="G199" s="120"/>
    </row>
    <row r="200" spans="1:7" x14ac:dyDescent="0.3">
      <c r="A200" s="121"/>
      <c r="B200" s="123"/>
      <c r="C200" s="123" t="str">
        <f>IFERROR(_xlfn.XLOOKUP(Taxaties!$A200,Table3[Sub],Table3[Verzekerde interest]),"-")</f>
        <v>-</v>
      </c>
      <c r="D200" s="123"/>
      <c r="E200" s="124"/>
      <c r="F200" s="123"/>
      <c r="G200" s="125"/>
    </row>
    <row r="201" spans="1:7" x14ac:dyDescent="0.3">
      <c r="A201" s="116"/>
      <c r="B201" s="118"/>
      <c r="C201" s="118" t="str">
        <f>IFERROR(_xlfn.XLOOKUP(Taxaties!$A201,Table3[Sub],Table3[Verzekerde interest]),"-")</f>
        <v>-</v>
      </c>
      <c r="D201" s="118"/>
      <c r="E201" s="119"/>
      <c r="F201" s="118"/>
      <c r="G201" s="120"/>
    </row>
    <row r="202" spans="1:7" x14ac:dyDescent="0.3">
      <c r="A202" s="121"/>
      <c r="B202" s="123"/>
      <c r="C202" s="123" t="str">
        <f>IFERROR(_xlfn.XLOOKUP(Taxaties!$A202,Table3[Sub],Table3[Verzekerde interest]),"-")</f>
        <v>-</v>
      </c>
      <c r="D202" s="123"/>
      <c r="E202" s="124"/>
      <c r="F202" s="123"/>
      <c r="G202" s="125"/>
    </row>
    <row r="203" spans="1:7" x14ac:dyDescent="0.3">
      <c r="A203" s="116"/>
      <c r="B203" s="118"/>
      <c r="C203" s="118" t="str">
        <f>IFERROR(_xlfn.XLOOKUP(Taxaties!$A203,Table3[Sub],Table3[Verzekerde interest]),"-")</f>
        <v>-</v>
      </c>
      <c r="D203" s="118"/>
      <c r="E203" s="119"/>
      <c r="F203" s="118"/>
      <c r="G203" s="120"/>
    </row>
    <row r="204" spans="1:7" x14ac:dyDescent="0.3">
      <c r="A204" s="121"/>
      <c r="B204" s="123"/>
      <c r="C204" s="123" t="str">
        <f>IFERROR(_xlfn.XLOOKUP(Taxaties!$A204,Table3[Sub],Table3[Verzekerde interest]),"-")</f>
        <v>-</v>
      </c>
      <c r="D204" s="123"/>
      <c r="E204" s="124"/>
      <c r="F204" s="123"/>
      <c r="G204" s="125"/>
    </row>
    <row r="205" spans="1:7" x14ac:dyDescent="0.3">
      <c r="A205" s="116"/>
      <c r="B205" s="118"/>
      <c r="C205" s="118" t="str">
        <f>IFERROR(_xlfn.XLOOKUP(Taxaties!$A205,Table3[Sub],Table3[Verzekerde interest]),"-")</f>
        <v>-</v>
      </c>
      <c r="D205" s="118"/>
      <c r="E205" s="119"/>
      <c r="F205" s="118"/>
      <c r="G205" s="120"/>
    </row>
    <row r="206" spans="1:7" x14ac:dyDescent="0.3">
      <c r="A206" s="121"/>
      <c r="B206" s="123"/>
      <c r="C206" s="123" t="str">
        <f>IFERROR(_xlfn.XLOOKUP(Taxaties!$A206,Table3[Sub],Table3[Verzekerde interest]),"-")</f>
        <v>-</v>
      </c>
      <c r="D206" s="123"/>
      <c r="E206" s="124"/>
      <c r="F206" s="123"/>
      <c r="G206" s="125"/>
    </row>
    <row r="207" spans="1:7" x14ac:dyDescent="0.3">
      <c r="A207" s="116"/>
      <c r="B207" s="118"/>
      <c r="C207" s="118" t="str">
        <f>IFERROR(_xlfn.XLOOKUP(Taxaties!$A207,Table3[Sub],Table3[Verzekerde interest]),"-")</f>
        <v>-</v>
      </c>
      <c r="D207" s="118"/>
      <c r="E207" s="119"/>
      <c r="F207" s="118"/>
      <c r="G207" s="120"/>
    </row>
    <row r="208" spans="1:7" x14ac:dyDescent="0.3">
      <c r="A208" s="121"/>
      <c r="B208" s="123"/>
      <c r="C208" s="123" t="str">
        <f>IFERROR(_xlfn.XLOOKUP(Taxaties!$A208,Table3[Sub],Table3[Verzekerde interest]),"-")</f>
        <v>-</v>
      </c>
      <c r="D208" s="123"/>
      <c r="E208" s="124"/>
      <c r="F208" s="123"/>
      <c r="G208" s="125"/>
    </row>
    <row r="209" spans="1:7" x14ac:dyDescent="0.3">
      <c r="A209" s="116"/>
      <c r="B209" s="118"/>
      <c r="C209" s="118" t="str">
        <f>IFERROR(_xlfn.XLOOKUP(Taxaties!$A209,Table3[Sub],Table3[Verzekerde interest]),"-")</f>
        <v>-</v>
      </c>
      <c r="D209" s="118"/>
      <c r="E209" s="119"/>
      <c r="F209" s="118"/>
      <c r="G209" s="120"/>
    </row>
    <row r="210" spans="1:7" x14ac:dyDescent="0.3">
      <c r="A210" s="121"/>
      <c r="B210" s="123"/>
      <c r="C210" s="123" t="str">
        <f>IFERROR(_xlfn.XLOOKUP(Taxaties!$A210,Table3[Sub],Table3[Verzekerde interest]),"-")</f>
        <v>-</v>
      </c>
      <c r="D210" s="123"/>
      <c r="E210" s="124"/>
      <c r="F210" s="123"/>
      <c r="G210" s="125"/>
    </row>
    <row r="211" spans="1:7" x14ac:dyDescent="0.3">
      <c r="A211" s="116"/>
      <c r="B211" s="118"/>
      <c r="C211" s="118" t="str">
        <f>IFERROR(_xlfn.XLOOKUP(Taxaties!$A211,Table3[Sub],Table3[Verzekerde interest]),"-")</f>
        <v>-</v>
      </c>
      <c r="D211" s="118"/>
      <c r="E211" s="119"/>
      <c r="F211" s="118"/>
      <c r="G211" s="120"/>
    </row>
    <row r="212" spans="1:7" x14ac:dyDescent="0.3">
      <c r="A212" s="121"/>
      <c r="B212" s="123"/>
      <c r="C212" s="123" t="str">
        <f>IFERROR(_xlfn.XLOOKUP(Taxaties!$A212,Table3[Sub],Table3[Verzekerde interest]),"-")</f>
        <v>-</v>
      </c>
      <c r="D212" s="123"/>
      <c r="E212" s="124"/>
      <c r="F212" s="123"/>
      <c r="G212" s="125"/>
    </row>
    <row r="213" spans="1:7" x14ac:dyDescent="0.3">
      <c r="A213" s="116"/>
      <c r="B213" s="118"/>
      <c r="C213" s="118" t="str">
        <f>IFERROR(_xlfn.XLOOKUP(Taxaties!$A213,Table3[Sub],Table3[Verzekerde interest]),"-")</f>
        <v>-</v>
      </c>
      <c r="D213" s="118"/>
      <c r="E213" s="119"/>
      <c r="F213" s="118"/>
      <c r="G213" s="120"/>
    </row>
    <row r="214" spans="1:7" x14ac:dyDescent="0.3">
      <c r="A214" s="121"/>
      <c r="B214" s="123"/>
      <c r="C214" s="123" t="str">
        <f>IFERROR(_xlfn.XLOOKUP(Taxaties!$A214,Table3[Sub],Table3[Verzekerde interest]),"-")</f>
        <v>-</v>
      </c>
      <c r="D214" s="123"/>
      <c r="E214" s="124"/>
      <c r="F214" s="123"/>
      <c r="G214" s="125"/>
    </row>
    <row r="215" spans="1:7" x14ac:dyDescent="0.3">
      <c r="A215" s="116"/>
      <c r="B215" s="118"/>
      <c r="C215" s="118" t="str">
        <f>IFERROR(_xlfn.XLOOKUP(Taxaties!$A215,Table3[Sub],Table3[Verzekerde interest]),"-")</f>
        <v>-</v>
      </c>
      <c r="D215" s="118"/>
      <c r="E215" s="119"/>
      <c r="F215" s="118"/>
      <c r="G215" s="120"/>
    </row>
    <row r="216" spans="1:7" x14ac:dyDescent="0.3">
      <c r="A216" s="121"/>
      <c r="B216" s="123"/>
      <c r="C216" s="123" t="str">
        <f>IFERROR(_xlfn.XLOOKUP(Taxaties!$A216,Table3[Sub],Table3[Verzekerde interest]),"-")</f>
        <v>-</v>
      </c>
      <c r="D216" s="123"/>
      <c r="E216" s="124"/>
      <c r="F216" s="123"/>
      <c r="G216" s="125"/>
    </row>
    <row r="217" spans="1:7" x14ac:dyDescent="0.3">
      <c r="A217" s="116"/>
      <c r="B217" s="118"/>
      <c r="C217" s="118" t="str">
        <f>IFERROR(_xlfn.XLOOKUP(Taxaties!$A217,Table3[Sub],Table3[Verzekerde interest]),"-")</f>
        <v>-</v>
      </c>
      <c r="D217" s="118"/>
      <c r="E217" s="119"/>
      <c r="F217" s="118"/>
      <c r="G217" s="120"/>
    </row>
    <row r="218" spans="1:7" x14ac:dyDescent="0.3">
      <c r="A218" s="121"/>
      <c r="B218" s="123"/>
      <c r="C218" s="123" t="str">
        <f>IFERROR(_xlfn.XLOOKUP(Taxaties!$A218,Table3[Sub],Table3[Verzekerde interest]),"-")</f>
        <v>-</v>
      </c>
      <c r="D218" s="123"/>
      <c r="E218" s="124"/>
      <c r="F218" s="123"/>
      <c r="G218" s="125"/>
    </row>
    <row r="219" spans="1:7" x14ac:dyDescent="0.3">
      <c r="A219" s="116"/>
      <c r="B219" s="118"/>
      <c r="C219" s="118" t="str">
        <f>IFERROR(_xlfn.XLOOKUP(Taxaties!$A219,Table3[Sub],Table3[Verzekerde interest]),"-")</f>
        <v>-</v>
      </c>
      <c r="D219" s="118"/>
      <c r="E219" s="119"/>
      <c r="F219" s="118"/>
      <c r="G219" s="120"/>
    </row>
    <row r="220" spans="1:7" x14ac:dyDescent="0.3">
      <c r="A220" s="121"/>
      <c r="B220" s="123"/>
      <c r="C220" s="123" t="str">
        <f>IFERROR(_xlfn.XLOOKUP(Taxaties!$A220,Table3[Sub],Table3[Verzekerde interest]),"-")</f>
        <v>-</v>
      </c>
      <c r="D220" s="123"/>
      <c r="E220" s="124"/>
      <c r="F220" s="123"/>
      <c r="G220" s="125"/>
    </row>
    <row r="221" spans="1:7" x14ac:dyDescent="0.3">
      <c r="A221" s="116"/>
      <c r="B221" s="118"/>
      <c r="C221" s="118" t="str">
        <f>IFERROR(_xlfn.XLOOKUP(Taxaties!$A221,Table3[Sub],Table3[Verzekerde interest]),"-")</f>
        <v>-</v>
      </c>
      <c r="D221" s="118"/>
      <c r="E221" s="119"/>
      <c r="F221" s="118"/>
      <c r="G221" s="120"/>
    </row>
    <row r="222" spans="1:7" x14ac:dyDescent="0.3">
      <c r="A222" s="121"/>
      <c r="B222" s="123"/>
      <c r="C222" s="123" t="str">
        <f>IFERROR(_xlfn.XLOOKUP(Taxaties!$A222,Table3[Sub],Table3[Verzekerde interest]),"-")</f>
        <v>-</v>
      </c>
      <c r="D222" s="123"/>
      <c r="E222" s="124"/>
      <c r="F222" s="123"/>
      <c r="G222" s="125"/>
    </row>
    <row r="223" spans="1:7" x14ac:dyDescent="0.3">
      <c r="A223" s="116"/>
      <c r="B223" s="118"/>
      <c r="C223" s="118" t="str">
        <f>IFERROR(_xlfn.XLOOKUP(Taxaties!$A223,Table3[Sub],Table3[Verzekerde interest]),"-")</f>
        <v>-</v>
      </c>
      <c r="D223" s="118"/>
      <c r="E223" s="119"/>
      <c r="F223" s="118"/>
      <c r="G223" s="120"/>
    </row>
    <row r="224" spans="1:7" x14ac:dyDescent="0.3">
      <c r="A224" s="121"/>
      <c r="B224" s="123"/>
      <c r="C224" s="123" t="str">
        <f>IFERROR(_xlfn.XLOOKUP(Taxaties!$A224,Table3[Sub],Table3[Verzekerde interest]),"-")</f>
        <v>-</v>
      </c>
      <c r="D224" s="123"/>
      <c r="E224" s="124"/>
      <c r="F224" s="123"/>
      <c r="G224" s="125"/>
    </row>
    <row r="225" spans="1:7" x14ac:dyDescent="0.3">
      <c r="A225" s="116"/>
      <c r="B225" s="118"/>
      <c r="C225" s="118" t="str">
        <f>IFERROR(_xlfn.XLOOKUP(Taxaties!$A225,Table3[Sub],Table3[Verzekerde interest]),"-")</f>
        <v>-</v>
      </c>
      <c r="D225" s="118"/>
      <c r="E225" s="119"/>
      <c r="F225" s="118"/>
      <c r="G225" s="120"/>
    </row>
    <row r="226" spans="1:7" x14ac:dyDescent="0.3">
      <c r="A226" s="121"/>
      <c r="B226" s="123"/>
      <c r="C226" s="123" t="str">
        <f>IFERROR(_xlfn.XLOOKUP(Taxaties!$A226,Table3[Sub],Table3[Verzekerde interest]),"-")</f>
        <v>-</v>
      </c>
      <c r="D226" s="123"/>
      <c r="E226" s="124"/>
      <c r="F226" s="123"/>
      <c r="G226" s="125"/>
    </row>
    <row r="227" spans="1:7" x14ac:dyDescent="0.3">
      <c r="A227" s="116"/>
      <c r="B227" s="118"/>
      <c r="C227" s="118" t="str">
        <f>IFERROR(_xlfn.XLOOKUP(Taxaties!$A227,Table3[Sub],Table3[Verzekerde interest]),"-")</f>
        <v>-</v>
      </c>
      <c r="D227" s="118"/>
      <c r="E227" s="119"/>
      <c r="F227" s="118"/>
      <c r="G227" s="120"/>
    </row>
    <row r="228" spans="1:7" x14ac:dyDescent="0.3">
      <c r="A228" s="121"/>
      <c r="B228" s="123"/>
      <c r="C228" s="123" t="str">
        <f>IFERROR(_xlfn.XLOOKUP(Taxaties!$A228,Table3[Sub],Table3[Verzekerde interest]),"-")</f>
        <v>-</v>
      </c>
      <c r="D228" s="123"/>
      <c r="E228" s="124"/>
      <c r="F228" s="123"/>
      <c r="G228" s="125"/>
    </row>
    <row r="229" spans="1:7" x14ac:dyDescent="0.3">
      <c r="A229" s="116"/>
      <c r="B229" s="118"/>
      <c r="C229" s="118" t="str">
        <f>IFERROR(_xlfn.XLOOKUP(Taxaties!$A229,Table3[Sub],Table3[Verzekerde interest]),"-")</f>
        <v>-</v>
      </c>
      <c r="D229" s="118"/>
      <c r="E229" s="119"/>
      <c r="F229" s="118"/>
      <c r="G229" s="120"/>
    </row>
    <row r="230" spans="1:7" x14ac:dyDescent="0.3">
      <c r="A230" s="121"/>
      <c r="B230" s="123"/>
      <c r="C230" s="123" t="str">
        <f>IFERROR(_xlfn.XLOOKUP(Taxaties!$A230,Table3[Sub],Table3[Verzekerde interest]),"-")</f>
        <v>-</v>
      </c>
      <c r="D230" s="123"/>
      <c r="E230" s="124"/>
      <c r="F230" s="123"/>
      <c r="G230" s="125"/>
    </row>
    <row r="231" spans="1:7" x14ac:dyDescent="0.3">
      <c r="A231" s="116"/>
      <c r="B231" s="118"/>
      <c r="C231" s="118" t="str">
        <f>IFERROR(_xlfn.XLOOKUP(Taxaties!$A231,Table3[Sub],Table3[Verzekerde interest]),"-")</f>
        <v>-</v>
      </c>
      <c r="D231" s="118"/>
      <c r="E231" s="119"/>
      <c r="F231" s="118"/>
      <c r="G231" s="120"/>
    </row>
    <row r="232" spans="1:7" x14ac:dyDescent="0.3">
      <c r="A232" s="121"/>
      <c r="B232" s="123"/>
      <c r="C232" s="123" t="str">
        <f>IFERROR(_xlfn.XLOOKUP(Taxaties!$A232,Table3[Sub],Table3[Verzekerde interest]),"-")</f>
        <v>-</v>
      </c>
      <c r="D232" s="123"/>
      <c r="E232" s="124"/>
      <c r="F232" s="123"/>
      <c r="G232" s="125"/>
    </row>
    <row r="233" spans="1:7" x14ac:dyDescent="0.3">
      <c r="A233" s="116"/>
      <c r="B233" s="118"/>
      <c r="C233" s="118" t="str">
        <f>IFERROR(_xlfn.XLOOKUP(Taxaties!$A233,Table3[Sub],Table3[Verzekerde interest]),"-")</f>
        <v>-</v>
      </c>
      <c r="D233" s="118"/>
      <c r="E233" s="119"/>
      <c r="F233" s="118"/>
      <c r="G233" s="120"/>
    </row>
    <row r="234" spans="1:7" x14ac:dyDescent="0.3">
      <c r="A234" s="121"/>
      <c r="B234" s="123"/>
      <c r="C234" s="123" t="str">
        <f>IFERROR(_xlfn.XLOOKUP(Taxaties!$A234,Table3[Sub],Table3[Verzekerde interest]),"-")</f>
        <v>-</v>
      </c>
      <c r="D234" s="123"/>
      <c r="E234" s="124"/>
      <c r="F234" s="123"/>
      <c r="G234" s="125"/>
    </row>
    <row r="235" spans="1:7" x14ac:dyDescent="0.3">
      <c r="A235" s="116"/>
      <c r="B235" s="118"/>
      <c r="C235" s="118" t="str">
        <f>IFERROR(_xlfn.XLOOKUP(Taxaties!$A235,Table3[Sub],Table3[Verzekerde interest]),"-")</f>
        <v>-</v>
      </c>
      <c r="D235" s="118"/>
      <c r="E235" s="119"/>
      <c r="F235" s="118"/>
      <c r="G235" s="120"/>
    </row>
    <row r="236" spans="1:7" x14ac:dyDescent="0.3">
      <c r="A236" s="121"/>
      <c r="B236" s="123"/>
      <c r="C236" s="123" t="str">
        <f>IFERROR(_xlfn.XLOOKUP(Taxaties!$A236,Table3[Sub],Table3[Verzekerde interest]),"-")</f>
        <v>-</v>
      </c>
      <c r="D236" s="123"/>
      <c r="E236" s="124"/>
      <c r="F236" s="123"/>
      <c r="G236" s="125"/>
    </row>
    <row r="237" spans="1:7" x14ac:dyDescent="0.3">
      <c r="A237" s="116"/>
      <c r="B237" s="118"/>
      <c r="C237" s="118" t="str">
        <f>IFERROR(_xlfn.XLOOKUP(Taxaties!$A237,Table3[Sub],Table3[Verzekerde interest]),"-")</f>
        <v>-</v>
      </c>
      <c r="D237" s="118"/>
      <c r="E237" s="119"/>
      <c r="F237" s="118"/>
      <c r="G237" s="120"/>
    </row>
    <row r="238" spans="1:7" x14ac:dyDescent="0.3">
      <c r="A238" s="121"/>
      <c r="B238" s="123"/>
      <c r="C238" s="123" t="str">
        <f>IFERROR(_xlfn.XLOOKUP(Taxaties!$A238,Table3[Sub],Table3[Verzekerde interest]),"-")</f>
        <v>-</v>
      </c>
      <c r="D238" s="123"/>
      <c r="E238" s="124"/>
      <c r="F238" s="123"/>
      <c r="G238" s="125"/>
    </row>
    <row r="239" spans="1:7" x14ac:dyDescent="0.3">
      <c r="A239" s="116"/>
      <c r="B239" s="118"/>
      <c r="C239" s="118" t="str">
        <f>IFERROR(_xlfn.XLOOKUP(Taxaties!$A239,Table3[Sub],Table3[Verzekerde interest]),"-")</f>
        <v>-</v>
      </c>
      <c r="D239" s="118"/>
      <c r="E239" s="119"/>
      <c r="F239" s="118"/>
      <c r="G239" s="120"/>
    </row>
    <row r="240" spans="1:7" x14ac:dyDescent="0.3">
      <c r="A240" s="121"/>
      <c r="B240" s="123"/>
      <c r="C240" s="123" t="str">
        <f>IFERROR(_xlfn.XLOOKUP(Taxaties!$A240,Table3[Sub],Table3[Verzekerde interest]),"-")</f>
        <v>-</v>
      </c>
      <c r="D240" s="123"/>
      <c r="E240" s="124"/>
      <c r="F240" s="123"/>
      <c r="G240" s="125"/>
    </row>
    <row r="241" spans="1:7" x14ac:dyDescent="0.3">
      <c r="A241" s="116"/>
      <c r="B241" s="118"/>
      <c r="C241" s="118" t="str">
        <f>IFERROR(_xlfn.XLOOKUP(Taxaties!$A241,Table3[Sub],Table3[Verzekerde interest]),"-")</f>
        <v>-</v>
      </c>
      <c r="D241" s="118"/>
      <c r="E241" s="119"/>
      <c r="F241" s="118"/>
      <c r="G241" s="120"/>
    </row>
    <row r="242" spans="1:7" x14ac:dyDescent="0.3">
      <c r="A242" s="121"/>
      <c r="B242" s="123"/>
      <c r="C242" s="123" t="str">
        <f>IFERROR(_xlfn.XLOOKUP(Taxaties!$A242,Table3[Sub],Table3[Verzekerde interest]),"-")</f>
        <v>-</v>
      </c>
      <c r="D242" s="123"/>
      <c r="E242" s="124"/>
      <c r="F242" s="123"/>
      <c r="G242" s="125"/>
    </row>
    <row r="243" spans="1:7" x14ac:dyDescent="0.3">
      <c r="A243" s="116"/>
      <c r="B243" s="118"/>
      <c r="C243" s="118" t="str">
        <f>IFERROR(_xlfn.XLOOKUP(Taxaties!$A243,Table3[Sub],Table3[Verzekerde interest]),"-")</f>
        <v>-</v>
      </c>
      <c r="D243" s="118"/>
      <c r="E243" s="119"/>
      <c r="F243" s="118"/>
      <c r="G243" s="120"/>
    </row>
    <row r="244" spans="1:7" x14ac:dyDescent="0.3">
      <c r="A244" s="121"/>
      <c r="B244" s="123"/>
      <c r="C244" s="123" t="str">
        <f>IFERROR(_xlfn.XLOOKUP(Taxaties!$A244,Table3[Sub],Table3[Verzekerde interest]),"-")</f>
        <v>-</v>
      </c>
      <c r="D244" s="123"/>
      <c r="E244" s="124"/>
      <c r="F244" s="123"/>
      <c r="G244" s="125"/>
    </row>
    <row r="245" spans="1:7" x14ac:dyDescent="0.3">
      <c r="A245" s="116"/>
      <c r="B245" s="118"/>
      <c r="C245" s="118" t="str">
        <f>IFERROR(_xlfn.XLOOKUP(Taxaties!$A245,Table3[Sub],Table3[Verzekerde interest]),"-")</f>
        <v>-</v>
      </c>
      <c r="D245" s="118"/>
      <c r="E245" s="119"/>
      <c r="F245" s="118"/>
      <c r="G245" s="120"/>
    </row>
    <row r="246" spans="1:7" x14ac:dyDescent="0.3">
      <c r="A246" s="121"/>
      <c r="B246" s="123"/>
      <c r="C246" s="123" t="str">
        <f>IFERROR(_xlfn.XLOOKUP(Taxaties!$A246,Table3[Sub],Table3[Verzekerde interest]),"-")</f>
        <v>-</v>
      </c>
      <c r="D246" s="123"/>
      <c r="E246" s="124"/>
      <c r="F246" s="123"/>
      <c r="G246" s="125"/>
    </row>
    <row r="247" spans="1:7" x14ac:dyDescent="0.3">
      <c r="A247" s="116"/>
      <c r="B247" s="118"/>
      <c r="C247" s="118" t="str">
        <f>IFERROR(_xlfn.XLOOKUP(Taxaties!$A247,Table3[Sub],Table3[Verzekerde interest]),"-")</f>
        <v>-</v>
      </c>
      <c r="D247" s="118"/>
      <c r="E247" s="119"/>
      <c r="F247" s="118"/>
      <c r="G247" s="120"/>
    </row>
    <row r="248" spans="1:7" x14ac:dyDescent="0.3">
      <c r="A248" s="121"/>
      <c r="B248" s="123"/>
      <c r="C248" s="123" t="str">
        <f>IFERROR(_xlfn.XLOOKUP(Taxaties!$A248,Table3[Sub],Table3[Verzekerde interest]),"-")</f>
        <v>-</v>
      </c>
      <c r="D248" s="123"/>
      <c r="E248" s="124"/>
      <c r="F248" s="123"/>
      <c r="G248" s="125"/>
    </row>
    <row r="249" spans="1:7" x14ac:dyDescent="0.3">
      <c r="A249" s="116"/>
      <c r="B249" s="118"/>
      <c r="C249" s="118" t="str">
        <f>IFERROR(_xlfn.XLOOKUP(Taxaties!$A249,Table3[Sub],Table3[Verzekerde interest]),"-")</f>
        <v>-</v>
      </c>
      <c r="D249" s="118"/>
      <c r="E249" s="119"/>
      <c r="F249" s="118"/>
      <c r="G249" s="120"/>
    </row>
    <row r="250" spans="1:7" x14ac:dyDescent="0.3">
      <c r="A250" s="121"/>
      <c r="B250" s="123"/>
      <c r="C250" s="123" t="str">
        <f>IFERROR(_xlfn.XLOOKUP(Taxaties!$A250,Table3[Sub],Table3[Verzekerde interest]),"-")</f>
        <v>-</v>
      </c>
      <c r="D250" s="123"/>
      <c r="E250" s="124"/>
      <c r="F250" s="123"/>
      <c r="G250" s="125"/>
    </row>
    <row r="251" spans="1:7" x14ac:dyDescent="0.3">
      <c r="A251" s="116"/>
      <c r="B251" s="118"/>
      <c r="C251" s="118" t="str">
        <f>IFERROR(_xlfn.XLOOKUP(Taxaties!$A251,Table3[Sub],Table3[Verzekerde interest]),"-")</f>
        <v>-</v>
      </c>
      <c r="D251" s="118"/>
      <c r="E251" s="119"/>
      <c r="F251" s="118"/>
      <c r="G251" s="120"/>
    </row>
    <row r="252" spans="1:7" x14ac:dyDescent="0.3">
      <c r="A252" s="121"/>
      <c r="B252" s="123"/>
      <c r="C252" s="123" t="str">
        <f>IFERROR(_xlfn.XLOOKUP(Taxaties!$A252,Table3[Sub],Table3[Verzekerde interest]),"-")</f>
        <v>-</v>
      </c>
      <c r="D252" s="123"/>
      <c r="E252" s="124"/>
      <c r="F252" s="123"/>
      <c r="G252" s="125"/>
    </row>
    <row r="253" spans="1:7" x14ac:dyDescent="0.3">
      <c r="A253" s="116"/>
      <c r="B253" s="118"/>
      <c r="C253" s="118" t="str">
        <f>IFERROR(_xlfn.XLOOKUP(Taxaties!$A253,Table3[Sub],Table3[Verzekerde interest]),"-")</f>
        <v>-</v>
      </c>
      <c r="D253" s="118"/>
      <c r="E253" s="119"/>
      <c r="F253" s="118"/>
      <c r="G253" s="120"/>
    </row>
    <row r="254" spans="1:7" x14ac:dyDescent="0.3">
      <c r="A254" s="121"/>
      <c r="B254" s="123"/>
      <c r="C254" s="123" t="str">
        <f>IFERROR(_xlfn.XLOOKUP(Taxaties!$A254,Table3[Sub],Table3[Verzekerde interest]),"-")</f>
        <v>-</v>
      </c>
      <c r="D254" s="123"/>
      <c r="E254" s="124"/>
      <c r="F254" s="123"/>
      <c r="G254" s="125"/>
    </row>
    <row r="255" spans="1:7" x14ac:dyDescent="0.3">
      <c r="A255" s="116"/>
      <c r="B255" s="118"/>
      <c r="C255" s="118" t="str">
        <f>IFERROR(_xlfn.XLOOKUP(Taxaties!$A255,Table3[Sub],Table3[Verzekerde interest]),"-")</f>
        <v>-</v>
      </c>
      <c r="D255" s="118"/>
      <c r="E255" s="119"/>
      <c r="F255" s="118"/>
      <c r="G255" s="120"/>
    </row>
    <row r="256" spans="1:7" x14ac:dyDescent="0.3">
      <c r="A256" s="121"/>
      <c r="B256" s="123"/>
      <c r="C256" s="123" t="str">
        <f>IFERROR(_xlfn.XLOOKUP(Taxaties!$A256,Table3[Sub],Table3[Verzekerde interest]),"-")</f>
        <v>-</v>
      </c>
      <c r="D256" s="123"/>
      <c r="E256" s="124"/>
      <c r="F256" s="123"/>
      <c r="G256" s="125"/>
    </row>
    <row r="257" spans="1:7" x14ac:dyDescent="0.3">
      <c r="A257" s="116"/>
      <c r="B257" s="118"/>
      <c r="C257" s="118" t="str">
        <f>IFERROR(_xlfn.XLOOKUP(Taxaties!$A257,Table3[Sub],Table3[Verzekerde interest]),"-")</f>
        <v>-</v>
      </c>
      <c r="D257" s="118"/>
      <c r="E257" s="119"/>
      <c r="F257" s="118"/>
      <c r="G257" s="120"/>
    </row>
    <row r="258" spans="1:7" x14ac:dyDescent="0.3">
      <c r="A258" s="121"/>
      <c r="B258" s="123"/>
      <c r="C258" s="123" t="str">
        <f>IFERROR(_xlfn.XLOOKUP(Taxaties!$A258,Table3[Sub],Table3[Verzekerde interest]),"-")</f>
        <v>-</v>
      </c>
      <c r="D258" s="123"/>
      <c r="E258" s="124"/>
      <c r="F258" s="123"/>
      <c r="G258" s="125"/>
    </row>
    <row r="259" spans="1:7" x14ac:dyDescent="0.3">
      <c r="A259" s="116"/>
      <c r="B259" s="118"/>
      <c r="C259" s="118" t="str">
        <f>IFERROR(_xlfn.XLOOKUP(Taxaties!$A259,Table3[Sub],Table3[Verzekerde interest]),"-")</f>
        <v>-</v>
      </c>
      <c r="D259" s="118"/>
      <c r="E259" s="119"/>
      <c r="F259" s="118"/>
      <c r="G259" s="120"/>
    </row>
    <row r="260" spans="1:7" x14ac:dyDescent="0.3">
      <c r="A260" s="121"/>
      <c r="B260" s="123"/>
      <c r="C260" s="123" t="str">
        <f>IFERROR(_xlfn.XLOOKUP(Taxaties!$A260,Table3[Sub],Table3[Verzekerde interest]),"-")</f>
        <v>-</v>
      </c>
      <c r="D260" s="123"/>
      <c r="E260" s="124"/>
      <c r="F260" s="123"/>
      <c r="G260" s="125"/>
    </row>
    <row r="261" spans="1:7" x14ac:dyDescent="0.3">
      <c r="A261" s="116"/>
      <c r="B261" s="118"/>
      <c r="C261" s="118" t="str">
        <f>IFERROR(_xlfn.XLOOKUP(Taxaties!$A261,Table3[Sub],Table3[Verzekerde interest]),"-")</f>
        <v>-</v>
      </c>
      <c r="D261" s="118"/>
      <c r="E261" s="119"/>
      <c r="F261" s="118"/>
      <c r="G261" s="120"/>
    </row>
    <row r="262" spans="1:7" x14ac:dyDescent="0.3">
      <c r="A262" s="121"/>
      <c r="B262" s="123"/>
      <c r="C262" s="123" t="str">
        <f>IFERROR(_xlfn.XLOOKUP(Taxaties!$A262,Table3[Sub],Table3[Verzekerde interest]),"-")</f>
        <v>-</v>
      </c>
      <c r="D262" s="123"/>
      <c r="E262" s="124"/>
      <c r="F262" s="123"/>
      <c r="G262" s="125"/>
    </row>
    <row r="263" spans="1:7" x14ac:dyDescent="0.3">
      <c r="A263" s="116"/>
      <c r="B263" s="118"/>
      <c r="C263" s="118" t="str">
        <f>IFERROR(_xlfn.XLOOKUP(Taxaties!$A263,Table3[Sub],Table3[Verzekerde interest]),"-")</f>
        <v>-</v>
      </c>
      <c r="D263" s="118"/>
      <c r="E263" s="119"/>
      <c r="F263" s="118"/>
      <c r="G263" s="120"/>
    </row>
    <row r="264" spans="1:7" x14ac:dyDescent="0.3">
      <c r="A264" s="121"/>
      <c r="B264" s="123"/>
      <c r="C264" s="123" t="str">
        <f>IFERROR(_xlfn.XLOOKUP(Taxaties!$A264,Table3[Sub],Table3[Verzekerde interest]),"-")</f>
        <v>-</v>
      </c>
      <c r="D264" s="123"/>
      <c r="E264" s="124"/>
      <c r="F264" s="123"/>
      <c r="G264" s="125"/>
    </row>
    <row r="265" spans="1:7" x14ac:dyDescent="0.3">
      <c r="A265" s="116"/>
      <c r="B265" s="118"/>
      <c r="C265" s="118" t="str">
        <f>IFERROR(_xlfn.XLOOKUP(Taxaties!$A265,Table3[Sub],Table3[Verzekerde interest]),"-")</f>
        <v>-</v>
      </c>
      <c r="D265" s="118"/>
      <c r="E265" s="119"/>
      <c r="F265" s="118"/>
      <c r="G265" s="120"/>
    </row>
    <row r="266" spans="1:7" x14ac:dyDescent="0.3">
      <c r="A266" s="121"/>
      <c r="B266" s="123"/>
      <c r="C266" s="123" t="str">
        <f>IFERROR(_xlfn.XLOOKUP(Taxaties!$A266,Table3[Sub],Table3[Verzekerde interest]),"-")</f>
        <v>-</v>
      </c>
      <c r="D266" s="123"/>
      <c r="E266" s="124"/>
      <c r="F266" s="123"/>
      <c r="G266" s="125"/>
    </row>
    <row r="267" spans="1:7" x14ac:dyDescent="0.3">
      <c r="A267" s="116"/>
      <c r="B267" s="118"/>
      <c r="C267" s="118" t="str">
        <f>IFERROR(_xlfn.XLOOKUP(Taxaties!$A267,Table3[Sub],Table3[Verzekerde interest]),"-")</f>
        <v>-</v>
      </c>
      <c r="D267" s="118"/>
      <c r="E267" s="119"/>
      <c r="F267" s="118"/>
      <c r="G267" s="120"/>
    </row>
    <row r="268" spans="1:7" x14ac:dyDescent="0.3">
      <c r="A268" s="121"/>
      <c r="B268" s="123"/>
      <c r="C268" s="123" t="str">
        <f>IFERROR(_xlfn.XLOOKUP(Taxaties!$A268,Table3[Sub],Table3[Verzekerde interest]),"-")</f>
        <v>-</v>
      </c>
      <c r="D268" s="123"/>
      <c r="E268" s="124"/>
      <c r="F268" s="123"/>
      <c r="G268" s="125"/>
    </row>
    <row r="269" spans="1:7" x14ac:dyDescent="0.3">
      <c r="A269" s="116"/>
      <c r="B269" s="118"/>
      <c r="C269" s="118" t="str">
        <f>IFERROR(_xlfn.XLOOKUP(Taxaties!$A269,Table3[Sub],Table3[Verzekerde interest]),"-")</f>
        <v>-</v>
      </c>
      <c r="D269" s="118"/>
      <c r="E269" s="119"/>
      <c r="F269" s="118"/>
      <c r="G269" s="120"/>
    </row>
    <row r="270" spans="1:7" x14ac:dyDescent="0.3">
      <c r="A270" s="121"/>
      <c r="B270" s="123"/>
      <c r="C270" s="123" t="str">
        <f>IFERROR(_xlfn.XLOOKUP(Taxaties!$A270,Table3[Sub],Table3[Verzekerde interest]),"-")</f>
        <v>-</v>
      </c>
      <c r="D270" s="123"/>
      <c r="E270" s="124"/>
      <c r="F270" s="123"/>
      <c r="G270" s="125"/>
    </row>
    <row r="271" spans="1:7" x14ac:dyDescent="0.3">
      <c r="A271" s="116"/>
      <c r="B271" s="118"/>
      <c r="C271" s="118" t="str">
        <f>IFERROR(_xlfn.XLOOKUP(Taxaties!$A271,Table3[Sub],Table3[Verzekerde interest]),"-")</f>
        <v>-</v>
      </c>
      <c r="D271" s="118"/>
      <c r="E271" s="119"/>
      <c r="F271" s="118"/>
      <c r="G271" s="120"/>
    </row>
    <row r="272" spans="1:7" x14ac:dyDescent="0.3">
      <c r="A272" s="121"/>
      <c r="B272" s="123"/>
      <c r="C272" s="123" t="str">
        <f>IFERROR(_xlfn.XLOOKUP(Taxaties!$A272,Table3[Sub],Table3[Verzekerde interest]),"-")</f>
        <v>-</v>
      </c>
      <c r="D272" s="123"/>
      <c r="E272" s="124"/>
      <c r="F272" s="123"/>
      <c r="G272" s="125"/>
    </row>
    <row r="273" spans="1:7" x14ac:dyDescent="0.3">
      <c r="A273" s="116"/>
      <c r="B273" s="118"/>
      <c r="C273" s="118" t="str">
        <f>IFERROR(_xlfn.XLOOKUP(Taxaties!$A273,Table3[Sub],Table3[Verzekerde interest]),"-")</f>
        <v>-</v>
      </c>
      <c r="D273" s="118"/>
      <c r="E273" s="119"/>
      <c r="F273" s="118"/>
      <c r="G273" s="120"/>
    </row>
    <row r="274" spans="1:7" x14ac:dyDescent="0.3">
      <c r="A274" s="121"/>
      <c r="B274" s="123"/>
      <c r="C274" s="123" t="str">
        <f>IFERROR(_xlfn.XLOOKUP(Taxaties!$A274,Table3[Sub],Table3[Verzekerde interest]),"-")</f>
        <v>-</v>
      </c>
      <c r="D274" s="123"/>
      <c r="E274" s="124"/>
      <c r="F274" s="123"/>
      <c r="G274" s="125"/>
    </row>
    <row r="275" spans="1:7" x14ac:dyDescent="0.3">
      <c r="A275" s="116"/>
      <c r="B275" s="118"/>
      <c r="C275" s="118" t="str">
        <f>IFERROR(_xlfn.XLOOKUP(Taxaties!$A275,Table3[Sub],Table3[Verzekerde interest]),"-")</f>
        <v>-</v>
      </c>
      <c r="D275" s="118"/>
      <c r="E275" s="119"/>
      <c r="F275" s="118"/>
      <c r="G275" s="120"/>
    </row>
    <row r="276" spans="1:7" x14ac:dyDescent="0.3">
      <c r="A276" s="121"/>
      <c r="B276" s="123"/>
      <c r="C276" s="123" t="str">
        <f>IFERROR(_xlfn.XLOOKUP(Taxaties!$A276,Table3[Sub],Table3[Verzekerde interest]),"-")</f>
        <v>-</v>
      </c>
      <c r="D276" s="123"/>
      <c r="E276" s="124"/>
      <c r="F276" s="123"/>
      <c r="G276" s="125"/>
    </row>
    <row r="277" spans="1:7" x14ac:dyDescent="0.3">
      <c r="A277" s="116"/>
      <c r="B277" s="118"/>
      <c r="C277" s="118" t="str">
        <f>IFERROR(_xlfn.XLOOKUP(Taxaties!$A277,Table3[Sub],Table3[Verzekerde interest]),"-")</f>
        <v>-</v>
      </c>
      <c r="D277" s="118"/>
      <c r="E277" s="119"/>
      <c r="F277" s="118"/>
      <c r="G277" s="120"/>
    </row>
    <row r="278" spans="1:7" x14ac:dyDescent="0.3">
      <c r="A278" s="121"/>
      <c r="B278" s="123"/>
      <c r="C278" s="123" t="str">
        <f>IFERROR(_xlfn.XLOOKUP(Taxaties!$A278,Table3[Sub],Table3[Verzekerde interest]),"-")</f>
        <v>-</v>
      </c>
      <c r="D278" s="123"/>
      <c r="E278" s="124"/>
      <c r="F278" s="123"/>
      <c r="G278" s="125"/>
    </row>
    <row r="279" spans="1:7" x14ac:dyDescent="0.3">
      <c r="A279" s="116"/>
      <c r="B279" s="118"/>
      <c r="C279" s="118" t="str">
        <f>IFERROR(_xlfn.XLOOKUP(Taxaties!$A279,Table3[Sub],Table3[Verzekerde interest]),"-")</f>
        <v>-</v>
      </c>
      <c r="D279" s="118"/>
      <c r="E279" s="119"/>
      <c r="F279" s="118"/>
      <c r="G279" s="120"/>
    </row>
    <row r="280" spans="1:7" x14ac:dyDescent="0.3">
      <c r="A280" s="121"/>
      <c r="B280" s="123"/>
      <c r="C280" s="123" t="str">
        <f>IFERROR(_xlfn.XLOOKUP(Taxaties!$A280,Table3[Sub],Table3[Verzekerde interest]),"-")</f>
        <v>-</v>
      </c>
      <c r="D280" s="123"/>
      <c r="E280" s="124"/>
      <c r="F280" s="123"/>
      <c r="G280" s="125"/>
    </row>
    <row r="281" spans="1:7" x14ac:dyDescent="0.3">
      <c r="A281" s="116"/>
      <c r="B281" s="118"/>
      <c r="C281" s="118" t="str">
        <f>IFERROR(_xlfn.XLOOKUP(Taxaties!$A281,Table3[Sub],Table3[Verzekerde interest]),"-")</f>
        <v>-</v>
      </c>
      <c r="D281" s="118"/>
      <c r="E281" s="119"/>
      <c r="F281" s="118"/>
      <c r="G281" s="120"/>
    </row>
    <row r="282" spans="1:7" x14ac:dyDescent="0.3">
      <c r="A282" s="121"/>
      <c r="B282" s="123"/>
      <c r="C282" s="123" t="str">
        <f>IFERROR(_xlfn.XLOOKUP(Taxaties!$A282,Table3[Sub],Table3[Verzekerde interest]),"-")</f>
        <v>-</v>
      </c>
      <c r="D282" s="123"/>
      <c r="E282" s="124"/>
      <c r="F282" s="123"/>
      <c r="G282" s="125"/>
    </row>
    <row r="283" spans="1:7" x14ac:dyDescent="0.3">
      <c r="A283" s="116"/>
      <c r="B283" s="118"/>
      <c r="C283" s="118" t="str">
        <f>IFERROR(_xlfn.XLOOKUP(Taxaties!$A283,Table3[Sub],Table3[Verzekerde interest]),"-")</f>
        <v>-</v>
      </c>
      <c r="D283" s="118"/>
      <c r="E283" s="119"/>
      <c r="F283" s="118"/>
      <c r="G283" s="120"/>
    </row>
    <row r="284" spans="1:7" x14ac:dyDescent="0.3">
      <c r="A284" s="121"/>
      <c r="B284" s="123"/>
      <c r="C284" s="123" t="str">
        <f>IFERROR(_xlfn.XLOOKUP(Taxaties!$A284,Table3[Sub],Table3[Verzekerde interest]),"-")</f>
        <v>-</v>
      </c>
      <c r="D284" s="123"/>
      <c r="E284" s="124"/>
      <c r="F284" s="123"/>
      <c r="G284" s="125"/>
    </row>
    <row r="285" spans="1:7" x14ac:dyDescent="0.3">
      <c r="A285" s="116"/>
      <c r="B285" s="118"/>
      <c r="C285" s="118" t="str">
        <f>IFERROR(_xlfn.XLOOKUP(Taxaties!$A285,Table3[Sub],Table3[Verzekerde interest]),"-")</f>
        <v>-</v>
      </c>
      <c r="D285" s="118"/>
      <c r="E285" s="119"/>
      <c r="F285" s="118"/>
      <c r="G285" s="120"/>
    </row>
    <row r="286" spans="1:7" x14ac:dyDescent="0.3">
      <c r="A286" s="121"/>
      <c r="B286" s="123"/>
      <c r="C286" s="123" t="str">
        <f>IFERROR(_xlfn.XLOOKUP(Taxaties!$A286,Table3[Sub],Table3[Verzekerde interest]),"-")</f>
        <v>-</v>
      </c>
      <c r="D286" s="123"/>
      <c r="E286" s="124"/>
      <c r="F286" s="123"/>
      <c r="G286" s="125"/>
    </row>
    <row r="287" spans="1:7" x14ac:dyDescent="0.3">
      <c r="A287" s="116"/>
      <c r="B287" s="118"/>
      <c r="C287" s="118" t="str">
        <f>IFERROR(_xlfn.XLOOKUP(Taxaties!$A287,Table3[Sub],Table3[Verzekerde interest]),"-")</f>
        <v>-</v>
      </c>
      <c r="D287" s="118"/>
      <c r="E287" s="119"/>
      <c r="F287" s="118"/>
      <c r="G287" s="120"/>
    </row>
    <row r="288" spans="1:7" x14ac:dyDescent="0.3">
      <c r="A288" s="121"/>
      <c r="B288" s="123"/>
      <c r="C288" s="123" t="str">
        <f>IFERROR(_xlfn.XLOOKUP(Taxaties!$A288,Table3[Sub],Table3[Verzekerde interest]),"-")</f>
        <v>-</v>
      </c>
      <c r="D288" s="123"/>
      <c r="E288" s="124"/>
      <c r="F288" s="123"/>
      <c r="G288" s="125"/>
    </row>
    <row r="289" spans="1:7" x14ac:dyDescent="0.3">
      <c r="A289" s="116"/>
      <c r="B289" s="118"/>
      <c r="C289" s="118" t="str">
        <f>IFERROR(_xlfn.XLOOKUP(Taxaties!$A289,Table3[Sub],Table3[Verzekerde interest]),"-")</f>
        <v>-</v>
      </c>
      <c r="D289" s="118"/>
      <c r="E289" s="119"/>
      <c r="F289" s="118"/>
      <c r="G289" s="120"/>
    </row>
    <row r="290" spans="1:7" x14ac:dyDescent="0.3">
      <c r="A290" s="121"/>
      <c r="B290" s="123"/>
      <c r="C290" s="123" t="str">
        <f>IFERROR(_xlfn.XLOOKUP(Taxaties!$A290,Table3[Sub],Table3[Verzekerde interest]),"-")</f>
        <v>-</v>
      </c>
      <c r="D290" s="123"/>
      <c r="E290" s="124"/>
      <c r="F290" s="123"/>
      <c r="G290" s="125"/>
    </row>
    <row r="291" spans="1:7" x14ac:dyDescent="0.3">
      <c r="A291" s="116"/>
      <c r="B291" s="118"/>
      <c r="C291" s="118" t="str">
        <f>IFERROR(_xlfn.XLOOKUP(Taxaties!$A291,Table3[Sub],Table3[Verzekerde interest]),"-")</f>
        <v>-</v>
      </c>
      <c r="D291" s="118"/>
      <c r="E291" s="119"/>
      <c r="F291" s="118"/>
      <c r="G291" s="120"/>
    </row>
    <row r="292" spans="1:7" x14ac:dyDescent="0.3">
      <c r="A292" s="121"/>
      <c r="B292" s="123"/>
      <c r="C292" s="123" t="str">
        <f>IFERROR(_xlfn.XLOOKUP(Taxaties!$A292,Table3[Sub],Table3[Verzekerde interest]),"-")</f>
        <v>-</v>
      </c>
      <c r="D292" s="123"/>
      <c r="E292" s="124"/>
      <c r="F292" s="123"/>
      <c r="G292" s="125"/>
    </row>
    <row r="293" spans="1:7" x14ac:dyDescent="0.3">
      <c r="A293" s="116"/>
      <c r="B293" s="118"/>
      <c r="C293" s="118" t="str">
        <f>IFERROR(_xlfn.XLOOKUP(Taxaties!$A293,Table3[Sub],Table3[Verzekerde interest]),"-")</f>
        <v>-</v>
      </c>
      <c r="D293" s="118"/>
      <c r="E293" s="119"/>
      <c r="F293" s="118"/>
      <c r="G293" s="120"/>
    </row>
    <row r="294" spans="1:7" x14ac:dyDescent="0.3">
      <c r="A294" s="121"/>
      <c r="B294" s="123"/>
      <c r="C294" s="123" t="str">
        <f>IFERROR(_xlfn.XLOOKUP(Taxaties!$A294,Table3[Sub],Table3[Verzekerde interest]),"-")</f>
        <v>-</v>
      </c>
      <c r="D294" s="123"/>
      <c r="E294" s="124"/>
      <c r="F294" s="123"/>
      <c r="G294" s="125"/>
    </row>
    <row r="295" spans="1:7" x14ac:dyDescent="0.3">
      <c r="A295" s="116"/>
      <c r="B295" s="118"/>
      <c r="C295" s="118" t="str">
        <f>IFERROR(_xlfn.XLOOKUP(Taxaties!$A295,Table3[Sub],Table3[Verzekerde interest]),"-")</f>
        <v>-</v>
      </c>
      <c r="D295" s="118"/>
      <c r="E295" s="119"/>
      <c r="F295" s="118"/>
      <c r="G295" s="120"/>
    </row>
    <row r="296" spans="1:7" x14ac:dyDescent="0.3">
      <c r="A296" s="121"/>
      <c r="B296" s="123"/>
      <c r="C296" s="123" t="str">
        <f>IFERROR(_xlfn.XLOOKUP(Taxaties!$A296,Table3[Sub],Table3[Verzekerde interest]),"-")</f>
        <v>-</v>
      </c>
      <c r="D296" s="123"/>
      <c r="E296" s="124"/>
      <c r="F296" s="123"/>
      <c r="G296" s="125"/>
    </row>
    <row r="297" spans="1:7" x14ac:dyDescent="0.3">
      <c r="A297" s="116"/>
      <c r="B297" s="118"/>
      <c r="C297" s="118" t="str">
        <f>IFERROR(_xlfn.XLOOKUP(Taxaties!$A297,Table3[Sub],Table3[Verzekerde interest]),"-")</f>
        <v>-</v>
      </c>
      <c r="D297" s="118"/>
      <c r="E297" s="119"/>
      <c r="F297" s="118"/>
      <c r="G297" s="120"/>
    </row>
    <row r="298" spans="1:7" x14ac:dyDescent="0.3">
      <c r="A298" s="121"/>
      <c r="B298" s="123"/>
      <c r="C298" s="123" t="str">
        <f>IFERROR(_xlfn.XLOOKUP(Taxaties!$A298,Table3[Sub],Table3[Verzekerde interest]),"-")</f>
        <v>-</v>
      </c>
      <c r="D298" s="123"/>
      <c r="E298" s="124"/>
      <c r="F298" s="123"/>
      <c r="G298" s="125"/>
    </row>
    <row r="299" spans="1:7" x14ac:dyDescent="0.3">
      <c r="A299" s="116"/>
      <c r="B299" s="118"/>
      <c r="C299" s="118" t="str">
        <f>IFERROR(_xlfn.XLOOKUP(Taxaties!$A299,Table3[Sub],Table3[Verzekerde interest]),"-")</f>
        <v>-</v>
      </c>
      <c r="D299" s="118"/>
      <c r="E299" s="119"/>
      <c r="F299" s="118"/>
      <c r="G299" s="120"/>
    </row>
    <row r="300" spans="1:7" x14ac:dyDescent="0.3">
      <c r="A300" s="121"/>
      <c r="B300" s="123"/>
      <c r="C300" s="123" t="str">
        <f>IFERROR(_xlfn.XLOOKUP(Taxaties!$A300,Table3[Sub],Table3[Verzekerde interest]),"-")</f>
        <v>-</v>
      </c>
      <c r="D300" s="123"/>
      <c r="E300" s="124"/>
      <c r="F300" s="123"/>
      <c r="G300" s="125"/>
    </row>
    <row r="301" spans="1:7" x14ac:dyDescent="0.3">
      <c r="A301" s="116"/>
      <c r="B301" s="118"/>
      <c r="C301" s="118" t="str">
        <f>IFERROR(_xlfn.XLOOKUP(Taxaties!$A301,Table3[Sub],Table3[Verzekerde interest]),"-")</f>
        <v>-</v>
      </c>
      <c r="D301" s="118"/>
      <c r="E301" s="119"/>
      <c r="F301" s="118"/>
      <c r="G301" s="120"/>
    </row>
    <row r="302" spans="1:7" x14ac:dyDescent="0.3">
      <c r="A302" s="121"/>
      <c r="B302" s="123"/>
      <c r="C302" s="123" t="str">
        <f>IFERROR(_xlfn.XLOOKUP(Taxaties!$A302,Table3[Sub],Table3[Verzekerde interest]),"-")</f>
        <v>-</v>
      </c>
      <c r="D302" s="123"/>
      <c r="E302" s="124"/>
      <c r="F302" s="123"/>
      <c r="G302" s="125"/>
    </row>
    <row r="303" spans="1:7" x14ac:dyDescent="0.3">
      <c r="A303" s="116"/>
      <c r="B303" s="118"/>
      <c r="C303" s="118" t="str">
        <f>IFERROR(_xlfn.XLOOKUP(Taxaties!$A303,Table3[Sub],Table3[Verzekerde interest]),"-")</f>
        <v>-</v>
      </c>
      <c r="D303" s="118"/>
      <c r="E303" s="119"/>
      <c r="F303" s="118"/>
      <c r="G303" s="120"/>
    </row>
    <row r="304" spans="1:7" x14ac:dyDescent="0.3">
      <c r="A304" s="121"/>
      <c r="B304" s="123"/>
      <c r="C304" s="123" t="str">
        <f>IFERROR(_xlfn.XLOOKUP(Taxaties!$A304,Table3[Sub],Table3[Verzekerde interest]),"-")</f>
        <v>-</v>
      </c>
      <c r="D304" s="123"/>
      <c r="E304" s="124"/>
      <c r="F304" s="123"/>
      <c r="G304" s="125"/>
    </row>
    <row r="305" spans="1:7" x14ac:dyDescent="0.3">
      <c r="A305" s="116"/>
      <c r="B305" s="118"/>
      <c r="C305" s="118" t="str">
        <f>IFERROR(_xlfn.XLOOKUP(Taxaties!$A305,Table3[Sub],Table3[Verzekerde interest]),"-")</f>
        <v>-</v>
      </c>
      <c r="D305" s="118"/>
      <c r="E305" s="119"/>
      <c r="F305" s="118"/>
      <c r="G305" s="120"/>
    </row>
    <row r="306" spans="1:7" x14ac:dyDescent="0.3">
      <c r="A306" s="121"/>
      <c r="B306" s="123"/>
      <c r="C306" s="123" t="str">
        <f>IFERROR(_xlfn.XLOOKUP(Taxaties!$A306,Table3[Sub],Table3[Verzekerde interest]),"-")</f>
        <v>-</v>
      </c>
      <c r="D306" s="123"/>
      <c r="E306" s="124"/>
      <c r="F306" s="123"/>
      <c r="G306" s="125"/>
    </row>
    <row r="307" spans="1:7" x14ac:dyDescent="0.3">
      <c r="A307" s="116"/>
      <c r="B307" s="118"/>
      <c r="C307" s="118" t="str">
        <f>IFERROR(_xlfn.XLOOKUP(Taxaties!$A307,Table3[Sub],Table3[Verzekerde interest]),"-")</f>
        <v>-</v>
      </c>
      <c r="D307" s="118"/>
      <c r="E307" s="119"/>
      <c r="F307" s="118"/>
      <c r="G307" s="120"/>
    </row>
    <row r="308" spans="1:7" x14ac:dyDescent="0.3">
      <c r="A308" s="121"/>
      <c r="B308" s="123"/>
      <c r="C308" s="123" t="str">
        <f>IFERROR(_xlfn.XLOOKUP(Taxaties!$A308,Table3[Sub],Table3[Verzekerde interest]),"-")</f>
        <v>-</v>
      </c>
      <c r="D308" s="123"/>
      <c r="E308" s="124"/>
      <c r="F308" s="123"/>
      <c r="G308" s="125"/>
    </row>
    <row r="309" spans="1:7" x14ac:dyDescent="0.3">
      <c r="A309" s="116"/>
      <c r="B309" s="118"/>
      <c r="C309" s="118" t="str">
        <f>IFERROR(_xlfn.XLOOKUP(Taxaties!$A309,Table3[Sub],Table3[Verzekerde interest]),"-")</f>
        <v>-</v>
      </c>
      <c r="D309" s="118"/>
      <c r="E309" s="119"/>
      <c r="F309" s="118"/>
      <c r="G309" s="120"/>
    </row>
    <row r="310" spans="1:7" x14ac:dyDescent="0.3">
      <c r="A310" s="121"/>
      <c r="B310" s="123"/>
      <c r="C310" s="123" t="str">
        <f>IFERROR(_xlfn.XLOOKUP(Taxaties!$A310,Table3[Sub],Table3[Verzekerde interest]),"-")</f>
        <v>-</v>
      </c>
      <c r="D310" s="123"/>
      <c r="E310" s="124"/>
      <c r="F310" s="123"/>
      <c r="G310" s="125"/>
    </row>
    <row r="311" spans="1:7" x14ac:dyDescent="0.3">
      <c r="A311" s="116"/>
      <c r="B311" s="118"/>
      <c r="C311" s="118" t="str">
        <f>IFERROR(_xlfn.XLOOKUP(Taxaties!$A311,Table3[Sub],Table3[Verzekerde interest]),"-")</f>
        <v>-</v>
      </c>
      <c r="D311" s="118"/>
      <c r="E311" s="119"/>
      <c r="F311" s="118"/>
      <c r="G311" s="120"/>
    </row>
    <row r="312" spans="1:7" x14ac:dyDescent="0.3">
      <c r="A312" s="121"/>
      <c r="B312" s="123"/>
      <c r="C312" s="123" t="str">
        <f>IFERROR(_xlfn.XLOOKUP(Taxaties!$A312,Table3[Sub],Table3[Verzekerde interest]),"-")</f>
        <v>-</v>
      </c>
      <c r="D312" s="123"/>
      <c r="E312" s="124"/>
      <c r="F312" s="123"/>
      <c r="G312" s="125"/>
    </row>
    <row r="313" spans="1:7" x14ac:dyDescent="0.3">
      <c r="A313" s="116"/>
      <c r="B313" s="118"/>
      <c r="C313" s="118" t="str">
        <f>IFERROR(_xlfn.XLOOKUP(Taxaties!$A313,Table3[Sub],Table3[Verzekerde interest]),"-")</f>
        <v>-</v>
      </c>
      <c r="D313" s="118"/>
      <c r="E313" s="119"/>
      <c r="F313" s="118"/>
      <c r="G313" s="120"/>
    </row>
    <row r="314" spans="1:7" x14ac:dyDescent="0.3">
      <c r="A314" s="121"/>
      <c r="B314" s="123"/>
      <c r="C314" s="123" t="str">
        <f>IFERROR(_xlfn.XLOOKUP(Taxaties!$A314,Table3[Sub],Table3[Verzekerde interest]),"-")</f>
        <v>-</v>
      </c>
      <c r="D314" s="123"/>
      <c r="E314" s="124"/>
      <c r="F314" s="123"/>
      <c r="G314" s="125"/>
    </row>
    <row r="315" spans="1:7" x14ac:dyDescent="0.3">
      <c r="A315" s="116"/>
      <c r="B315" s="118"/>
      <c r="C315" s="118" t="str">
        <f>IFERROR(_xlfn.XLOOKUP(Taxaties!$A315,Table3[Sub],Table3[Verzekerde interest]),"-")</f>
        <v>-</v>
      </c>
      <c r="D315" s="118"/>
      <c r="E315" s="119"/>
      <c r="F315" s="118"/>
      <c r="G315" s="120"/>
    </row>
    <row r="316" spans="1:7" x14ac:dyDescent="0.3">
      <c r="A316" s="121"/>
      <c r="B316" s="123"/>
      <c r="C316" s="123" t="str">
        <f>IFERROR(_xlfn.XLOOKUP(Taxaties!$A316,Table3[Sub],Table3[Verzekerde interest]),"-")</f>
        <v>-</v>
      </c>
      <c r="D316" s="123"/>
      <c r="E316" s="124"/>
      <c r="F316" s="123"/>
      <c r="G316" s="125"/>
    </row>
    <row r="317" spans="1:7" x14ac:dyDescent="0.3">
      <c r="A317" s="116"/>
      <c r="B317" s="118"/>
      <c r="C317" s="118" t="str">
        <f>IFERROR(_xlfn.XLOOKUP(Taxaties!$A317,Table3[Sub],Table3[Verzekerde interest]),"-")</f>
        <v>-</v>
      </c>
      <c r="D317" s="118"/>
      <c r="E317" s="119"/>
      <c r="F317" s="118"/>
      <c r="G317" s="120"/>
    </row>
    <row r="318" spans="1:7" x14ac:dyDescent="0.3">
      <c r="A318" s="121"/>
      <c r="B318" s="123"/>
      <c r="C318" s="123" t="str">
        <f>IFERROR(_xlfn.XLOOKUP(Taxaties!$A318,Table3[Sub],Table3[Verzekerde interest]),"-")</f>
        <v>-</v>
      </c>
      <c r="D318" s="123"/>
      <c r="E318" s="124"/>
      <c r="F318" s="123"/>
      <c r="G318" s="125"/>
    </row>
    <row r="319" spans="1:7" x14ac:dyDescent="0.3">
      <c r="A319" s="116"/>
      <c r="B319" s="118"/>
      <c r="C319" s="118" t="str">
        <f>IFERROR(_xlfn.XLOOKUP(Taxaties!$A319,Table3[Sub],Table3[Verzekerde interest]),"-")</f>
        <v>-</v>
      </c>
      <c r="D319" s="118"/>
      <c r="E319" s="119"/>
      <c r="F319" s="118"/>
      <c r="G319" s="120"/>
    </row>
    <row r="320" spans="1:7" x14ac:dyDescent="0.3">
      <c r="A320" s="121"/>
      <c r="B320" s="123"/>
      <c r="C320" s="123" t="str">
        <f>IFERROR(_xlfn.XLOOKUP(Taxaties!$A320,Table3[Sub],Table3[Verzekerde interest]),"-")</f>
        <v>-</v>
      </c>
      <c r="D320" s="123"/>
      <c r="E320" s="124"/>
      <c r="F320" s="123"/>
      <c r="G320" s="125"/>
    </row>
    <row r="321" spans="1:7" x14ac:dyDescent="0.3">
      <c r="A321" s="116"/>
      <c r="B321" s="118"/>
      <c r="C321" s="118" t="str">
        <f>IFERROR(_xlfn.XLOOKUP(Taxaties!$A321,Table3[Sub],Table3[Verzekerde interest]),"-")</f>
        <v>-</v>
      </c>
      <c r="D321" s="118"/>
      <c r="E321" s="119"/>
      <c r="F321" s="118"/>
      <c r="G321" s="120"/>
    </row>
    <row r="322" spans="1:7" x14ac:dyDescent="0.3">
      <c r="A322" s="121"/>
      <c r="B322" s="123"/>
      <c r="C322" s="123" t="str">
        <f>IFERROR(_xlfn.XLOOKUP(Taxaties!$A322,Table3[Sub],Table3[Verzekerde interest]),"-")</f>
        <v>-</v>
      </c>
      <c r="D322" s="123"/>
      <c r="E322" s="124"/>
      <c r="F322" s="123"/>
      <c r="G322" s="125"/>
    </row>
    <row r="323" spans="1:7" x14ac:dyDescent="0.3">
      <c r="A323" s="116"/>
      <c r="B323" s="118"/>
      <c r="C323" s="118" t="str">
        <f>IFERROR(_xlfn.XLOOKUP(Taxaties!$A323,Table3[Sub],Table3[Verzekerde interest]),"-")</f>
        <v>-</v>
      </c>
      <c r="D323" s="118"/>
      <c r="E323" s="119"/>
      <c r="F323" s="118"/>
      <c r="G323" s="120"/>
    </row>
    <row r="324" spans="1:7" x14ac:dyDescent="0.3">
      <c r="A324" s="121"/>
      <c r="B324" s="123"/>
      <c r="C324" s="123" t="str">
        <f>IFERROR(_xlfn.XLOOKUP(Taxaties!$A324,Table3[Sub],Table3[Verzekerde interest]),"-")</f>
        <v>-</v>
      </c>
      <c r="D324" s="123"/>
      <c r="E324" s="124"/>
      <c r="F324" s="123"/>
      <c r="G324" s="125"/>
    </row>
    <row r="325" spans="1:7" x14ac:dyDescent="0.3">
      <c r="A325" s="116"/>
      <c r="B325" s="118"/>
      <c r="C325" s="118" t="str">
        <f>IFERROR(_xlfn.XLOOKUP(Taxaties!$A325,Table3[Sub],Table3[Verzekerde interest]),"-")</f>
        <v>-</v>
      </c>
      <c r="D325" s="118"/>
      <c r="E325" s="119"/>
      <c r="F325" s="118"/>
      <c r="G325" s="120"/>
    </row>
    <row r="326" spans="1:7" x14ac:dyDescent="0.3">
      <c r="A326" s="121"/>
      <c r="B326" s="123"/>
      <c r="C326" s="123" t="str">
        <f>IFERROR(_xlfn.XLOOKUP(Taxaties!$A326,Table3[Sub],Table3[Verzekerde interest]),"-")</f>
        <v>-</v>
      </c>
      <c r="D326" s="123"/>
      <c r="E326" s="124"/>
      <c r="F326" s="123"/>
      <c r="G326" s="125"/>
    </row>
    <row r="327" spans="1:7" x14ac:dyDescent="0.3">
      <c r="A327" s="116"/>
      <c r="B327" s="118"/>
      <c r="C327" s="118" t="str">
        <f>IFERROR(_xlfn.XLOOKUP(Taxaties!$A327,Table3[Sub],Table3[Verzekerde interest]),"-")</f>
        <v>-</v>
      </c>
      <c r="D327" s="118"/>
      <c r="E327" s="119"/>
      <c r="F327" s="118"/>
      <c r="G327" s="120"/>
    </row>
    <row r="328" spans="1:7" x14ac:dyDescent="0.3">
      <c r="A328" s="121"/>
      <c r="B328" s="123"/>
      <c r="C328" s="123" t="str">
        <f>IFERROR(_xlfn.XLOOKUP(Taxaties!$A328,Table3[Sub],Table3[Verzekerde interest]),"-")</f>
        <v>-</v>
      </c>
      <c r="D328" s="123"/>
      <c r="E328" s="124"/>
      <c r="F328" s="123"/>
      <c r="G328" s="125"/>
    </row>
    <row r="329" spans="1:7" x14ac:dyDescent="0.3">
      <c r="A329" s="116"/>
      <c r="B329" s="118"/>
      <c r="C329" s="118" t="str">
        <f>IFERROR(_xlfn.XLOOKUP(Taxaties!$A329,Table3[Sub],Table3[Verzekerde interest]),"-")</f>
        <v>-</v>
      </c>
      <c r="D329" s="118"/>
      <c r="E329" s="119"/>
      <c r="F329" s="118"/>
      <c r="G329" s="120"/>
    </row>
    <row r="330" spans="1:7" x14ac:dyDescent="0.3">
      <c r="A330" s="121"/>
      <c r="B330" s="123"/>
      <c r="C330" s="123" t="str">
        <f>IFERROR(_xlfn.XLOOKUP(Taxaties!$A330,Table3[Sub],Table3[Verzekerde interest]),"-")</f>
        <v>-</v>
      </c>
      <c r="D330" s="123"/>
      <c r="E330" s="124"/>
      <c r="F330" s="123"/>
      <c r="G330" s="125"/>
    </row>
    <row r="331" spans="1:7" x14ac:dyDescent="0.3">
      <c r="A331" s="116"/>
      <c r="B331" s="118"/>
      <c r="C331" s="118" t="str">
        <f>IFERROR(_xlfn.XLOOKUP(Taxaties!$A331,Table3[Sub],Table3[Verzekerde interest]),"-")</f>
        <v>-</v>
      </c>
      <c r="D331" s="118"/>
      <c r="E331" s="119"/>
      <c r="F331" s="118"/>
      <c r="G331" s="120"/>
    </row>
    <row r="332" spans="1:7" x14ac:dyDescent="0.3">
      <c r="A332" s="121"/>
      <c r="B332" s="123"/>
      <c r="C332" s="123" t="str">
        <f>IFERROR(_xlfn.XLOOKUP(Taxaties!$A332,Table3[Sub],Table3[Verzekerde interest]),"-")</f>
        <v>-</v>
      </c>
      <c r="D332" s="123"/>
      <c r="E332" s="124"/>
      <c r="F332" s="123"/>
      <c r="G332" s="125"/>
    </row>
    <row r="333" spans="1:7" x14ac:dyDescent="0.3">
      <c r="A333" s="116"/>
      <c r="B333" s="118"/>
      <c r="C333" s="118" t="str">
        <f>IFERROR(_xlfn.XLOOKUP(Taxaties!$A333,Table3[Sub],Table3[Verzekerde interest]),"-")</f>
        <v>-</v>
      </c>
      <c r="D333" s="118"/>
      <c r="E333" s="119"/>
      <c r="F333" s="118"/>
      <c r="G333" s="120"/>
    </row>
    <row r="334" spans="1:7" x14ac:dyDescent="0.3">
      <c r="A334" s="121"/>
      <c r="B334" s="123"/>
      <c r="C334" s="123" t="str">
        <f>IFERROR(_xlfn.XLOOKUP(Taxaties!$A334,Table3[Sub],Table3[Verzekerde interest]),"-")</f>
        <v>-</v>
      </c>
      <c r="D334" s="123"/>
      <c r="E334" s="124"/>
      <c r="F334" s="123"/>
      <c r="G334" s="125"/>
    </row>
    <row r="335" spans="1:7" x14ac:dyDescent="0.3">
      <c r="A335" s="116"/>
      <c r="B335" s="118"/>
      <c r="C335" s="118" t="str">
        <f>IFERROR(_xlfn.XLOOKUP(Taxaties!$A335,Table3[Sub],Table3[Verzekerde interest]),"-")</f>
        <v>-</v>
      </c>
      <c r="D335" s="118"/>
      <c r="E335" s="119"/>
      <c r="F335" s="118"/>
      <c r="G335" s="120"/>
    </row>
    <row r="336" spans="1:7" x14ac:dyDescent="0.3">
      <c r="A336" s="121"/>
      <c r="B336" s="123"/>
      <c r="C336" s="123" t="str">
        <f>IFERROR(_xlfn.XLOOKUP(Taxaties!$A336,Table3[Sub],Table3[Verzekerde interest]),"-")</f>
        <v>-</v>
      </c>
      <c r="D336" s="123"/>
      <c r="E336" s="124"/>
      <c r="F336" s="123"/>
      <c r="G336" s="125"/>
    </row>
    <row r="337" spans="1:7" x14ac:dyDescent="0.3">
      <c r="A337" s="116"/>
      <c r="B337" s="118"/>
      <c r="C337" s="118" t="str">
        <f>IFERROR(_xlfn.XLOOKUP(Taxaties!$A337,Table3[Sub],Table3[Verzekerde interest]),"-")</f>
        <v>-</v>
      </c>
      <c r="D337" s="118"/>
      <c r="E337" s="119"/>
      <c r="F337" s="118"/>
      <c r="G337" s="120"/>
    </row>
    <row r="338" spans="1:7" x14ac:dyDescent="0.3">
      <c r="A338" s="121"/>
      <c r="B338" s="123"/>
      <c r="C338" s="123" t="str">
        <f>IFERROR(_xlfn.XLOOKUP(Taxaties!$A338,Table3[Sub],Table3[Verzekerde interest]),"-")</f>
        <v>-</v>
      </c>
      <c r="D338" s="123"/>
      <c r="E338" s="124"/>
      <c r="F338" s="123"/>
      <c r="G338" s="125"/>
    </row>
    <row r="339" spans="1:7" x14ac:dyDescent="0.3">
      <c r="A339" s="116"/>
      <c r="B339" s="118"/>
      <c r="C339" s="118" t="str">
        <f>IFERROR(_xlfn.XLOOKUP(Taxaties!$A339,Table3[Sub],Table3[Verzekerde interest]),"-")</f>
        <v>-</v>
      </c>
      <c r="D339" s="118"/>
      <c r="E339" s="119"/>
      <c r="F339" s="118"/>
      <c r="G339" s="120"/>
    </row>
    <row r="340" spans="1:7" x14ac:dyDescent="0.3">
      <c r="A340" s="121"/>
      <c r="B340" s="123"/>
      <c r="C340" s="123" t="str">
        <f>IFERROR(_xlfn.XLOOKUP(Taxaties!$A340,Table3[Sub],Table3[Verzekerde interest]),"-")</f>
        <v>-</v>
      </c>
      <c r="D340" s="123"/>
      <c r="E340" s="124"/>
      <c r="F340" s="123"/>
      <c r="G340" s="125"/>
    </row>
    <row r="341" spans="1:7" x14ac:dyDescent="0.3">
      <c r="A341" s="116"/>
      <c r="B341" s="118"/>
      <c r="C341" s="118" t="str">
        <f>IFERROR(_xlfn.XLOOKUP(Taxaties!$A341,Table3[Sub],Table3[Verzekerde interest]),"-")</f>
        <v>-</v>
      </c>
      <c r="D341" s="118"/>
      <c r="E341" s="119"/>
      <c r="F341" s="118"/>
      <c r="G341" s="120"/>
    </row>
    <row r="342" spans="1:7" x14ac:dyDescent="0.3">
      <c r="A342" s="121"/>
      <c r="B342" s="123"/>
      <c r="C342" s="123" t="str">
        <f>IFERROR(_xlfn.XLOOKUP(Taxaties!$A342,Table3[Sub],Table3[Verzekerde interest]),"-")</f>
        <v>-</v>
      </c>
      <c r="D342" s="123"/>
      <c r="E342" s="124"/>
      <c r="F342" s="123"/>
      <c r="G342" s="125"/>
    </row>
    <row r="343" spans="1:7" x14ac:dyDescent="0.3">
      <c r="A343" s="116"/>
      <c r="B343" s="118"/>
      <c r="C343" s="118" t="str">
        <f>IFERROR(_xlfn.XLOOKUP(Taxaties!$A343,Table3[Sub],Table3[Verzekerde interest]),"-")</f>
        <v>-</v>
      </c>
      <c r="D343" s="118"/>
      <c r="E343" s="119"/>
      <c r="F343" s="118"/>
      <c r="G343" s="120"/>
    </row>
    <row r="344" spans="1:7" x14ac:dyDescent="0.3">
      <c r="A344" s="121"/>
      <c r="B344" s="123"/>
      <c r="C344" s="123" t="str">
        <f>IFERROR(_xlfn.XLOOKUP(Taxaties!$A344,Table3[Sub],Table3[Verzekerde interest]),"-")</f>
        <v>-</v>
      </c>
      <c r="D344" s="123"/>
      <c r="E344" s="124"/>
      <c r="F344" s="123"/>
      <c r="G344" s="125"/>
    </row>
    <row r="345" spans="1:7" x14ac:dyDescent="0.3">
      <c r="A345" s="116"/>
      <c r="B345" s="118"/>
      <c r="C345" s="118" t="str">
        <f>IFERROR(_xlfn.XLOOKUP(Taxaties!$A345,Table3[Sub],Table3[Verzekerde interest]),"-")</f>
        <v>-</v>
      </c>
      <c r="D345" s="118"/>
      <c r="E345" s="119"/>
      <c r="F345" s="118"/>
      <c r="G345" s="120"/>
    </row>
    <row r="346" spans="1:7" x14ac:dyDescent="0.3">
      <c r="A346" s="121"/>
      <c r="B346" s="123"/>
      <c r="C346" s="123" t="str">
        <f>IFERROR(_xlfn.XLOOKUP(Taxaties!$A346,Table3[Sub],Table3[Verzekerde interest]),"-")</f>
        <v>-</v>
      </c>
      <c r="D346" s="123"/>
      <c r="E346" s="124"/>
      <c r="F346" s="123"/>
      <c r="G346" s="125"/>
    </row>
    <row r="347" spans="1:7" x14ac:dyDescent="0.3">
      <c r="A347" s="116"/>
      <c r="B347" s="118"/>
      <c r="C347" s="118" t="str">
        <f>IFERROR(_xlfn.XLOOKUP(Taxaties!$A347,Table3[Sub],Table3[Verzekerde interest]),"-")</f>
        <v>-</v>
      </c>
      <c r="D347" s="118"/>
      <c r="E347" s="119"/>
      <c r="F347" s="118"/>
      <c r="G347" s="120"/>
    </row>
    <row r="348" spans="1:7" x14ac:dyDescent="0.3">
      <c r="A348" s="121"/>
      <c r="B348" s="123"/>
      <c r="C348" s="123" t="str">
        <f>IFERROR(_xlfn.XLOOKUP(Taxaties!$A348,Table3[Sub],Table3[Verzekerde interest]),"-")</f>
        <v>-</v>
      </c>
      <c r="D348" s="123"/>
      <c r="E348" s="124"/>
      <c r="F348" s="123"/>
      <c r="G348" s="125"/>
    </row>
    <row r="349" spans="1:7" x14ac:dyDescent="0.3">
      <c r="A349" s="116"/>
      <c r="B349" s="118"/>
      <c r="C349" s="118" t="str">
        <f>IFERROR(_xlfn.XLOOKUP(Taxaties!$A349,Table3[Sub],Table3[Verzekerde interest]),"-")</f>
        <v>-</v>
      </c>
      <c r="D349" s="118"/>
      <c r="E349" s="119"/>
      <c r="F349" s="118"/>
      <c r="G349" s="120"/>
    </row>
    <row r="350" spans="1:7" x14ac:dyDescent="0.3">
      <c r="A350" s="121"/>
      <c r="B350" s="123"/>
      <c r="C350" s="123" t="str">
        <f>IFERROR(_xlfn.XLOOKUP(Taxaties!$A350,Table3[Sub],Table3[Verzekerde interest]),"-")</f>
        <v>-</v>
      </c>
      <c r="D350" s="123"/>
      <c r="E350" s="124"/>
      <c r="F350" s="123"/>
      <c r="G350" s="125"/>
    </row>
    <row r="351" spans="1:7" x14ac:dyDescent="0.3">
      <c r="A351" s="116"/>
      <c r="B351" s="118"/>
      <c r="C351" s="118" t="str">
        <f>IFERROR(_xlfn.XLOOKUP(Taxaties!$A351,Table3[Sub],Table3[Verzekerde interest]),"-")</f>
        <v>-</v>
      </c>
      <c r="D351" s="118"/>
      <c r="E351" s="119"/>
      <c r="F351" s="118"/>
      <c r="G351" s="120"/>
    </row>
    <row r="352" spans="1:7" x14ac:dyDescent="0.3">
      <c r="A352" s="121"/>
      <c r="B352" s="123"/>
      <c r="C352" s="123" t="str">
        <f>IFERROR(_xlfn.XLOOKUP(Taxaties!$A352,Table3[Sub],Table3[Verzekerde interest]),"-")</f>
        <v>-</v>
      </c>
      <c r="D352" s="123"/>
      <c r="E352" s="124"/>
      <c r="F352" s="123"/>
      <c r="G352" s="125"/>
    </row>
    <row r="353" spans="1:7" x14ac:dyDescent="0.3">
      <c r="A353" s="116"/>
      <c r="B353" s="118"/>
      <c r="C353" s="118" t="str">
        <f>IFERROR(_xlfn.XLOOKUP(Taxaties!$A353,Table3[Sub],Table3[Verzekerde interest]),"-")</f>
        <v>-</v>
      </c>
      <c r="D353" s="118"/>
      <c r="E353" s="119"/>
      <c r="F353" s="118"/>
      <c r="G353" s="120"/>
    </row>
    <row r="354" spans="1:7" x14ac:dyDescent="0.3">
      <c r="A354" s="121"/>
      <c r="B354" s="123"/>
      <c r="C354" s="123" t="str">
        <f>IFERROR(_xlfn.XLOOKUP(Taxaties!$A354,Table3[Sub],Table3[Verzekerde interest]),"-")</f>
        <v>-</v>
      </c>
      <c r="D354" s="123"/>
      <c r="E354" s="124"/>
      <c r="F354" s="123"/>
      <c r="G354" s="125"/>
    </row>
    <row r="355" spans="1:7" x14ac:dyDescent="0.3">
      <c r="A355" s="116"/>
      <c r="B355" s="118"/>
      <c r="C355" s="118" t="str">
        <f>IFERROR(_xlfn.XLOOKUP(Taxaties!$A355,Table3[Sub],Table3[Verzekerde interest]),"-")</f>
        <v>-</v>
      </c>
      <c r="D355" s="118"/>
      <c r="E355" s="119"/>
      <c r="F355" s="118"/>
      <c r="G355" s="120"/>
    </row>
    <row r="356" spans="1:7" x14ac:dyDescent="0.3">
      <c r="A356" s="121"/>
      <c r="B356" s="123"/>
      <c r="C356" s="123" t="str">
        <f>IFERROR(_xlfn.XLOOKUP(Taxaties!$A356,Table3[Sub],Table3[Verzekerde interest]),"-")</f>
        <v>-</v>
      </c>
      <c r="D356" s="123"/>
      <c r="E356" s="124"/>
      <c r="F356" s="123"/>
      <c r="G356" s="125"/>
    </row>
    <row r="357" spans="1:7" x14ac:dyDescent="0.3">
      <c r="A357" s="116"/>
      <c r="B357" s="118"/>
      <c r="C357" s="118" t="str">
        <f>IFERROR(_xlfn.XLOOKUP(Taxaties!$A357,Table3[Sub],Table3[Verzekerde interest]),"-")</f>
        <v>-</v>
      </c>
      <c r="D357" s="118"/>
      <c r="E357" s="119"/>
      <c r="F357" s="118"/>
      <c r="G357" s="120"/>
    </row>
    <row r="358" spans="1:7" x14ac:dyDescent="0.3">
      <c r="A358" s="121"/>
      <c r="B358" s="123"/>
      <c r="C358" s="123" t="str">
        <f>IFERROR(_xlfn.XLOOKUP(Taxaties!$A358,Table3[Sub],Table3[Verzekerde interest]),"-")</f>
        <v>-</v>
      </c>
      <c r="D358" s="123"/>
      <c r="E358" s="124"/>
      <c r="F358" s="123"/>
      <c r="G358" s="125"/>
    </row>
    <row r="359" spans="1:7" x14ac:dyDescent="0.3">
      <c r="A359" s="116"/>
      <c r="B359" s="118"/>
      <c r="C359" s="118" t="str">
        <f>IFERROR(_xlfn.XLOOKUP(Taxaties!$A359,Table3[Sub],Table3[Verzekerde interest]),"-")</f>
        <v>-</v>
      </c>
      <c r="D359" s="118"/>
      <c r="E359" s="119"/>
      <c r="F359" s="118"/>
      <c r="G359" s="120"/>
    </row>
    <row r="360" spans="1:7" x14ac:dyDescent="0.3">
      <c r="A360" s="121"/>
      <c r="B360" s="123"/>
      <c r="C360" s="123" t="str">
        <f>IFERROR(_xlfn.XLOOKUP(Taxaties!$A360,Table3[Sub],Table3[Verzekerde interest]),"-")</f>
        <v>-</v>
      </c>
      <c r="D360" s="123"/>
      <c r="E360" s="124"/>
      <c r="F360" s="123"/>
      <c r="G360" s="125"/>
    </row>
    <row r="361" spans="1:7" x14ac:dyDescent="0.3">
      <c r="A361" s="116"/>
      <c r="B361" s="118"/>
      <c r="C361" s="118" t="str">
        <f>IFERROR(_xlfn.XLOOKUP(Taxaties!$A361,Table3[Sub],Table3[Verzekerde interest]),"-")</f>
        <v>-</v>
      </c>
      <c r="D361" s="118"/>
      <c r="E361" s="119"/>
      <c r="F361" s="118"/>
      <c r="G361" s="120"/>
    </row>
    <row r="362" spans="1:7" x14ac:dyDescent="0.3">
      <c r="A362" s="121"/>
      <c r="B362" s="123"/>
      <c r="C362" s="123" t="str">
        <f>IFERROR(_xlfn.XLOOKUP(Taxaties!$A362,Table3[Sub],Table3[Verzekerde interest]),"-")</f>
        <v>-</v>
      </c>
      <c r="D362" s="123"/>
      <c r="E362" s="124"/>
      <c r="F362" s="123"/>
      <c r="G362" s="125"/>
    </row>
    <row r="363" spans="1:7" x14ac:dyDescent="0.3">
      <c r="A363" s="116"/>
      <c r="B363" s="118"/>
      <c r="C363" s="118" t="str">
        <f>IFERROR(_xlfn.XLOOKUP(Taxaties!$A363,Table3[Sub],Table3[Verzekerde interest]),"-")</f>
        <v>-</v>
      </c>
      <c r="D363" s="118"/>
      <c r="E363" s="119"/>
      <c r="F363" s="118"/>
      <c r="G363" s="120"/>
    </row>
    <row r="364" spans="1:7" x14ac:dyDescent="0.3">
      <c r="A364" s="121"/>
      <c r="B364" s="123"/>
      <c r="C364" s="123" t="str">
        <f>IFERROR(_xlfn.XLOOKUP(Taxaties!$A364,Table3[Sub],Table3[Verzekerde interest]),"-")</f>
        <v>-</v>
      </c>
      <c r="D364" s="123"/>
      <c r="E364" s="124"/>
      <c r="F364" s="123"/>
      <c r="G364" s="125"/>
    </row>
    <row r="365" spans="1:7" x14ac:dyDescent="0.3">
      <c r="A365" s="116"/>
      <c r="B365" s="118"/>
      <c r="C365" s="118" t="str">
        <f>IFERROR(_xlfn.XLOOKUP(Taxaties!$A365,Table3[Sub],Table3[Verzekerde interest]),"-")</f>
        <v>-</v>
      </c>
      <c r="D365" s="118"/>
      <c r="E365" s="119"/>
      <c r="F365" s="118"/>
      <c r="G365" s="120"/>
    </row>
    <row r="366" spans="1:7" x14ac:dyDescent="0.3">
      <c r="A366" s="121"/>
      <c r="B366" s="123"/>
      <c r="C366" s="123" t="str">
        <f>IFERROR(_xlfn.XLOOKUP(Taxaties!$A366,Table3[Sub],Table3[Verzekerde interest]),"-")</f>
        <v>-</v>
      </c>
      <c r="D366" s="123"/>
      <c r="E366" s="124"/>
      <c r="F366" s="123"/>
      <c r="G366" s="125"/>
    </row>
    <row r="367" spans="1:7" x14ac:dyDescent="0.3">
      <c r="A367" s="116"/>
      <c r="B367" s="118"/>
      <c r="C367" s="118" t="str">
        <f>IFERROR(_xlfn.XLOOKUP(Taxaties!$A367,Table3[Sub],Table3[Verzekerde interest]),"-")</f>
        <v>-</v>
      </c>
      <c r="D367" s="118"/>
      <c r="E367" s="119"/>
      <c r="F367" s="118"/>
      <c r="G367" s="120"/>
    </row>
    <row r="368" spans="1:7" x14ac:dyDescent="0.3">
      <c r="A368" s="121"/>
      <c r="B368" s="123"/>
      <c r="C368" s="123" t="str">
        <f>IFERROR(_xlfn.XLOOKUP(Taxaties!$A368,Table3[Sub],Table3[Verzekerde interest]),"-")</f>
        <v>-</v>
      </c>
      <c r="D368" s="123"/>
      <c r="E368" s="124"/>
      <c r="F368" s="123"/>
      <c r="G368" s="125"/>
    </row>
    <row r="369" spans="1:7" x14ac:dyDescent="0.3">
      <c r="A369" s="116"/>
      <c r="B369" s="118"/>
      <c r="C369" s="118" t="str">
        <f>IFERROR(_xlfn.XLOOKUP(Taxaties!$A369,Table3[Sub],Table3[Verzekerde interest]),"-")</f>
        <v>-</v>
      </c>
      <c r="D369" s="118"/>
      <c r="E369" s="119"/>
      <c r="F369" s="118"/>
      <c r="G369" s="120"/>
    </row>
    <row r="370" spans="1:7" x14ac:dyDescent="0.3">
      <c r="A370" s="121"/>
      <c r="B370" s="123"/>
      <c r="C370" s="123" t="str">
        <f>IFERROR(_xlfn.XLOOKUP(Taxaties!$A370,Table3[Sub],Table3[Verzekerde interest]),"-")</f>
        <v>-</v>
      </c>
      <c r="D370" s="123"/>
      <c r="E370" s="124"/>
      <c r="F370" s="123"/>
      <c r="G370" s="125"/>
    </row>
    <row r="371" spans="1:7" x14ac:dyDescent="0.3">
      <c r="A371" s="116"/>
      <c r="B371" s="118"/>
      <c r="C371" s="118" t="str">
        <f>IFERROR(_xlfn.XLOOKUP(Taxaties!$A371,Table3[Sub],Table3[Verzekerde interest]),"-")</f>
        <v>-</v>
      </c>
      <c r="D371" s="118"/>
      <c r="E371" s="119"/>
      <c r="F371" s="118"/>
      <c r="G371" s="120"/>
    </row>
    <row r="372" spans="1:7" x14ac:dyDescent="0.3">
      <c r="A372" s="121"/>
      <c r="B372" s="123"/>
      <c r="C372" s="123" t="str">
        <f>IFERROR(_xlfn.XLOOKUP(Taxaties!$A372,Table3[Sub],Table3[Verzekerde interest]),"-")</f>
        <v>-</v>
      </c>
      <c r="D372" s="123"/>
      <c r="E372" s="124"/>
      <c r="F372" s="123"/>
      <c r="G372" s="125"/>
    </row>
    <row r="373" spans="1:7" x14ac:dyDescent="0.3">
      <c r="A373" s="116"/>
      <c r="B373" s="118"/>
      <c r="C373" s="118" t="str">
        <f>IFERROR(_xlfn.XLOOKUP(Taxaties!$A373,Table3[Sub],Table3[Verzekerde interest]),"-")</f>
        <v>-</v>
      </c>
      <c r="D373" s="118"/>
      <c r="E373" s="119"/>
      <c r="F373" s="118"/>
      <c r="G373" s="120"/>
    </row>
    <row r="374" spans="1:7" x14ac:dyDescent="0.3">
      <c r="A374" s="121"/>
      <c r="B374" s="123"/>
      <c r="C374" s="123" t="str">
        <f>IFERROR(_xlfn.XLOOKUP(Taxaties!$A374,Table3[Sub],Table3[Verzekerde interest]),"-")</f>
        <v>-</v>
      </c>
      <c r="D374" s="123"/>
      <c r="E374" s="124"/>
      <c r="F374" s="123"/>
      <c r="G374" s="125"/>
    </row>
    <row r="375" spans="1:7" x14ac:dyDescent="0.3">
      <c r="A375" s="116"/>
      <c r="B375" s="118"/>
      <c r="C375" s="118" t="str">
        <f>IFERROR(_xlfn.XLOOKUP(Taxaties!$A375,Table3[Sub],Table3[Verzekerde interest]),"-")</f>
        <v>-</v>
      </c>
      <c r="D375" s="118"/>
      <c r="E375" s="119"/>
      <c r="F375" s="118"/>
      <c r="G375" s="120"/>
    </row>
    <row r="376" spans="1:7" x14ac:dyDescent="0.3">
      <c r="A376" s="121"/>
      <c r="B376" s="123"/>
      <c r="C376" s="123" t="str">
        <f>IFERROR(_xlfn.XLOOKUP(Taxaties!$A376,Table3[Sub],Table3[Verzekerde interest]),"-")</f>
        <v>-</v>
      </c>
      <c r="D376" s="123"/>
      <c r="E376" s="124"/>
      <c r="F376" s="123"/>
      <c r="G376" s="125"/>
    </row>
    <row r="377" spans="1:7" x14ac:dyDescent="0.3">
      <c r="A377" s="116"/>
      <c r="B377" s="118"/>
      <c r="C377" s="118" t="str">
        <f>IFERROR(_xlfn.XLOOKUP(Taxaties!$A377,Table3[Sub],Table3[Verzekerde interest]),"-")</f>
        <v>-</v>
      </c>
      <c r="D377" s="118"/>
      <c r="E377" s="119"/>
      <c r="F377" s="118"/>
      <c r="G377" s="120"/>
    </row>
    <row r="378" spans="1:7" x14ac:dyDescent="0.3">
      <c r="A378" s="121"/>
      <c r="B378" s="123"/>
      <c r="C378" s="123" t="str">
        <f>IFERROR(_xlfn.XLOOKUP(Taxaties!$A378,Table3[Sub],Table3[Verzekerde interest]),"-")</f>
        <v>-</v>
      </c>
      <c r="D378" s="123"/>
      <c r="E378" s="124"/>
      <c r="F378" s="123"/>
      <c r="G378" s="125"/>
    </row>
    <row r="379" spans="1:7" x14ac:dyDescent="0.3">
      <c r="A379" s="116"/>
      <c r="B379" s="118"/>
      <c r="C379" s="118" t="str">
        <f>IFERROR(_xlfn.XLOOKUP(Taxaties!$A379,Table3[Sub],Table3[Verzekerde interest]),"-")</f>
        <v>-</v>
      </c>
      <c r="D379" s="118"/>
      <c r="E379" s="119"/>
      <c r="F379" s="118"/>
      <c r="G379" s="120"/>
    </row>
    <row r="380" spans="1:7" x14ac:dyDescent="0.3">
      <c r="A380" s="121"/>
      <c r="B380" s="123"/>
      <c r="C380" s="123" t="str">
        <f>IFERROR(_xlfn.XLOOKUP(Taxaties!$A380,Table3[Sub],Table3[Verzekerde interest]),"-")</f>
        <v>-</v>
      </c>
      <c r="D380" s="123"/>
      <c r="E380" s="124"/>
      <c r="F380" s="123"/>
      <c r="G380" s="125"/>
    </row>
    <row r="381" spans="1:7" x14ac:dyDescent="0.3">
      <c r="A381" s="116"/>
      <c r="B381" s="118"/>
      <c r="C381" s="118" t="str">
        <f>IFERROR(_xlfn.XLOOKUP(Taxaties!$A381,Table3[Sub],Table3[Verzekerde interest]),"-")</f>
        <v>-</v>
      </c>
      <c r="D381" s="118"/>
      <c r="E381" s="119"/>
      <c r="F381" s="118"/>
      <c r="G381" s="120"/>
    </row>
    <row r="382" spans="1:7" x14ac:dyDescent="0.3">
      <c r="A382" s="121"/>
      <c r="B382" s="123"/>
      <c r="C382" s="123" t="str">
        <f>IFERROR(_xlfn.XLOOKUP(Taxaties!$A382,Table3[Sub],Table3[Verzekerde interest]),"-")</f>
        <v>-</v>
      </c>
      <c r="D382" s="123"/>
      <c r="E382" s="124"/>
      <c r="F382" s="123"/>
      <c r="G382" s="125"/>
    </row>
    <row r="383" spans="1:7" x14ac:dyDescent="0.3">
      <c r="A383" s="116"/>
      <c r="B383" s="118"/>
      <c r="C383" s="118" t="str">
        <f>IFERROR(_xlfn.XLOOKUP(Taxaties!$A383,Table3[Sub],Table3[Verzekerde interest]),"-")</f>
        <v>-</v>
      </c>
      <c r="D383" s="118"/>
      <c r="E383" s="119"/>
      <c r="F383" s="118"/>
      <c r="G383" s="120"/>
    </row>
    <row r="384" spans="1:7" x14ac:dyDescent="0.3">
      <c r="A384" s="121"/>
      <c r="B384" s="123"/>
      <c r="C384" s="123" t="str">
        <f>IFERROR(_xlfn.XLOOKUP(Taxaties!$A384,Table3[Sub],Table3[Verzekerde interest]),"-")</f>
        <v>-</v>
      </c>
      <c r="D384" s="123"/>
      <c r="E384" s="124"/>
      <c r="F384" s="123"/>
      <c r="G384" s="125"/>
    </row>
    <row r="385" spans="1:7" x14ac:dyDescent="0.3">
      <c r="A385" s="116"/>
      <c r="B385" s="118"/>
      <c r="C385" s="118" t="str">
        <f>IFERROR(_xlfn.XLOOKUP(Taxaties!$A385,Table3[Sub],Table3[Verzekerde interest]),"-")</f>
        <v>-</v>
      </c>
      <c r="D385" s="118"/>
      <c r="E385" s="119"/>
      <c r="F385" s="118"/>
      <c r="G385" s="120"/>
    </row>
    <row r="386" spans="1:7" x14ac:dyDescent="0.3">
      <c r="A386" s="121"/>
      <c r="B386" s="123"/>
      <c r="C386" s="123" t="str">
        <f>IFERROR(_xlfn.XLOOKUP(Taxaties!$A386,Table3[Sub],Table3[Verzekerde interest]),"-")</f>
        <v>-</v>
      </c>
      <c r="D386" s="123"/>
      <c r="E386" s="124"/>
      <c r="F386" s="123"/>
      <c r="G386" s="125"/>
    </row>
    <row r="387" spans="1:7" x14ac:dyDescent="0.3">
      <c r="A387" s="116"/>
      <c r="B387" s="118"/>
      <c r="C387" s="118" t="str">
        <f>IFERROR(_xlfn.XLOOKUP(Taxaties!$A387,Table3[Sub],Table3[Verzekerde interest]),"-")</f>
        <v>-</v>
      </c>
      <c r="D387" s="118"/>
      <c r="E387" s="119"/>
      <c r="F387" s="118"/>
      <c r="G387" s="120"/>
    </row>
    <row r="388" spans="1:7" x14ac:dyDescent="0.3">
      <c r="A388" s="121"/>
      <c r="B388" s="123"/>
      <c r="C388" s="123" t="str">
        <f>IFERROR(_xlfn.XLOOKUP(Taxaties!$A388,Table3[Sub],Table3[Verzekerde interest]),"-")</f>
        <v>-</v>
      </c>
      <c r="D388" s="123"/>
      <c r="E388" s="124"/>
      <c r="F388" s="123"/>
      <c r="G388" s="125"/>
    </row>
    <row r="389" spans="1:7" x14ac:dyDescent="0.3">
      <c r="A389" s="116"/>
      <c r="B389" s="118"/>
      <c r="C389" s="118" t="str">
        <f>IFERROR(_xlfn.XLOOKUP(Taxaties!$A389,Table3[Sub],Table3[Verzekerde interest]),"-")</f>
        <v>-</v>
      </c>
      <c r="D389" s="118"/>
      <c r="E389" s="119"/>
      <c r="F389" s="118"/>
      <c r="G389" s="120"/>
    </row>
    <row r="390" spans="1:7" x14ac:dyDescent="0.3">
      <c r="A390" s="121"/>
      <c r="B390" s="123"/>
      <c r="C390" s="123" t="str">
        <f>IFERROR(_xlfn.XLOOKUP(Taxaties!$A390,Table3[Sub],Table3[Verzekerde interest]),"-")</f>
        <v>-</v>
      </c>
      <c r="D390" s="123"/>
      <c r="E390" s="124"/>
      <c r="F390" s="123"/>
      <c r="G390" s="125"/>
    </row>
    <row r="391" spans="1:7" x14ac:dyDescent="0.3">
      <c r="A391" s="116"/>
      <c r="B391" s="118"/>
      <c r="C391" s="118" t="str">
        <f>IFERROR(_xlfn.XLOOKUP(Taxaties!$A391,Table3[Sub],Table3[Verzekerde interest]),"-")</f>
        <v>-</v>
      </c>
      <c r="D391" s="118"/>
      <c r="E391" s="119"/>
      <c r="F391" s="118"/>
      <c r="G391" s="120"/>
    </row>
    <row r="392" spans="1:7" x14ac:dyDescent="0.3">
      <c r="A392" s="121"/>
      <c r="B392" s="123"/>
      <c r="C392" s="123" t="str">
        <f>IFERROR(_xlfn.XLOOKUP(Taxaties!$A392,Table3[Sub],Table3[Verzekerde interest]),"-")</f>
        <v>-</v>
      </c>
      <c r="D392" s="123"/>
      <c r="E392" s="124"/>
      <c r="F392" s="123"/>
      <c r="G392" s="125"/>
    </row>
    <row r="393" spans="1:7" x14ac:dyDescent="0.3">
      <c r="A393" s="116"/>
      <c r="B393" s="118"/>
      <c r="C393" s="118" t="str">
        <f>IFERROR(_xlfn.XLOOKUP(Taxaties!$A393,Table3[Sub],Table3[Verzekerde interest]),"-")</f>
        <v>-</v>
      </c>
      <c r="D393" s="118"/>
      <c r="E393" s="119"/>
      <c r="F393" s="118"/>
      <c r="G393" s="120"/>
    </row>
    <row r="394" spans="1:7" x14ac:dyDescent="0.3">
      <c r="A394" s="121"/>
      <c r="B394" s="123"/>
      <c r="C394" s="123" t="str">
        <f>IFERROR(_xlfn.XLOOKUP(Taxaties!$A394,Table3[Sub],Table3[Verzekerde interest]),"-")</f>
        <v>-</v>
      </c>
      <c r="D394" s="123"/>
      <c r="E394" s="124"/>
      <c r="F394" s="123"/>
      <c r="G394" s="125"/>
    </row>
    <row r="395" spans="1:7" x14ac:dyDescent="0.3">
      <c r="A395" s="116"/>
      <c r="B395" s="118"/>
      <c r="C395" s="118" t="str">
        <f>IFERROR(_xlfn.XLOOKUP(Taxaties!$A395,Table3[Sub],Table3[Verzekerde interest]),"-")</f>
        <v>-</v>
      </c>
      <c r="D395" s="118"/>
      <c r="E395" s="119"/>
      <c r="F395" s="118"/>
      <c r="G395" s="120"/>
    </row>
    <row r="396" spans="1:7" x14ac:dyDescent="0.3">
      <c r="A396" s="121"/>
      <c r="B396" s="123"/>
      <c r="C396" s="123" t="str">
        <f>IFERROR(_xlfn.XLOOKUP(Taxaties!$A396,Table3[Sub],Table3[Verzekerde interest]),"-")</f>
        <v>-</v>
      </c>
      <c r="D396" s="123"/>
      <c r="E396" s="124"/>
      <c r="F396" s="123"/>
      <c r="G396" s="125"/>
    </row>
    <row r="397" spans="1:7" x14ac:dyDescent="0.3">
      <c r="A397" s="116"/>
      <c r="B397" s="118"/>
      <c r="C397" s="118" t="str">
        <f>IFERROR(_xlfn.XLOOKUP(Taxaties!$A397,Table3[Sub],Table3[Verzekerde interest]),"-")</f>
        <v>-</v>
      </c>
      <c r="D397" s="118"/>
      <c r="E397" s="119"/>
      <c r="F397" s="118"/>
      <c r="G397" s="120"/>
    </row>
    <row r="398" spans="1:7" x14ac:dyDescent="0.3">
      <c r="A398" s="121"/>
      <c r="B398" s="123"/>
      <c r="C398" s="123" t="str">
        <f>IFERROR(_xlfn.XLOOKUP(Taxaties!$A398,Table3[Sub],Table3[Verzekerde interest]),"-")</f>
        <v>-</v>
      </c>
      <c r="D398" s="123"/>
      <c r="E398" s="124"/>
      <c r="F398" s="123"/>
      <c r="G398" s="125"/>
    </row>
    <row r="399" spans="1:7" x14ac:dyDescent="0.3">
      <c r="A399" s="116"/>
      <c r="B399" s="118"/>
      <c r="C399" s="118" t="str">
        <f>IFERROR(_xlfn.XLOOKUP(Taxaties!$A399,Table3[Sub],Table3[Verzekerde interest]),"-")</f>
        <v>-</v>
      </c>
      <c r="D399" s="118"/>
      <c r="E399" s="119"/>
      <c r="F399" s="118"/>
      <c r="G399" s="120"/>
    </row>
    <row r="400" spans="1:7" x14ac:dyDescent="0.3">
      <c r="A400" s="121"/>
      <c r="B400" s="123"/>
      <c r="C400" s="123" t="str">
        <f>IFERROR(_xlfn.XLOOKUP(Taxaties!$A400,Table3[Sub],Table3[Verzekerde interest]),"-")</f>
        <v>-</v>
      </c>
      <c r="D400" s="123"/>
      <c r="E400" s="124"/>
      <c r="F400" s="123"/>
      <c r="G400" s="125"/>
    </row>
    <row r="401" spans="1:7" x14ac:dyDescent="0.3">
      <c r="A401" s="116"/>
      <c r="B401" s="118"/>
      <c r="C401" s="118" t="str">
        <f>IFERROR(_xlfn.XLOOKUP(Taxaties!$A401,Table3[Sub],Table3[Verzekerde interest]),"-")</f>
        <v>-</v>
      </c>
      <c r="D401" s="118"/>
      <c r="E401" s="119"/>
      <c r="F401" s="118"/>
      <c r="G401" s="120"/>
    </row>
    <row r="402" spans="1:7" x14ac:dyDescent="0.3">
      <c r="A402" s="121"/>
      <c r="B402" s="123"/>
      <c r="C402" s="123" t="str">
        <f>IFERROR(_xlfn.XLOOKUP(Taxaties!$A402,Table3[Sub],Table3[Verzekerde interest]),"-")</f>
        <v>-</v>
      </c>
      <c r="D402" s="123"/>
      <c r="E402" s="124"/>
      <c r="F402" s="123"/>
      <c r="G402" s="125"/>
    </row>
    <row r="403" spans="1:7" x14ac:dyDescent="0.3">
      <c r="A403" s="116"/>
      <c r="B403" s="118"/>
      <c r="C403" s="118" t="str">
        <f>IFERROR(_xlfn.XLOOKUP(Taxaties!$A403,Table3[Sub],Table3[Verzekerde interest]),"-")</f>
        <v>-</v>
      </c>
      <c r="D403" s="118"/>
      <c r="E403" s="119"/>
      <c r="F403" s="118"/>
      <c r="G403" s="120"/>
    </row>
    <row r="404" spans="1:7" x14ac:dyDescent="0.3">
      <c r="A404" s="121"/>
      <c r="B404" s="123"/>
      <c r="C404" s="123" t="str">
        <f>IFERROR(_xlfn.XLOOKUP(Taxaties!$A404,Table3[Sub],Table3[Verzekerde interest]),"-")</f>
        <v>-</v>
      </c>
      <c r="D404" s="123"/>
      <c r="E404" s="124"/>
      <c r="F404" s="123"/>
      <c r="G404" s="125"/>
    </row>
    <row r="405" spans="1:7" x14ac:dyDescent="0.3">
      <c r="A405" s="116"/>
      <c r="B405" s="118"/>
      <c r="C405" s="118" t="str">
        <f>IFERROR(_xlfn.XLOOKUP(Taxaties!$A405,Table3[Sub],Table3[Verzekerde interest]),"-")</f>
        <v>-</v>
      </c>
      <c r="D405" s="118"/>
      <c r="E405" s="119"/>
      <c r="F405" s="118"/>
      <c r="G405" s="120"/>
    </row>
    <row r="406" spans="1:7" x14ac:dyDescent="0.3">
      <c r="A406" s="121"/>
      <c r="B406" s="123"/>
      <c r="C406" s="123" t="str">
        <f>IFERROR(_xlfn.XLOOKUP(Taxaties!$A406,Table3[Sub],Table3[Verzekerde interest]),"-")</f>
        <v>-</v>
      </c>
      <c r="D406" s="123"/>
      <c r="E406" s="124"/>
      <c r="F406" s="123"/>
      <c r="G406" s="125"/>
    </row>
    <row r="407" spans="1:7" x14ac:dyDescent="0.3">
      <c r="A407" s="116"/>
      <c r="B407" s="118"/>
      <c r="C407" s="118" t="str">
        <f>IFERROR(_xlfn.XLOOKUP(Taxaties!$A407,Table3[Sub],Table3[Verzekerde interest]),"-")</f>
        <v>-</v>
      </c>
      <c r="D407" s="118"/>
      <c r="E407" s="119"/>
      <c r="F407" s="118"/>
      <c r="G407" s="120"/>
    </row>
    <row r="408" spans="1:7" x14ac:dyDescent="0.3">
      <c r="A408" s="121"/>
      <c r="B408" s="123"/>
      <c r="C408" s="123" t="str">
        <f>IFERROR(_xlfn.XLOOKUP(Taxaties!$A408,Table3[Sub],Table3[Verzekerde interest]),"-")</f>
        <v>-</v>
      </c>
      <c r="D408" s="123"/>
      <c r="E408" s="124"/>
      <c r="F408" s="123"/>
      <c r="G408" s="125"/>
    </row>
    <row r="409" spans="1:7" x14ac:dyDescent="0.3">
      <c r="A409" s="116"/>
      <c r="B409" s="118"/>
      <c r="C409" s="118" t="str">
        <f>IFERROR(_xlfn.XLOOKUP(Taxaties!$A409,Table3[Sub],Table3[Verzekerde interest]),"-")</f>
        <v>-</v>
      </c>
      <c r="D409" s="118"/>
      <c r="E409" s="119"/>
      <c r="F409" s="118"/>
      <c r="G409" s="120"/>
    </row>
    <row r="410" spans="1:7" x14ac:dyDescent="0.3">
      <c r="A410" s="121"/>
      <c r="B410" s="123"/>
      <c r="C410" s="123" t="str">
        <f>IFERROR(_xlfn.XLOOKUP(Taxaties!$A410,Table3[Sub],Table3[Verzekerde interest]),"-")</f>
        <v>-</v>
      </c>
      <c r="D410" s="123"/>
      <c r="E410" s="124"/>
      <c r="F410" s="123"/>
      <c r="G410" s="125"/>
    </row>
    <row r="411" spans="1:7" x14ac:dyDescent="0.3">
      <c r="A411" s="116"/>
      <c r="B411" s="118"/>
      <c r="C411" s="118" t="str">
        <f>IFERROR(_xlfn.XLOOKUP(Taxaties!$A411,Table3[Sub],Table3[Verzekerde interest]),"-")</f>
        <v>-</v>
      </c>
      <c r="D411" s="118"/>
      <c r="E411" s="119"/>
      <c r="F411" s="118"/>
      <c r="G411" s="120"/>
    </row>
    <row r="412" spans="1:7" x14ac:dyDescent="0.3">
      <c r="A412" s="121"/>
      <c r="B412" s="123"/>
      <c r="C412" s="123" t="str">
        <f>IFERROR(_xlfn.XLOOKUP(Taxaties!$A412,Table3[Sub],Table3[Verzekerde interest]),"-")</f>
        <v>-</v>
      </c>
      <c r="D412" s="123"/>
      <c r="E412" s="124"/>
      <c r="F412" s="123"/>
      <c r="G412" s="125"/>
    </row>
    <row r="413" spans="1:7" x14ac:dyDescent="0.3">
      <c r="A413" s="116"/>
      <c r="B413" s="118"/>
      <c r="C413" s="118" t="str">
        <f>IFERROR(_xlfn.XLOOKUP(Taxaties!$A413,Table3[Sub],Table3[Verzekerde interest]),"-")</f>
        <v>-</v>
      </c>
      <c r="D413" s="118"/>
      <c r="E413" s="119"/>
      <c r="F413" s="118"/>
      <c r="G413" s="120"/>
    </row>
    <row r="414" spans="1:7" x14ac:dyDescent="0.3">
      <c r="A414" s="121"/>
      <c r="B414" s="123"/>
      <c r="C414" s="123" t="str">
        <f>IFERROR(_xlfn.XLOOKUP(Taxaties!$A414,Table3[Sub],Table3[Verzekerde interest]),"-")</f>
        <v>-</v>
      </c>
      <c r="D414" s="123"/>
      <c r="E414" s="124"/>
      <c r="F414" s="123"/>
      <c r="G414" s="125"/>
    </row>
    <row r="415" spans="1:7" x14ac:dyDescent="0.3">
      <c r="A415" s="116"/>
      <c r="B415" s="118"/>
      <c r="C415" s="118" t="str">
        <f>IFERROR(_xlfn.XLOOKUP(Taxaties!$A415,Table3[Sub],Table3[Verzekerde interest]),"-")</f>
        <v>-</v>
      </c>
      <c r="D415" s="118"/>
      <c r="E415" s="119"/>
      <c r="F415" s="118"/>
      <c r="G415" s="120"/>
    </row>
    <row r="416" spans="1:7" x14ac:dyDescent="0.3">
      <c r="A416" s="121"/>
      <c r="B416" s="123"/>
      <c r="C416" s="123" t="str">
        <f>IFERROR(_xlfn.XLOOKUP(Taxaties!$A416,Table3[Sub],Table3[Verzekerde interest]),"-")</f>
        <v>-</v>
      </c>
      <c r="D416" s="123"/>
      <c r="E416" s="124"/>
      <c r="F416" s="123"/>
      <c r="G416" s="125"/>
    </row>
    <row r="417" spans="1:7" x14ac:dyDescent="0.3">
      <c r="A417" s="116"/>
      <c r="B417" s="118"/>
      <c r="C417" s="118" t="str">
        <f>IFERROR(_xlfn.XLOOKUP(Taxaties!$A417,Table3[Sub],Table3[Verzekerde interest]),"-")</f>
        <v>-</v>
      </c>
      <c r="D417" s="118"/>
      <c r="E417" s="119"/>
      <c r="F417" s="118"/>
      <c r="G417" s="120"/>
    </row>
    <row r="418" spans="1:7" x14ac:dyDescent="0.3">
      <c r="A418" s="121"/>
      <c r="B418" s="123"/>
      <c r="C418" s="123" t="str">
        <f>IFERROR(_xlfn.XLOOKUP(Taxaties!$A418,Table3[Sub],Table3[Verzekerde interest]),"-")</f>
        <v>-</v>
      </c>
      <c r="D418" s="123"/>
      <c r="E418" s="124"/>
      <c r="F418" s="123"/>
      <c r="G418" s="125"/>
    </row>
    <row r="419" spans="1:7" x14ac:dyDescent="0.3">
      <c r="A419" s="116"/>
      <c r="B419" s="118"/>
      <c r="C419" s="118" t="str">
        <f>IFERROR(_xlfn.XLOOKUP(Taxaties!$A419,Table3[Sub],Table3[Verzekerde interest]),"-")</f>
        <v>-</v>
      </c>
      <c r="D419" s="118"/>
      <c r="E419" s="119"/>
      <c r="F419" s="118"/>
      <c r="G419" s="120"/>
    </row>
    <row r="420" spans="1:7" x14ac:dyDescent="0.3">
      <c r="A420" s="121"/>
      <c r="B420" s="123"/>
      <c r="C420" s="123" t="str">
        <f>IFERROR(_xlfn.XLOOKUP(Taxaties!$A420,Table3[Sub],Table3[Verzekerde interest]),"-")</f>
        <v>-</v>
      </c>
      <c r="D420" s="123"/>
      <c r="E420" s="124"/>
      <c r="F420" s="123"/>
      <c r="G420" s="125"/>
    </row>
    <row r="421" spans="1:7" x14ac:dyDescent="0.3">
      <c r="A421" s="116"/>
      <c r="B421" s="118"/>
      <c r="C421" s="118" t="str">
        <f>IFERROR(_xlfn.XLOOKUP(Taxaties!$A421,Table3[Sub],Table3[Verzekerde interest]),"-")</f>
        <v>-</v>
      </c>
      <c r="D421" s="118"/>
      <c r="E421" s="119"/>
      <c r="F421" s="118"/>
      <c r="G421" s="120"/>
    </row>
    <row r="422" spans="1:7" x14ac:dyDescent="0.3">
      <c r="A422" s="121"/>
      <c r="B422" s="123"/>
      <c r="C422" s="123" t="str">
        <f>IFERROR(_xlfn.XLOOKUP(Taxaties!$A422,Table3[Sub],Table3[Verzekerde interest]),"-")</f>
        <v>-</v>
      </c>
      <c r="D422" s="123"/>
      <c r="E422" s="124"/>
      <c r="F422" s="123"/>
      <c r="G422" s="125"/>
    </row>
    <row r="423" spans="1:7" x14ac:dyDescent="0.3">
      <c r="A423" s="116"/>
      <c r="B423" s="118"/>
      <c r="C423" s="118" t="str">
        <f>IFERROR(_xlfn.XLOOKUP(Taxaties!$A423,Table3[Sub],Table3[Verzekerde interest]),"-")</f>
        <v>-</v>
      </c>
      <c r="D423" s="118"/>
      <c r="E423" s="119"/>
      <c r="F423" s="118"/>
      <c r="G423" s="120"/>
    </row>
    <row r="424" spans="1:7" x14ac:dyDescent="0.3">
      <c r="A424" s="121"/>
      <c r="B424" s="123"/>
      <c r="C424" s="123" t="str">
        <f>IFERROR(_xlfn.XLOOKUP(Taxaties!$A424,Table3[Sub],Table3[Verzekerde interest]),"-")</f>
        <v>-</v>
      </c>
      <c r="D424" s="123"/>
      <c r="E424" s="124"/>
      <c r="F424" s="123"/>
      <c r="G424" s="125"/>
    </row>
    <row r="425" spans="1:7" x14ac:dyDescent="0.3">
      <c r="A425" s="116"/>
      <c r="B425" s="118"/>
      <c r="C425" s="118" t="str">
        <f>IFERROR(_xlfn.XLOOKUP(Taxaties!$A425,Table3[Sub],Table3[Verzekerde interest]),"-")</f>
        <v>-</v>
      </c>
      <c r="D425" s="118"/>
      <c r="E425" s="119"/>
      <c r="F425" s="118"/>
      <c r="G425" s="120"/>
    </row>
    <row r="426" spans="1:7" x14ac:dyDescent="0.3">
      <c r="A426" s="121"/>
      <c r="B426" s="123"/>
      <c r="C426" s="123" t="str">
        <f>IFERROR(_xlfn.XLOOKUP(Taxaties!$A426,Table3[Sub],Table3[Verzekerde interest]),"-")</f>
        <v>-</v>
      </c>
      <c r="D426" s="123"/>
      <c r="E426" s="124"/>
      <c r="F426" s="123"/>
      <c r="G426" s="125"/>
    </row>
    <row r="427" spans="1:7" x14ac:dyDescent="0.3">
      <c r="A427" s="116"/>
      <c r="B427" s="118"/>
      <c r="C427" s="118" t="str">
        <f>IFERROR(_xlfn.XLOOKUP(Taxaties!$A427,Table3[Sub],Table3[Verzekerde interest]),"-")</f>
        <v>-</v>
      </c>
      <c r="D427" s="118"/>
      <c r="E427" s="119"/>
      <c r="F427" s="118"/>
      <c r="G427" s="120"/>
    </row>
    <row r="428" spans="1:7" x14ac:dyDescent="0.3">
      <c r="A428" s="121"/>
      <c r="B428" s="123"/>
      <c r="C428" s="123" t="str">
        <f>IFERROR(_xlfn.XLOOKUP(Taxaties!$A428,Table3[Sub],Table3[Verzekerde interest]),"-")</f>
        <v>-</v>
      </c>
      <c r="D428" s="123"/>
      <c r="E428" s="124"/>
      <c r="F428" s="123"/>
      <c r="G428" s="125"/>
    </row>
    <row r="429" spans="1:7" x14ac:dyDescent="0.3">
      <c r="A429" s="116"/>
      <c r="B429" s="118"/>
      <c r="C429" s="118" t="str">
        <f>IFERROR(_xlfn.XLOOKUP(Taxaties!$A429,Table3[Sub],Table3[Verzekerde interest]),"-")</f>
        <v>-</v>
      </c>
      <c r="D429" s="118"/>
      <c r="E429" s="119"/>
      <c r="F429" s="118"/>
      <c r="G429" s="120"/>
    </row>
    <row r="430" spans="1:7" x14ac:dyDescent="0.3">
      <c r="A430" s="121"/>
      <c r="B430" s="123"/>
      <c r="C430" s="123" t="str">
        <f>IFERROR(_xlfn.XLOOKUP(Taxaties!$A430,Table3[Sub],Table3[Verzekerde interest]),"-")</f>
        <v>-</v>
      </c>
      <c r="D430" s="123"/>
      <c r="E430" s="124"/>
      <c r="F430" s="123"/>
      <c r="G430" s="125"/>
    </row>
    <row r="431" spans="1:7" x14ac:dyDescent="0.3">
      <c r="A431" s="116"/>
      <c r="B431" s="118"/>
      <c r="C431" s="118" t="str">
        <f>IFERROR(_xlfn.XLOOKUP(Taxaties!$A431,Table3[Sub],Table3[Verzekerde interest]),"-")</f>
        <v>-</v>
      </c>
      <c r="D431" s="118"/>
      <c r="E431" s="119"/>
      <c r="F431" s="118"/>
      <c r="G431" s="120"/>
    </row>
    <row r="432" spans="1:7" x14ac:dyDescent="0.3">
      <c r="A432" s="121"/>
      <c r="B432" s="123"/>
      <c r="C432" s="123" t="str">
        <f>IFERROR(_xlfn.XLOOKUP(Taxaties!$A432,Table3[Sub],Table3[Verzekerde interest]),"-")</f>
        <v>-</v>
      </c>
      <c r="D432" s="123"/>
      <c r="E432" s="124"/>
      <c r="F432" s="123"/>
      <c r="G432" s="125"/>
    </row>
    <row r="433" spans="1:7" x14ac:dyDescent="0.3">
      <c r="A433" s="116"/>
      <c r="B433" s="118"/>
      <c r="C433" s="118" t="str">
        <f>IFERROR(_xlfn.XLOOKUP(Taxaties!$A433,Table3[Sub],Table3[Verzekerde interest]),"-")</f>
        <v>-</v>
      </c>
      <c r="D433" s="118"/>
      <c r="E433" s="119"/>
      <c r="F433" s="118"/>
      <c r="G433" s="120"/>
    </row>
    <row r="434" spans="1:7" x14ac:dyDescent="0.3">
      <c r="A434" s="121"/>
      <c r="B434" s="123"/>
      <c r="C434" s="123" t="str">
        <f>IFERROR(_xlfn.XLOOKUP(Taxaties!$A434,Table3[Sub],Table3[Verzekerde interest]),"-")</f>
        <v>-</v>
      </c>
      <c r="D434" s="123"/>
      <c r="E434" s="124"/>
      <c r="F434" s="123"/>
      <c r="G434" s="125"/>
    </row>
    <row r="435" spans="1:7" x14ac:dyDescent="0.3">
      <c r="A435" s="116"/>
      <c r="B435" s="118"/>
      <c r="C435" s="118" t="str">
        <f>IFERROR(_xlfn.XLOOKUP(Taxaties!$A435,Table3[Sub],Table3[Verzekerde interest]),"-")</f>
        <v>-</v>
      </c>
      <c r="D435" s="118"/>
      <c r="E435" s="119"/>
      <c r="F435" s="118"/>
      <c r="G435" s="120"/>
    </row>
    <row r="436" spans="1:7" x14ac:dyDescent="0.3">
      <c r="A436" s="121"/>
      <c r="B436" s="123"/>
      <c r="C436" s="123" t="str">
        <f>IFERROR(_xlfn.XLOOKUP(Taxaties!$A436,Table3[Sub],Table3[Verzekerde interest]),"-")</f>
        <v>-</v>
      </c>
      <c r="D436" s="123"/>
      <c r="E436" s="124"/>
      <c r="F436" s="123"/>
      <c r="G436" s="125"/>
    </row>
    <row r="437" spans="1:7" x14ac:dyDescent="0.3">
      <c r="A437" s="116"/>
      <c r="B437" s="118"/>
      <c r="C437" s="118" t="str">
        <f>IFERROR(_xlfn.XLOOKUP(Taxaties!$A437,Table3[Sub],Table3[Verzekerde interest]),"-")</f>
        <v>-</v>
      </c>
      <c r="D437" s="118"/>
      <c r="E437" s="119"/>
      <c r="F437" s="118"/>
      <c r="G437" s="120"/>
    </row>
    <row r="438" spans="1:7" x14ac:dyDescent="0.3">
      <c r="A438" s="121"/>
      <c r="B438" s="123"/>
      <c r="C438" s="123" t="str">
        <f>IFERROR(_xlfn.XLOOKUP(Taxaties!$A438,Table3[Sub],Table3[Verzekerde interest]),"-")</f>
        <v>-</v>
      </c>
      <c r="D438" s="123"/>
      <c r="E438" s="124"/>
      <c r="F438" s="123"/>
      <c r="G438" s="125"/>
    </row>
    <row r="439" spans="1:7" x14ac:dyDescent="0.3">
      <c r="A439" s="116"/>
      <c r="B439" s="118"/>
      <c r="C439" s="118" t="str">
        <f>IFERROR(_xlfn.XLOOKUP(Taxaties!$A439,Table3[Sub],Table3[Verzekerde interest]),"-")</f>
        <v>-</v>
      </c>
      <c r="D439" s="118"/>
      <c r="E439" s="119"/>
      <c r="F439" s="118"/>
      <c r="G439" s="120"/>
    </row>
    <row r="440" spans="1:7" x14ac:dyDescent="0.3">
      <c r="A440" s="121"/>
      <c r="B440" s="123"/>
      <c r="C440" s="123" t="str">
        <f>IFERROR(_xlfn.XLOOKUP(Taxaties!$A440,Table3[Sub],Table3[Verzekerde interest]),"-")</f>
        <v>-</v>
      </c>
      <c r="D440" s="123"/>
      <c r="E440" s="124"/>
      <c r="F440" s="123"/>
      <c r="G440" s="125"/>
    </row>
    <row r="441" spans="1:7" x14ac:dyDescent="0.3">
      <c r="A441" s="116"/>
      <c r="B441" s="118"/>
      <c r="C441" s="118" t="str">
        <f>IFERROR(_xlfn.XLOOKUP(Taxaties!$A441,Table3[Sub],Table3[Verzekerde interest]),"-")</f>
        <v>-</v>
      </c>
      <c r="D441" s="118"/>
      <c r="E441" s="119"/>
      <c r="F441" s="118"/>
      <c r="G441" s="120"/>
    </row>
    <row r="442" spans="1:7" x14ac:dyDescent="0.3">
      <c r="A442" s="121"/>
      <c r="B442" s="123"/>
      <c r="C442" s="123" t="str">
        <f>IFERROR(_xlfn.XLOOKUP(Taxaties!$A442,Table3[Sub],Table3[Verzekerde interest]),"-")</f>
        <v>-</v>
      </c>
      <c r="D442" s="123"/>
      <c r="E442" s="124"/>
      <c r="F442" s="123"/>
      <c r="G442" s="125"/>
    </row>
    <row r="443" spans="1:7" x14ac:dyDescent="0.3">
      <c r="A443" s="116"/>
      <c r="B443" s="118"/>
      <c r="C443" s="118" t="str">
        <f>IFERROR(_xlfn.XLOOKUP(Taxaties!$A443,Table3[Sub],Table3[Verzekerde interest]),"-")</f>
        <v>-</v>
      </c>
      <c r="D443" s="118"/>
      <c r="E443" s="119"/>
      <c r="F443" s="118"/>
      <c r="G443" s="120"/>
    </row>
    <row r="444" spans="1:7" x14ac:dyDescent="0.3">
      <c r="A444" s="121"/>
      <c r="B444" s="123"/>
      <c r="C444" s="123" t="str">
        <f>IFERROR(_xlfn.XLOOKUP(Taxaties!$A444,Table3[Sub],Table3[Verzekerde interest]),"-")</f>
        <v>-</v>
      </c>
      <c r="D444" s="123"/>
      <c r="E444" s="124"/>
      <c r="F444" s="123"/>
      <c r="G444" s="125"/>
    </row>
    <row r="445" spans="1:7" x14ac:dyDescent="0.3">
      <c r="A445" s="116"/>
      <c r="B445" s="118"/>
      <c r="C445" s="118" t="str">
        <f>IFERROR(_xlfn.XLOOKUP(Taxaties!$A445,Table3[Sub],Table3[Verzekerde interest]),"-")</f>
        <v>-</v>
      </c>
      <c r="D445" s="118"/>
      <c r="E445" s="119"/>
      <c r="F445" s="118"/>
      <c r="G445" s="120"/>
    </row>
    <row r="446" spans="1:7" x14ac:dyDescent="0.3">
      <c r="A446" s="121"/>
      <c r="B446" s="123"/>
      <c r="C446" s="123" t="str">
        <f>IFERROR(_xlfn.XLOOKUP(Taxaties!$A446,Table3[Sub],Table3[Verzekerde interest]),"-")</f>
        <v>-</v>
      </c>
      <c r="D446" s="123"/>
      <c r="E446" s="124"/>
      <c r="F446" s="123"/>
      <c r="G446" s="125"/>
    </row>
    <row r="447" spans="1:7" x14ac:dyDescent="0.3">
      <c r="A447" s="116"/>
      <c r="B447" s="118"/>
      <c r="C447" s="118" t="str">
        <f>IFERROR(_xlfn.XLOOKUP(Taxaties!$A447,Table3[Sub],Table3[Verzekerde interest]),"-")</f>
        <v>-</v>
      </c>
      <c r="D447" s="118"/>
      <c r="E447" s="119"/>
      <c r="F447" s="118"/>
      <c r="G447" s="120"/>
    </row>
    <row r="448" spans="1:7" x14ac:dyDescent="0.3">
      <c r="A448" s="121"/>
      <c r="B448" s="123"/>
      <c r="C448" s="123" t="str">
        <f>IFERROR(_xlfn.XLOOKUP(Taxaties!$A448,Table3[Sub],Table3[Verzekerde interest]),"-")</f>
        <v>-</v>
      </c>
      <c r="D448" s="123"/>
      <c r="E448" s="124"/>
      <c r="F448" s="123"/>
      <c r="G448" s="125"/>
    </row>
    <row r="449" spans="1:7" x14ac:dyDescent="0.3">
      <c r="A449" s="116"/>
      <c r="B449" s="118"/>
      <c r="C449" s="118" t="str">
        <f>IFERROR(_xlfn.XLOOKUP(Taxaties!$A449,Table3[Sub],Table3[Verzekerde interest]),"-")</f>
        <v>-</v>
      </c>
      <c r="D449" s="118"/>
      <c r="E449" s="119"/>
      <c r="F449" s="118"/>
      <c r="G449" s="120"/>
    </row>
    <row r="450" spans="1:7" x14ac:dyDescent="0.3">
      <c r="A450" s="121"/>
      <c r="B450" s="123"/>
      <c r="C450" s="123" t="str">
        <f>IFERROR(_xlfn.XLOOKUP(Taxaties!$A450,Table3[Sub],Table3[Verzekerde interest]),"-")</f>
        <v>-</v>
      </c>
      <c r="D450" s="123"/>
      <c r="E450" s="124"/>
      <c r="F450" s="123"/>
      <c r="G450" s="125"/>
    </row>
    <row r="451" spans="1:7" x14ac:dyDescent="0.3">
      <c r="A451" s="116"/>
      <c r="B451" s="118"/>
      <c r="C451" s="118" t="str">
        <f>IFERROR(_xlfn.XLOOKUP(Taxaties!$A451,Table3[Sub],Table3[Verzekerde interest]),"-")</f>
        <v>-</v>
      </c>
      <c r="D451" s="118"/>
      <c r="E451" s="119"/>
      <c r="F451" s="118"/>
      <c r="G451" s="120"/>
    </row>
    <row r="452" spans="1:7" x14ac:dyDescent="0.3">
      <c r="A452" s="121"/>
      <c r="B452" s="123"/>
      <c r="C452" s="123" t="str">
        <f>IFERROR(_xlfn.XLOOKUP(Taxaties!$A452,Table3[Sub],Table3[Verzekerde interest]),"-")</f>
        <v>-</v>
      </c>
      <c r="D452" s="123"/>
      <c r="E452" s="124"/>
      <c r="F452" s="123"/>
      <c r="G452" s="125"/>
    </row>
    <row r="453" spans="1:7" x14ac:dyDescent="0.3">
      <c r="A453" s="116"/>
      <c r="B453" s="118"/>
      <c r="C453" s="118" t="str">
        <f>IFERROR(_xlfn.XLOOKUP(Taxaties!$A453,Table3[Sub],Table3[Verzekerde interest]),"-")</f>
        <v>-</v>
      </c>
      <c r="D453" s="118"/>
      <c r="E453" s="119"/>
      <c r="F453" s="118"/>
      <c r="G453" s="120"/>
    </row>
    <row r="454" spans="1:7" x14ac:dyDescent="0.3">
      <c r="A454" s="121"/>
      <c r="B454" s="123"/>
      <c r="C454" s="123" t="str">
        <f>IFERROR(_xlfn.XLOOKUP(Taxaties!$A454,Table3[Sub],Table3[Verzekerde interest]),"-")</f>
        <v>-</v>
      </c>
      <c r="D454" s="123"/>
      <c r="E454" s="124"/>
      <c r="F454" s="123"/>
      <c r="G454" s="125"/>
    </row>
    <row r="455" spans="1:7" x14ac:dyDescent="0.3">
      <c r="A455" s="116"/>
      <c r="B455" s="118"/>
      <c r="C455" s="118" t="str">
        <f>IFERROR(_xlfn.XLOOKUP(Taxaties!$A455,Table3[Sub],Table3[Verzekerde interest]),"-")</f>
        <v>-</v>
      </c>
      <c r="D455" s="118"/>
      <c r="E455" s="119"/>
      <c r="F455" s="118"/>
      <c r="G455" s="120"/>
    </row>
    <row r="456" spans="1:7" x14ac:dyDescent="0.3">
      <c r="A456" s="121"/>
      <c r="B456" s="123"/>
      <c r="C456" s="123" t="str">
        <f>IFERROR(_xlfn.XLOOKUP(Taxaties!$A456,Table3[Sub],Table3[Verzekerde interest]),"-")</f>
        <v>-</v>
      </c>
      <c r="D456" s="123"/>
      <c r="E456" s="124"/>
      <c r="F456" s="123"/>
      <c r="G456" s="125"/>
    </row>
    <row r="457" spans="1:7" x14ac:dyDescent="0.3">
      <c r="A457" s="116"/>
      <c r="B457" s="118"/>
      <c r="C457" s="118" t="str">
        <f>IFERROR(_xlfn.XLOOKUP(Taxaties!$A457,Table3[Sub],Table3[Verzekerde interest]),"-")</f>
        <v>-</v>
      </c>
      <c r="D457" s="118"/>
      <c r="E457" s="119"/>
      <c r="F457" s="118"/>
      <c r="G457" s="120"/>
    </row>
    <row r="458" spans="1:7" x14ac:dyDescent="0.3">
      <c r="A458" s="121"/>
      <c r="B458" s="123"/>
      <c r="C458" s="123" t="str">
        <f>IFERROR(_xlfn.XLOOKUP(Taxaties!$A458,Table3[Sub],Table3[Verzekerde interest]),"-")</f>
        <v>-</v>
      </c>
      <c r="D458" s="123"/>
      <c r="E458" s="124"/>
      <c r="F458" s="123"/>
      <c r="G458" s="125"/>
    </row>
    <row r="459" spans="1:7" x14ac:dyDescent="0.3">
      <c r="A459" s="116"/>
      <c r="B459" s="118"/>
      <c r="C459" s="118" t="str">
        <f>IFERROR(_xlfn.XLOOKUP(Taxaties!$A459,Table3[Sub],Table3[Verzekerde interest]),"-")</f>
        <v>-</v>
      </c>
      <c r="D459" s="118"/>
      <c r="E459" s="119"/>
      <c r="F459" s="118"/>
      <c r="G459" s="120"/>
    </row>
    <row r="460" spans="1:7" x14ac:dyDescent="0.3">
      <c r="A460" s="121"/>
      <c r="B460" s="123"/>
      <c r="C460" s="123" t="str">
        <f>IFERROR(_xlfn.XLOOKUP(Taxaties!$A460,Table3[Sub],Table3[Verzekerde interest]),"-")</f>
        <v>-</v>
      </c>
      <c r="D460" s="123"/>
      <c r="E460" s="124"/>
      <c r="F460" s="123"/>
      <c r="G460" s="125"/>
    </row>
    <row r="461" spans="1:7" x14ac:dyDescent="0.3">
      <c r="A461" s="116"/>
      <c r="B461" s="118"/>
      <c r="C461" s="118" t="str">
        <f>IFERROR(_xlfn.XLOOKUP(Taxaties!$A461,Table3[Sub],Table3[Verzekerde interest]),"-")</f>
        <v>-</v>
      </c>
      <c r="D461" s="118"/>
      <c r="E461" s="119"/>
      <c r="F461" s="118"/>
      <c r="G461" s="120"/>
    </row>
    <row r="462" spans="1:7" x14ac:dyDescent="0.3">
      <c r="A462" s="121"/>
      <c r="B462" s="123"/>
      <c r="C462" s="123" t="str">
        <f>IFERROR(_xlfn.XLOOKUP(Taxaties!$A462,Table3[Sub],Table3[Verzekerde interest]),"-")</f>
        <v>-</v>
      </c>
      <c r="D462" s="123"/>
      <c r="E462" s="124"/>
      <c r="F462" s="123"/>
      <c r="G462" s="125"/>
    </row>
    <row r="463" spans="1:7" x14ac:dyDescent="0.3">
      <c r="A463" s="116"/>
      <c r="B463" s="118"/>
      <c r="C463" s="118" t="str">
        <f>IFERROR(_xlfn.XLOOKUP(Taxaties!$A463,Table3[Sub],Table3[Verzekerde interest]),"-")</f>
        <v>-</v>
      </c>
      <c r="D463" s="118"/>
      <c r="E463" s="119"/>
      <c r="F463" s="118"/>
      <c r="G463" s="120"/>
    </row>
    <row r="464" spans="1:7" x14ac:dyDescent="0.3">
      <c r="A464" s="121"/>
      <c r="B464" s="123"/>
      <c r="C464" s="123" t="str">
        <f>IFERROR(_xlfn.XLOOKUP(Taxaties!$A464,Table3[Sub],Table3[Verzekerde interest]),"-")</f>
        <v>-</v>
      </c>
      <c r="D464" s="123"/>
      <c r="E464" s="124"/>
      <c r="F464" s="123"/>
      <c r="G464" s="125"/>
    </row>
    <row r="465" spans="1:7" x14ac:dyDescent="0.3">
      <c r="A465" s="116"/>
      <c r="B465" s="118"/>
      <c r="C465" s="118" t="str">
        <f>IFERROR(_xlfn.XLOOKUP(Taxaties!$A465,Table3[Sub],Table3[Verzekerde interest]),"-")</f>
        <v>-</v>
      </c>
      <c r="D465" s="118"/>
      <c r="E465" s="119"/>
      <c r="F465" s="118"/>
      <c r="G465" s="120"/>
    </row>
    <row r="466" spans="1:7" x14ac:dyDescent="0.3">
      <c r="A466" s="121"/>
      <c r="B466" s="123"/>
      <c r="C466" s="123" t="str">
        <f>IFERROR(_xlfn.XLOOKUP(Taxaties!$A466,Table3[Sub],Table3[Verzekerde interest]),"-")</f>
        <v>-</v>
      </c>
      <c r="D466" s="123"/>
      <c r="E466" s="124"/>
      <c r="F466" s="123"/>
      <c r="G466" s="125"/>
    </row>
    <row r="467" spans="1:7" x14ac:dyDescent="0.3">
      <c r="A467" s="116"/>
      <c r="B467" s="118"/>
      <c r="C467" s="118" t="str">
        <f>IFERROR(_xlfn.XLOOKUP(Taxaties!$A467,Table3[Sub],Table3[Verzekerde interest]),"-")</f>
        <v>-</v>
      </c>
      <c r="D467" s="118"/>
      <c r="E467" s="119"/>
      <c r="F467" s="118"/>
      <c r="G467" s="120"/>
    </row>
    <row r="468" spans="1:7" x14ac:dyDescent="0.3">
      <c r="A468" s="121"/>
      <c r="B468" s="123"/>
      <c r="C468" s="123" t="str">
        <f>IFERROR(_xlfn.XLOOKUP(Taxaties!$A468,Table3[Sub],Table3[Verzekerde interest]),"-")</f>
        <v>-</v>
      </c>
      <c r="D468" s="123"/>
      <c r="E468" s="124"/>
      <c r="F468" s="123"/>
      <c r="G468" s="125"/>
    </row>
    <row r="469" spans="1:7" x14ac:dyDescent="0.3">
      <c r="A469" s="116"/>
      <c r="B469" s="118"/>
      <c r="C469" s="118" t="str">
        <f>IFERROR(_xlfn.XLOOKUP(Taxaties!$A469,Table3[Sub],Table3[Verzekerde interest]),"-")</f>
        <v>-</v>
      </c>
      <c r="D469" s="118"/>
      <c r="E469" s="119"/>
      <c r="F469" s="118"/>
      <c r="G469" s="120"/>
    </row>
    <row r="470" spans="1:7" x14ac:dyDescent="0.3">
      <c r="A470" s="121"/>
      <c r="B470" s="123"/>
      <c r="C470" s="123" t="str">
        <f>IFERROR(_xlfn.XLOOKUP(Taxaties!$A470,Table3[Sub],Table3[Verzekerde interest]),"-")</f>
        <v>-</v>
      </c>
      <c r="D470" s="123"/>
      <c r="E470" s="124"/>
      <c r="F470" s="123"/>
      <c r="G470" s="125"/>
    </row>
    <row r="471" spans="1:7" x14ac:dyDescent="0.3">
      <c r="A471" s="116"/>
      <c r="B471" s="118"/>
      <c r="C471" s="118" t="str">
        <f>IFERROR(_xlfn.XLOOKUP(Taxaties!$A471,Table3[Sub],Table3[Verzekerde interest]),"-")</f>
        <v>-</v>
      </c>
      <c r="D471" s="118"/>
      <c r="E471" s="119"/>
      <c r="F471" s="118"/>
      <c r="G471" s="120"/>
    </row>
    <row r="472" spans="1:7" x14ac:dyDescent="0.3">
      <c r="A472" s="121"/>
      <c r="B472" s="123"/>
      <c r="C472" s="123" t="str">
        <f>IFERROR(_xlfn.XLOOKUP(Taxaties!$A472,Table3[Sub],Table3[Verzekerde interest]),"-")</f>
        <v>-</v>
      </c>
      <c r="D472" s="123"/>
      <c r="E472" s="124"/>
      <c r="F472" s="123"/>
      <c r="G472" s="125"/>
    </row>
    <row r="473" spans="1:7" x14ac:dyDescent="0.3">
      <c r="A473" s="116"/>
      <c r="B473" s="118"/>
      <c r="C473" s="118" t="str">
        <f>IFERROR(_xlfn.XLOOKUP(Taxaties!$A473,Table3[Sub],Table3[Verzekerde interest]),"-")</f>
        <v>-</v>
      </c>
      <c r="D473" s="118"/>
      <c r="E473" s="119"/>
      <c r="F473" s="118"/>
      <c r="G473" s="120"/>
    </row>
    <row r="474" spans="1:7" x14ac:dyDescent="0.3">
      <c r="A474" s="121"/>
      <c r="B474" s="123"/>
      <c r="C474" s="123" t="str">
        <f>IFERROR(_xlfn.XLOOKUP(Taxaties!$A474,Table3[Sub],Table3[Verzekerde interest]),"-")</f>
        <v>-</v>
      </c>
      <c r="D474" s="123"/>
      <c r="E474" s="124"/>
      <c r="F474" s="123"/>
      <c r="G474" s="125"/>
    </row>
    <row r="475" spans="1:7" x14ac:dyDescent="0.3">
      <c r="A475" s="116"/>
      <c r="B475" s="118"/>
      <c r="C475" s="118" t="str">
        <f>IFERROR(_xlfn.XLOOKUP(Taxaties!$A475,Table3[Sub],Table3[Verzekerde interest]),"-")</f>
        <v>-</v>
      </c>
      <c r="D475" s="118"/>
      <c r="E475" s="119"/>
      <c r="F475" s="118"/>
      <c r="G475" s="120"/>
    </row>
    <row r="476" spans="1:7" x14ac:dyDescent="0.3">
      <c r="A476" s="121"/>
      <c r="B476" s="123"/>
      <c r="C476" s="123" t="str">
        <f>IFERROR(_xlfn.XLOOKUP(Taxaties!$A476,Table3[Sub],Table3[Verzekerde interest]),"-")</f>
        <v>-</v>
      </c>
      <c r="D476" s="123"/>
      <c r="E476" s="124"/>
      <c r="F476" s="123"/>
      <c r="G476" s="125"/>
    </row>
    <row r="477" spans="1:7" x14ac:dyDescent="0.3">
      <c r="A477" s="116"/>
      <c r="B477" s="118"/>
      <c r="C477" s="118" t="str">
        <f>IFERROR(_xlfn.XLOOKUP(Taxaties!$A477,Table3[Sub],Table3[Verzekerde interest]),"-")</f>
        <v>-</v>
      </c>
      <c r="D477" s="118"/>
      <c r="E477" s="119"/>
      <c r="F477" s="118"/>
      <c r="G477" s="120"/>
    </row>
    <row r="478" spans="1:7" x14ac:dyDescent="0.3">
      <c r="A478" s="121"/>
      <c r="B478" s="123"/>
      <c r="C478" s="123" t="str">
        <f>IFERROR(_xlfn.XLOOKUP(Taxaties!$A478,Table3[Sub],Table3[Verzekerde interest]),"-")</f>
        <v>-</v>
      </c>
      <c r="D478" s="123"/>
      <c r="E478" s="124"/>
      <c r="F478" s="123"/>
      <c r="G478" s="125"/>
    </row>
    <row r="479" spans="1:7" x14ac:dyDescent="0.3">
      <c r="A479" s="116"/>
      <c r="B479" s="118"/>
      <c r="C479" s="118" t="str">
        <f>IFERROR(_xlfn.XLOOKUP(Taxaties!$A479,Table3[Sub],Table3[Verzekerde interest]),"-")</f>
        <v>-</v>
      </c>
      <c r="D479" s="118"/>
      <c r="E479" s="119"/>
      <c r="F479" s="118"/>
      <c r="G479" s="120"/>
    </row>
    <row r="480" spans="1:7" x14ac:dyDescent="0.3">
      <c r="A480" s="121"/>
      <c r="B480" s="123"/>
      <c r="C480" s="123" t="str">
        <f>IFERROR(_xlfn.XLOOKUP(Taxaties!$A480,Table3[Sub],Table3[Verzekerde interest]),"-")</f>
        <v>-</v>
      </c>
      <c r="D480" s="123"/>
      <c r="E480" s="124"/>
      <c r="F480" s="123"/>
      <c r="G480" s="125"/>
    </row>
    <row r="481" spans="1:7" x14ac:dyDescent="0.3">
      <c r="A481" s="116"/>
      <c r="B481" s="118"/>
      <c r="C481" s="118" t="str">
        <f>IFERROR(_xlfn.XLOOKUP(Taxaties!$A481,Table3[Sub],Table3[Verzekerde interest]),"-")</f>
        <v>-</v>
      </c>
      <c r="D481" s="118"/>
      <c r="E481" s="119"/>
      <c r="F481" s="118"/>
      <c r="G481" s="120"/>
    </row>
    <row r="482" spans="1:7" x14ac:dyDescent="0.3">
      <c r="A482" s="121"/>
      <c r="B482" s="123"/>
      <c r="C482" s="123" t="str">
        <f>IFERROR(_xlfn.XLOOKUP(Taxaties!$A482,Table3[Sub],Table3[Verzekerde interest]),"-")</f>
        <v>-</v>
      </c>
      <c r="D482" s="123"/>
      <c r="E482" s="124"/>
      <c r="F482" s="123"/>
      <c r="G482" s="125"/>
    </row>
    <row r="483" spans="1:7" x14ac:dyDescent="0.3">
      <c r="A483" s="116"/>
      <c r="B483" s="118"/>
      <c r="C483" s="118" t="str">
        <f>IFERROR(_xlfn.XLOOKUP(Taxaties!$A483,Table3[Sub],Table3[Verzekerde interest]),"-")</f>
        <v>-</v>
      </c>
      <c r="D483" s="118"/>
      <c r="E483" s="119"/>
      <c r="F483" s="118"/>
      <c r="G483" s="120"/>
    </row>
    <row r="484" spans="1:7" x14ac:dyDescent="0.3">
      <c r="A484" s="121"/>
      <c r="B484" s="123"/>
      <c r="C484" s="123" t="str">
        <f>IFERROR(_xlfn.XLOOKUP(Taxaties!$A484,Table3[Sub],Table3[Verzekerde interest]),"-")</f>
        <v>-</v>
      </c>
      <c r="D484" s="123"/>
      <c r="E484" s="124"/>
      <c r="F484" s="123"/>
      <c r="G484" s="125"/>
    </row>
    <row r="485" spans="1:7" x14ac:dyDescent="0.3">
      <c r="A485" s="116"/>
      <c r="B485" s="118"/>
      <c r="C485" s="118" t="str">
        <f>IFERROR(_xlfn.XLOOKUP(Taxaties!$A485,Table3[Sub],Table3[Verzekerde interest]),"-")</f>
        <v>-</v>
      </c>
      <c r="D485" s="118"/>
      <c r="E485" s="119"/>
      <c r="F485" s="118"/>
      <c r="G485" s="120"/>
    </row>
    <row r="486" spans="1:7" x14ac:dyDescent="0.3">
      <c r="A486" s="121"/>
      <c r="B486" s="123"/>
      <c r="C486" s="123" t="str">
        <f>IFERROR(_xlfn.XLOOKUP(Taxaties!$A486,Table3[Sub],Table3[Verzekerde interest]),"-")</f>
        <v>-</v>
      </c>
      <c r="D486" s="123"/>
      <c r="E486" s="124"/>
      <c r="F486" s="123"/>
      <c r="G486" s="125"/>
    </row>
    <row r="487" spans="1:7" x14ac:dyDescent="0.3">
      <c r="A487" s="116"/>
      <c r="B487" s="118"/>
      <c r="C487" s="118" t="str">
        <f>IFERROR(_xlfn.XLOOKUP(Taxaties!$A487,Table3[Sub],Table3[Verzekerde interest]),"-")</f>
        <v>-</v>
      </c>
      <c r="D487" s="118"/>
      <c r="E487" s="119"/>
      <c r="F487" s="118"/>
      <c r="G487" s="120"/>
    </row>
    <row r="488" spans="1:7" x14ac:dyDescent="0.3">
      <c r="A488" s="121"/>
      <c r="B488" s="123"/>
      <c r="C488" s="123" t="str">
        <f>IFERROR(_xlfn.XLOOKUP(Taxaties!$A488,Table3[Sub],Table3[Verzekerde interest]),"-")</f>
        <v>-</v>
      </c>
      <c r="D488" s="123"/>
      <c r="E488" s="124"/>
      <c r="F488" s="123"/>
      <c r="G488" s="125"/>
    </row>
    <row r="489" spans="1:7" x14ac:dyDescent="0.3">
      <c r="A489" s="116"/>
      <c r="B489" s="118"/>
      <c r="C489" s="118" t="str">
        <f>IFERROR(_xlfn.XLOOKUP(Taxaties!$A489,Table3[Sub],Table3[Verzekerde interest]),"-")</f>
        <v>-</v>
      </c>
      <c r="D489" s="118"/>
      <c r="E489" s="119"/>
      <c r="F489" s="118"/>
      <c r="G489" s="120"/>
    </row>
    <row r="490" spans="1:7" x14ac:dyDescent="0.3">
      <c r="A490" s="121"/>
      <c r="B490" s="123"/>
      <c r="C490" s="123" t="str">
        <f>IFERROR(_xlfn.XLOOKUP(Taxaties!$A490,Table3[Sub],Table3[Verzekerde interest]),"-")</f>
        <v>-</v>
      </c>
      <c r="D490" s="123"/>
      <c r="E490" s="124"/>
      <c r="F490" s="123"/>
      <c r="G490" s="125"/>
    </row>
    <row r="491" spans="1:7" x14ac:dyDescent="0.3">
      <c r="A491" s="116"/>
      <c r="B491" s="118"/>
      <c r="C491" s="118" t="str">
        <f>IFERROR(_xlfn.XLOOKUP(Taxaties!$A491,Table3[Sub],Table3[Verzekerde interest]),"-")</f>
        <v>-</v>
      </c>
      <c r="D491" s="118"/>
      <c r="E491" s="119"/>
      <c r="F491" s="118"/>
      <c r="G491" s="120"/>
    </row>
    <row r="492" spans="1:7" x14ac:dyDescent="0.3">
      <c r="A492" s="121"/>
      <c r="B492" s="123"/>
      <c r="C492" s="123" t="str">
        <f>IFERROR(_xlfn.XLOOKUP(Taxaties!$A492,Table3[Sub],Table3[Verzekerde interest]),"-")</f>
        <v>-</v>
      </c>
      <c r="D492" s="123"/>
      <c r="E492" s="124"/>
      <c r="F492" s="123"/>
      <c r="G492" s="125"/>
    </row>
    <row r="493" spans="1:7" x14ac:dyDescent="0.3">
      <c r="A493" s="116"/>
      <c r="B493" s="118"/>
      <c r="C493" s="118" t="str">
        <f>IFERROR(_xlfn.XLOOKUP(Taxaties!$A493,Table3[Sub],Table3[Verzekerde interest]),"-")</f>
        <v>-</v>
      </c>
      <c r="D493" s="118"/>
      <c r="E493" s="119"/>
      <c r="F493" s="118"/>
      <c r="G493" s="120"/>
    </row>
    <row r="494" spans="1:7" x14ac:dyDescent="0.3">
      <c r="A494" s="121"/>
      <c r="B494" s="123"/>
      <c r="C494" s="123" t="str">
        <f>IFERROR(_xlfn.XLOOKUP(Taxaties!$A494,Table3[Sub],Table3[Verzekerde interest]),"-")</f>
        <v>-</v>
      </c>
      <c r="D494" s="123"/>
      <c r="E494" s="124"/>
      <c r="F494" s="123"/>
      <c r="G494" s="125"/>
    </row>
    <row r="495" spans="1:7" x14ac:dyDescent="0.3">
      <c r="A495" s="116"/>
      <c r="B495" s="118"/>
      <c r="C495" s="118" t="str">
        <f>IFERROR(_xlfn.XLOOKUP(Taxaties!$A495,Table3[Sub],Table3[Verzekerde interest]),"-")</f>
        <v>-</v>
      </c>
      <c r="D495" s="118"/>
      <c r="E495" s="119"/>
      <c r="F495" s="118"/>
      <c r="G495" s="120"/>
    </row>
    <row r="496" spans="1:7" x14ac:dyDescent="0.3">
      <c r="A496" s="121"/>
      <c r="B496" s="123"/>
      <c r="C496" s="123" t="str">
        <f>IFERROR(_xlfn.XLOOKUP(Taxaties!$A496,Table3[Sub],Table3[Verzekerde interest]),"-")</f>
        <v>-</v>
      </c>
      <c r="D496" s="123"/>
      <c r="E496" s="124"/>
      <c r="F496" s="123"/>
      <c r="G496" s="125"/>
    </row>
    <row r="497" spans="1:7" x14ac:dyDescent="0.3">
      <c r="A497" s="116"/>
      <c r="B497" s="118"/>
      <c r="C497" s="118" t="str">
        <f>IFERROR(_xlfn.XLOOKUP(Taxaties!$A497,Table3[Sub],Table3[Verzekerde interest]),"-")</f>
        <v>-</v>
      </c>
      <c r="D497" s="118"/>
      <c r="E497" s="119"/>
      <c r="F497" s="118"/>
      <c r="G497" s="120"/>
    </row>
    <row r="498" spans="1:7" x14ac:dyDescent="0.3">
      <c r="A498" s="121"/>
      <c r="B498" s="123"/>
      <c r="C498" s="123" t="str">
        <f>IFERROR(_xlfn.XLOOKUP(Taxaties!$A498,Table3[Sub],Table3[Verzekerde interest]),"-")</f>
        <v>-</v>
      </c>
      <c r="D498" s="123"/>
      <c r="E498" s="124"/>
      <c r="F498" s="123"/>
      <c r="G498" s="125"/>
    </row>
    <row r="499" spans="1:7" x14ac:dyDescent="0.3">
      <c r="A499" s="116"/>
      <c r="B499" s="118"/>
      <c r="C499" s="118" t="str">
        <f>IFERROR(_xlfn.XLOOKUP(Taxaties!$A499,Table3[Sub],Table3[Verzekerde interest]),"-")</f>
        <v>-</v>
      </c>
      <c r="D499" s="118"/>
      <c r="E499" s="119"/>
      <c r="F499" s="118"/>
      <c r="G499" s="120"/>
    </row>
    <row r="500" spans="1:7" x14ac:dyDescent="0.3">
      <c r="A500" s="121"/>
      <c r="B500" s="123"/>
      <c r="C500" s="123" t="str">
        <f>IFERROR(_xlfn.XLOOKUP(Taxaties!$A500,Table3[Sub],Table3[Verzekerde interest]),"-")</f>
        <v>-</v>
      </c>
      <c r="D500" s="123"/>
      <c r="E500" s="124"/>
      <c r="F500" s="123"/>
      <c r="G500" s="125"/>
    </row>
    <row r="501" spans="1:7" x14ac:dyDescent="0.3">
      <c r="A501" s="104"/>
      <c r="B501" s="105"/>
      <c r="C501" s="105"/>
      <c r="D501" s="105"/>
      <c r="E501" s="105"/>
      <c r="F501" s="105"/>
      <c r="G501" s="106"/>
    </row>
  </sheetData>
  <autoFilter ref="A7:G86" xr:uid="{FDB5A77B-CA43-41E5-8C27-BBC72617EFE7}"/>
  <dataValidations count="1">
    <dataValidation type="list" allowBlank="1" showInputMessage="1" showErrorMessage="1" sqref="C8:C500" xr:uid="{35E0CAF5-70B5-4885-AD2B-3E90160A17FD}">
      <formula1>Interest</formula1>
    </dataValidation>
  </dataValidations>
  <pageMargins left="0.23622047244094491" right="0.23622047244094491" top="0.74803149606299213" bottom="0.74803149606299213" header="0.31496062992125984" footer="0.31496062992125984"/>
  <pageSetup paperSize="9" fitToWidth="2" fitToHeight="0" orientation="landscape" horizontalDpi="1200" verticalDpi="1200" r:id="rId1"/>
  <headerFooter>
    <oddFooter>&amp;L&amp;F
Uniek nr e-ABS XXXXXXXXXXXXXXXXXXX&amp;R&amp;A
&amp;P/&amp;N</oddFooter>
  </headerFooter>
  <ignoredErrors>
    <ignoredError sqref="A8" calculatedColumn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9570-CFC6-457E-96CC-23459DF77E6F}">
  <sheetPr codeName="Sheet4"/>
  <dimension ref="A1:AK101"/>
  <sheetViews>
    <sheetView showGridLines="0" zoomScale="85" zoomScaleNormal="85" workbookViewId="0">
      <selection activeCell="F25" sqref="F25"/>
    </sheetView>
  </sheetViews>
  <sheetFormatPr defaultColWidth="9.109375" defaultRowHeight="14.4" x14ac:dyDescent="0.3"/>
  <cols>
    <col min="1" max="4" width="19.33203125" style="16" customWidth="1"/>
    <col min="5" max="5" width="15.88671875" style="16" bestFit="1" customWidth="1"/>
    <col min="6" max="6" width="16.6640625" style="16" bestFit="1" customWidth="1"/>
    <col min="7" max="7" width="18.88671875" style="16" bestFit="1" customWidth="1"/>
    <col min="8" max="8" width="17" style="16" bestFit="1" customWidth="1"/>
    <col min="9" max="9" width="16.33203125" style="16" bestFit="1" customWidth="1"/>
    <col min="10" max="10" width="14.6640625" style="16" bestFit="1" customWidth="1"/>
    <col min="11" max="11" width="9.33203125" style="16" bestFit="1" customWidth="1"/>
    <col min="12" max="12" width="16.33203125" style="16" bestFit="1" customWidth="1"/>
    <col min="13" max="13" width="18.33203125" style="16" bestFit="1" customWidth="1"/>
    <col min="14" max="14" width="19.109375" style="16" bestFit="1" customWidth="1"/>
    <col min="15" max="15" width="16.33203125" customWidth="1"/>
    <col min="16" max="17" width="17" customWidth="1"/>
    <col min="18" max="35" width="17" style="16" customWidth="1"/>
    <col min="36" max="37" width="12" style="16" customWidth="1"/>
    <col min="38" max="16384" width="9.109375" style="16"/>
  </cols>
  <sheetData>
    <row r="1" spans="1:37" ht="16.2" x14ac:dyDescent="0.3">
      <c r="A1" s="83"/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</row>
    <row r="2" spans="1:37" ht="16.2" x14ac:dyDescent="0.3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</row>
    <row r="3" spans="1:37" ht="16.2" x14ac:dyDescent="0.3">
      <c r="A3" s="83"/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</row>
    <row r="4" spans="1:37" ht="16.2" x14ac:dyDescent="0.3">
      <c r="A4" s="83"/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</row>
    <row r="5" spans="1:37" ht="16.2" x14ac:dyDescent="0.3">
      <c r="A5" s="83"/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</row>
    <row r="6" spans="1:37" ht="16.2" x14ac:dyDescent="0.3">
      <c r="A6" s="83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</row>
    <row r="7" spans="1:37" x14ac:dyDescent="0.3">
      <c r="A7" s="60" t="s">
        <v>60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6" t="s">
        <v>61</v>
      </c>
      <c r="Q7" s="66"/>
      <c r="R7" s="66"/>
      <c r="S7" s="66"/>
      <c r="T7" s="66"/>
      <c r="U7" s="66"/>
      <c r="V7" s="66"/>
      <c r="W7" s="66"/>
      <c r="X7" s="66"/>
      <c r="Y7" s="66"/>
      <c r="Z7" s="67" t="s">
        <v>62</v>
      </c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</row>
    <row r="8" spans="1:37" x14ac:dyDescent="0.3">
      <c r="A8" s="54"/>
      <c r="B8" s="55"/>
      <c r="C8" s="55"/>
      <c r="D8" s="55"/>
      <c r="E8" s="55"/>
      <c r="F8" s="56"/>
      <c r="G8" s="56"/>
      <c r="H8" s="56"/>
      <c r="I8" s="57"/>
      <c r="J8" s="57"/>
      <c r="K8" s="57"/>
      <c r="L8" s="57"/>
      <c r="M8" s="57"/>
      <c r="N8" s="57"/>
      <c r="O8" s="58"/>
      <c r="P8" s="58" t="str">
        <f>IF(Data!$B$54=0,"",Data!$B$54)</f>
        <v>One Aon facility prop. pool NN</v>
      </c>
      <c r="Q8" s="58" t="str">
        <f>IF(Data!$B$55=0,"",Data!$B$55)</f>
        <v/>
      </c>
      <c r="R8" s="58" t="str">
        <f>IF(Data!$B$56=0,"",Data!$B$56)</f>
        <v/>
      </c>
      <c r="S8" s="58" t="str">
        <f>IF(Data!$B$57=0,"",Data!$B$57)</f>
        <v/>
      </c>
      <c r="T8" s="58" t="str">
        <f>IF(Data!$B$58=0,"",Data!$B$58)</f>
        <v/>
      </c>
      <c r="U8" s="58" t="str">
        <f>IF(Data!$B$59=0,"",Data!$B$59)</f>
        <v/>
      </c>
      <c r="V8" s="58" t="str">
        <f>IF(Data!$B$60=0,"",Data!$B$60)</f>
        <v/>
      </c>
      <c r="W8" s="58" t="str">
        <f>IF(Data!$B$61=0,"",Data!$B$61)</f>
        <v/>
      </c>
      <c r="X8" s="58" t="str">
        <f>IF(Data!$B$62=0,"",Data!$B$62)</f>
        <v/>
      </c>
      <c r="Y8" s="58" t="str">
        <f>IF(Data!$B$63=0,"",Data!$B$63)</f>
        <v/>
      </c>
      <c r="Z8" s="58" t="str">
        <f>IF(Data!$B$54=0,"",Data!$B$54)</f>
        <v>One Aon facility prop. pool NN</v>
      </c>
      <c r="AA8" s="58" t="str">
        <f>IF(Data!$B$55=0,"",Data!$B$55)</f>
        <v/>
      </c>
      <c r="AB8" s="58" t="str">
        <f>IF(Data!$B$56=0,"",Data!$B$56)</f>
        <v/>
      </c>
      <c r="AC8" s="58" t="str">
        <f>IF(Data!$B$57=0,"",Data!$B$57)</f>
        <v/>
      </c>
      <c r="AD8" s="58" t="str">
        <f>IF(Data!$B$58=0,"",Data!$B$58)</f>
        <v/>
      </c>
      <c r="AE8" s="58" t="str">
        <f>IF(Data!$B$59=0,"",Data!$B$59)</f>
        <v/>
      </c>
      <c r="AF8" s="58" t="str">
        <f>IF(Data!$B$60=0,"",Data!$B$60)</f>
        <v/>
      </c>
      <c r="AG8" s="58" t="str">
        <f>IF(Data!$B$61=0,"",Data!$B$61)</f>
        <v/>
      </c>
      <c r="AH8" s="58" t="str">
        <f>IF(Data!$B$62=0,"",Data!$B$62)</f>
        <v/>
      </c>
      <c r="AI8" s="58" t="str">
        <f>IF(Data!$B$63=0,"",Data!$B$63)</f>
        <v/>
      </c>
      <c r="AJ8" s="58"/>
      <c r="AK8" s="58"/>
    </row>
    <row r="9" spans="1:37" x14ac:dyDescent="0.3">
      <c r="A9" s="16" t="s">
        <v>2</v>
      </c>
      <c r="B9" s="16" t="s">
        <v>63</v>
      </c>
      <c r="C9" s="16" t="s">
        <v>19</v>
      </c>
      <c r="D9" s="16" t="s">
        <v>34</v>
      </c>
      <c r="E9" s="16" t="s">
        <v>64</v>
      </c>
      <c r="F9" s="16" t="s">
        <v>65</v>
      </c>
      <c r="G9" s="16" t="s">
        <v>66</v>
      </c>
      <c r="H9" s="16" t="s">
        <v>67</v>
      </c>
      <c r="I9" s="16" t="s">
        <v>11</v>
      </c>
      <c r="J9" s="16" t="s">
        <v>68</v>
      </c>
      <c r="K9" s="16" t="s">
        <v>69</v>
      </c>
      <c r="L9" s="16" t="s">
        <v>70</v>
      </c>
      <c r="M9" s="16" t="s">
        <v>71</v>
      </c>
      <c r="N9" s="16" t="s">
        <v>72</v>
      </c>
      <c r="O9" s="16" t="s">
        <v>73</v>
      </c>
      <c r="P9" s="16" t="s">
        <v>43</v>
      </c>
      <c r="Q9" s="16" t="s">
        <v>44</v>
      </c>
      <c r="R9" s="16" t="s">
        <v>45</v>
      </c>
      <c r="S9" s="16" t="s">
        <v>46</v>
      </c>
      <c r="T9" s="16" t="s">
        <v>47</v>
      </c>
      <c r="U9" s="16" t="s">
        <v>48</v>
      </c>
      <c r="V9" s="16" t="s">
        <v>49</v>
      </c>
      <c r="W9" s="16" t="s">
        <v>50</v>
      </c>
      <c r="X9" s="16" t="s">
        <v>51</v>
      </c>
      <c r="Y9" s="16" t="s">
        <v>52</v>
      </c>
      <c r="Z9" s="16" t="s">
        <v>74</v>
      </c>
      <c r="AA9" s="16" t="s">
        <v>75</v>
      </c>
      <c r="AB9" s="16" t="s">
        <v>76</v>
      </c>
      <c r="AC9" s="16" t="s">
        <v>77</v>
      </c>
      <c r="AD9" s="16" t="s">
        <v>78</v>
      </c>
      <c r="AE9" s="16" t="s">
        <v>79</v>
      </c>
      <c r="AF9" s="16" t="s">
        <v>80</v>
      </c>
      <c r="AG9" s="16" t="s">
        <v>81</v>
      </c>
      <c r="AH9" s="16" t="s">
        <v>82</v>
      </c>
      <c r="AI9" s="16" t="s">
        <v>83</v>
      </c>
      <c r="AJ9" s="16" t="s">
        <v>84</v>
      </c>
      <c r="AK9" s="16" t="s">
        <v>85</v>
      </c>
    </row>
    <row r="10" spans="1:37" x14ac:dyDescent="0.3">
      <c r="A10" s="16" t="str">
        <f>IFERROR(_xlfn.XLOOKUP(E10,Table3[Sub],Table3[Verzekerde]),"-")</f>
        <v>-</v>
      </c>
      <c r="C10" s="69" t="str">
        <f>IFERROR(_xlfn.XLOOKUP(Table4[[#This Row],[Subnummer]],Table3[Sub],Table3[Certificaat]),"-")</f>
        <v>-</v>
      </c>
      <c r="D10" s="16" t="str">
        <f>IFERROR(_xlfn.XLOOKUP(E10,Specificatie!C$9:C$291,Specificatie!Q$9:Q$291),"")</f>
        <v/>
      </c>
      <c r="E10" s="103">
        <v>0</v>
      </c>
      <c r="F10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10" s="70">
        <v>0</v>
      </c>
      <c r="H10" s="71">
        <f>Table4[[#This Row],[Nieuwe waarde]]-Table4[[#This Row],[Oude waarde]]</f>
        <v>0</v>
      </c>
      <c r="I10" s="72">
        <v>46266</v>
      </c>
      <c r="J10" s="72">
        <v>46388</v>
      </c>
      <c r="K10" s="16">
        <f>Table4[[#This Row],[Vervaldatum]]-Table4[[#This Row],[Mutatiedatum]]</f>
        <v>122</v>
      </c>
      <c r="L10" s="16">
        <v>366</v>
      </c>
      <c r="M10" s="16" t="s">
        <v>86</v>
      </c>
      <c r="N10" s="107" t="s">
        <v>87</v>
      </c>
      <c r="O10" s="73" cm="1">
        <f t="array" ref="O10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10" s="75">
        <f>IFERROR(_xlfn.XLOOKUP(Table4[[#This Row],[Subnummer]],Table3[Sub],#REF!),0)</f>
        <v>0</v>
      </c>
      <c r="Q10" s="75">
        <f>IFERROR(_xlfn.XLOOKUP(Table4[[#This Row],[Subnummer]],Table3[Sub],#REF!),0)</f>
        <v>0</v>
      </c>
      <c r="R10" s="75">
        <f>IFERROR(_xlfn.XLOOKUP(Table4[[#This Row],[Subnummer]],Table3[Sub],#REF!),0)</f>
        <v>0</v>
      </c>
      <c r="S10" s="75">
        <f>IFERROR(_xlfn.XLOOKUP(Table4[[#This Row],[Subnummer]],Table3[Sub],#REF!),0)</f>
        <v>0</v>
      </c>
      <c r="T10" s="75">
        <f>IFERROR(_xlfn.XLOOKUP(Table4[[#This Row],[Subnummer]],Table3[Sub],#REF!),0)</f>
        <v>0</v>
      </c>
      <c r="U10" s="75">
        <f>IFERROR(_xlfn.XLOOKUP(Table4[[#This Row],[Subnummer]],Table3[Sub],#REF!),0)</f>
        <v>0</v>
      </c>
      <c r="V10" s="75">
        <f>IFERROR(_xlfn.XLOOKUP(Table4[[#This Row],[Subnummer]],Table3[Sub],#REF!),0)</f>
        <v>0</v>
      </c>
      <c r="W10" s="75">
        <f>IFERROR(_xlfn.XLOOKUP(Table4[[#This Row],[Subnummer]],Table3[Sub],#REF!),0)</f>
        <v>0</v>
      </c>
      <c r="X10" s="75">
        <f>IFERROR(_xlfn.XLOOKUP(Table4[[#This Row],[Subnummer]],Table3[Sub],#REF!),0)</f>
        <v>0</v>
      </c>
      <c r="Y10" s="75">
        <f>IFERROR(_xlfn.XLOOKUP(Table4[[#This Row],[Subnummer]],Table3[Sub],#REF!),0)</f>
        <v>0</v>
      </c>
      <c r="Z10" s="76">
        <f t="shared" ref="Z10:Z41" si="0">IFERROR(ROUND($O10*P10/1000*_xlfn.XLOOKUP(Z$8,Verzekeraar,verz_aandeel),2),0)</f>
        <v>0</v>
      </c>
      <c r="AA10" s="76">
        <f t="shared" ref="AA10:AA41" si="1">IFERROR(ROUND($O10*Q10/1000*_xlfn.XLOOKUP(AA$8,Verzekeraar,verz_aandeel),2),0)</f>
        <v>0</v>
      </c>
      <c r="AB10" s="76">
        <f t="shared" ref="AB10:AB41" si="2">IFERROR(ROUND($O10*R10/1000*_xlfn.XLOOKUP(AB$8,Verzekeraar,verz_aandeel),2),0)</f>
        <v>0</v>
      </c>
      <c r="AC10" s="76">
        <f t="shared" ref="AC10:AC41" si="3">IFERROR(ROUND($O10*S10/1000*_xlfn.XLOOKUP(AC$8,Verzekeraar,verz_aandeel),2),0)</f>
        <v>0</v>
      </c>
      <c r="AD10" s="76">
        <f t="shared" ref="AD10:AD41" si="4">IFERROR(ROUND($O10*T10/1000*_xlfn.XLOOKUP(AD$8,Verzekeraar,verz_aandeel),2),0)</f>
        <v>0</v>
      </c>
      <c r="AE10" s="76">
        <f t="shared" ref="AE10:AE41" si="5">IFERROR(ROUND($O10*U10/1000*_xlfn.XLOOKUP(AE$8,Verzekeraar,verz_aandeel),2),0)</f>
        <v>0</v>
      </c>
      <c r="AF10" s="76">
        <f t="shared" ref="AF10:AF41" si="6">IFERROR(ROUND($O10*V10/1000*_xlfn.XLOOKUP(AF$8,Verzekeraar,verz_aandeel),2),0)</f>
        <v>0</v>
      </c>
      <c r="AG10" s="76">
        <f t="shared" ref="AG10:AG41" si="7">IFERROR(ROUND($O10*W10/1000*_xlfn.XLOOKUP(AG$8,Verzekeraar,verz_aandeel),2),0)</f>
        <v>0</v>
      </c>
      <c r="AH10" s="76">
        <f t="shared" ref="AH10:AH41" si="8">IFERROR(ROUND($O10*X10/1000*_xlfn.XLOOKUP(AH$8,Verzekeraar,verz_aandeel),2),0)</f>
        <v>0</v>
      </c>
      <c r="AI10" s="76">
        <f t="shared" ref="AI10:AI41" si="9">IFERROR(ROUND($O10*Y10/1000*_xlfn.XLOOKUP(AI$8,Verzekeraar,verz_aandeel),2),0)</f>
        <v>0</v>
      </c>
      <c r="AJ10" s="70">
        <f>SUM(Z10:AI10)</f>
        <v>0</v>
      </c>
      <c r="AK10" s="16" t="str" cm="1">
        <f t="array" ref="AK10">_xlfn.IFS(AJ10=0,"Nihil",AJ10&gt;0,"Suppletie",AJ10&lt;0,"Restitutie")</f>
        <v>Nihil</v>
      </c>
    </row>
    <row r="11" spans="1:37" x14ac:dyDescent="0.3">
      <c r="A11" s="16" t="str">
        <f>IFERROR(_xlfn.XLOOKUP(E11,Table3[Sub],Table3[Verzekerde]),"-")</f>
        <v>-</v>
      </c>
      <c r="C11" s="69" t="str">
        <f>IFERROR(_xlfn.XLOOKUP(Table4[[#This Row],[Subnummer]],Table3[Sub],Table3[Certificaat]),"-")</f>
        <v>-</v>
      </c>
      <c r="D11" s="16" t="str">
        <f>IFERROR(_xlfn.XLOOKUP(E11,Specificatie!C$9:C$291,Specificatie!Q$9:Q$291),"")</f>
        <v/>
      </c>
      <c r="E11" s="103">
        <v>0</v>
      </c>
      <c r="F11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11" s="70">
        <v>0</v>
      </c>
      <c r="H11" s="71">
        <f>Table4[[#This Row],[Nieuwe waarde]]-Table4[[#This Row],[Oude waarde]]</f>
        <v>0</v>
      </c>
      <c r="I11" s="72">
        <v>46266</v>
      </c>
      <c r="J11" s="72">
        <v>46388</v>
      </c>
      <c r="K11" s="16">
        <f>Table4[[#This Row],[Vervaldatum]]-Table4[[#This Row],[Mutatiedatum]]</f>
        <v>122</v>
      </c>
      <c r="L11" s="16">
        <v>366</v>
      </c>
      <c r="M11" s="16" t="s">
        <v>86</v>
      </c>
      <c r="N11" s="107" t="s">
        <v>87</v>
      </c>
      <c r="O11" s="73" cm="1">
        <f t="array" ref="O11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11" s="75">
        <f>IFERROR(_xlfn.XLOOKUP(Table4[[#This Row],[Subnummer]],Table3[Sub],#REF!),0)</f>
        <v>0</v>
      </c>
      <c r="Q11" s="75">
        <f>IFERROR(_xlfn.XLOOKUP(Table4[[#This Row],[Subnummer]],Table3[Sub],#REF!),0)</f>
        <v>0</v>
      </c>
      <c r="R11" s="75">
        <f>IFERROR(_xlfn.XLOOKUP(Table4[[#This Row],[Subnummer]],Table3[Sub],#REF!),0)</f>
        <v>0</v>
      </c>
      <c r="S11" s="75">
        <f>IFERROR(_xlfn.XLOOKUP(Table4[[#This Row],[Subnummer]],Table3[Sub],#REF!),0)</f>
        <v>0</v>
      </c>
      <c r="T11" s="75">
        <f>IFERROR(_xlfn.XLOOKUP(Table4[[#This Row],[Subnummer]],Table3[Sub],#REF!),0)</f>
        <v>0</v>
      </c>
      <c r="U11" s="75">
        <f>IFERROR(_xlfn.XLOOKUP(Table4[[#This Row],[Subnummer]],Table3[Sub],#REF!),0)</f>
        <v>0</v>
      </c>
      <c r="V11" s="75">
        <f>IFERROR(_xlfn.XLOOKUP(Table4[[#This Row],[Subnummer]],Table3[Sub],#REF!),0)</f>
        <v>0</v>
      </c>
      <c r="W11" s="75">
        <f>IFERROR(_xlfn.XLOOKUP(Table4[[#This Row],[Subnummer]],Table3[Sub],#REF!),0)</f>
        <v>0</v>
      </c>
      <c r="X11" s="75">
        <f>IFERROR(_xlfn.XLOOKUP(Table4[[#This Row],[Subnummer]],Table3[Sub],#REF!),0)</f>
        <v>0</v>
      </c>
      <c r="Y11" s="75">
        <f>IFERROR(_xlfn.XLOOKUP(Table4[[#This Row],[Subnummer]],Table3[Sub],#REF!),0)</f>
        <v>0</v>
      </c>
      <c r="Z11" s="76">
        <f t="shared" si="0"/>
        <v>0</v>
      </c>
      <c r="AA11" s="76">
        <f t="shared" si="1"/>
        <v>0</v>
      </c>
      <c r="AB11" s="76">
        <f t="shared" si="2"/>
        <v>0</v>
      </c>
      <c r="AC11" s="76">
        <f t="shared" si="3"/>
        <v>0</v>
      </c>
      <c r="AD11" s="76">
        <f t="shared" si="4"/>
        <v>0</v>
      </c>
      <c r="AE11" s="76">
        <f t="shared" si="5"/>
        <v>0</v>
      </c>
      <c r="AF11" s="76">
        <f t="shared" si="6"/>
        <v>0</v>
      </c>
      <c r="AG11" s="76">
        <f t="shared" si="7"/>
        <v>0</v>
      </c>
      <c r="AH11" s="76">
        <f t="shared" si="8"/>
        <v>0</v>
      </c>
      <c r="AI11" s="76">
        <f t="shared" si="9"/>
        <v>0</v>
      </c>
      <c r="AJ11" s="70">
        <f t="shared" ref="AJ11:AJ18" si="10">SUM(Z11:AI11)</f>
        <v>0</v>
      </c>
      <c r="AK11" s="16" t="str" cm="1">
        <f t="array" ref="AK11">_xlfn.IFS(AJ11=0,"Nihil",AJ11&gt;0,"Suppletie",AJ11&lt;0,"Restitutie")</f>
        <v>Nihil</v>
      </c>
    </row>
    <row r="12" spans="1:37" x14ac:dyDescent="0.3">
      <c r="A12" s="16" t="str">
        <f>IFERROR(_xlfn.XLOOKUP(E12,Table3[Sub],Table3[Verzekerde]),"-")</f>
        <v>-</v>
      </c>
      <c r="C12" s="69" t="str">
        <f>IFERROR(_xlfn.XLOOKUP(Table4[[#This Row],[Subnummer]],Table3[Sub],Table3[Certificaat]),"-")</f>
        <v>-</v>
      </c>
      <c r="D12" s="16" t="str">
        <f>IFERROR(_xlfn.XLOOKUP(E12,Specificatie!C$9:C$291,Specificatie!Q$9:Q$291),"")</f>
        <v/>
      </c>
      <c r="E12" s="103">
        <v>0</v>
      </c>
      <c r="F12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12" s="70">
        <v>0</v>
      </c>
      <c r="H12" s="71">
        <f>Table4[[#This Row],[Nieuwe waarde]]-Table4[[#This Row],[Oude waarde]]</f>
        <v>0</v>
      </c>
      <c r="I12" s="72">
        <v>46266</v>
      </c>
      <c r="J12" s="72">
        <v>46388</v>
      </c>
      <c r="K12" s="16">
        <f>Table4[[#This Row],[Vervaldatum]]-Table4[[#This Row],[Mutatiedatum]]</f>
        <v>122</v>
      </c>
      <c r="L12" s="16">
        <v>366</v>
      </c>
      <c r="M12" s="16" t="s">
        <v>86</v>
      </c>
      <c r="N12" s="107" t="s">
        <v>87</v>
      </c>
      <c r="O12" s="73" cm="1">
        <f t="array" ref="O12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12" s="75">
        <f>IFERROR(_xlfn.XLOOKUP(Table4[[#This Row],[Subnummer]],Table3[Sub],#REF!),0)</f>
        <v>0</v>
      </c>
      <c r="Q12" s="75">
        <f>IFERROR(_xlfn.XLOOKUP(Table4[[#This Row],[Subnummer]],Table3[Sub],#REF!),0)</f>
        <v>0</v>
      </c>
      <c r="R12" s="75">
        <f>IFERROR(_xlfn.XLOOKUP(Table4[[#This Row],[Subnummer]],Table3[Sub],#REF!),0)</f>
        <v>0</v>
      </c>
      <c r="S12" s="75">
        <f>IFERROR(_xlfn.XLOOKUP(Table4[[#This Row],[Subnummer]],Table3[Sub],#REF!),0)</f>
        <v>0</v>
      </c>
      <c r="T12" s="75">
        <f>IFERROR(_xlfn.XLOOKUP(Table4[[#This Row],[Subnummer]],Table3[Sub],#REF!),0)</f>
        <v>0</v>
      </c>
      <c r="U12" s="75">
        <f>IFERROR(_xlfn.XLOOKUP(Table4[[#This Row],[Subnummer]],Table3[Sub],#REF!),0)</f>
        <v>0</v>
      </c>
      <c r="V12" s="75">
        <f>IFERROR(_xlfn.XLOOKUP(Table4[[#This Row],[Subnummer]],Table3[Sub],#REF!),0)</f>
        <v>0</v>
      </c>
      <c r="W12" s="75">
        <f>IFERROR(_xlfn.XLOOKUP(Table4[[#This Row],[Subnummer]],Table3[Sub],#REF!),0)</f>
        <v>0</v>
      </c>
      <c r="X12" s="75">
        <f>IFERROR(_xlfn.XLOOKUP(Table4[[#This Row],[Subnummer]],Table3[Sub],#REF!),0)</f>
        <v>0</v>
      </c>
      <c r="Y12" s="75">
        <f>IFERROR(_xlfn.XLOOKUP(Table4[[#This Row],[Subnummer]],Table3[Sub],#REF!),0)</f>
        <v>0</v>
      </c>
      <c r="Z12" s="76">
        <f t="shared" si="0"/>
        <v>0</v>
      </c>
      <c r="AA12" s="76">
        <f t="shared" si="1"/>
        <v>0</v>
      </c>
      <c r="AB12" s="76">
        <f t="shared" si="2"/>
        <v>0</v>
      </c>
      <c r="AC12" s="76">
        <f t="shared" si="3"/>
        <v>0</v>
      </c>
      <c r="AD12" s="76">
        <f t="shared" si="4"/>
        <v>0</v>
      </c>
      <c r="AE12" s="76">
        <f t="shared" si="5"/>
        <v>0</v>
      </c>
      <c r="AF12" s="76">
        <f t="shared" si="6"/>
        <v>0</v>
      </c>
      <c r="AG12" s="76">
        <f t="shared" si="7"/>
        <v>0</v>
      </c>
      <c r="AH12" s="76">
        <f t="shared" si="8"/>
        <v>0</v>
      </c>
      <c r="AI12" s="76">
        <f t="shared" si="9"/>
        <v>0</v>
      </c>
      <c r="AJ12" s="70">
        <f t="shared" si="10"/>
        <v>0</v>
      </c>
      <c r="AK12" s="16" t="str" cm="1">
        <f t="array" ref="AK12">_xlfn.IFS(AJ12=0,"Nihil",AJ12&gt;0,"Suppletie",AJ12&lt;0,"Restitutie")</f>
        <v>Nihil</v>
      </c>
    </row>
    <row r="13" spans="1:37" x14ac:dyDescent="0.3">
      <c r="A13" s="16" t="str">
        <f>IFERROR(_xlfn.XLOOKUP(E13,Table3[Sub],Table3[Verzekerde]),"-")</f>
        <v>-</v>
      </c>
      <c r="C13" s="69" t="str">
        <f>IFERROR(_xlfn.XLOOKUP(Table4[[#This Row],[Subnummer]],Table3[Sub],Table3[Certificaat]),"-")</f>
        <v>-</v>
      </c>
      <c r="D13" s="16" t="str">
        <f>IFERROR(_xlfn.XLOOKUP(E13,Specificatie!C$9:C$291,Specificatie!Q$9:Q$291),"")</f>
        <v/>
      </c>
      <c r="E13" s="103">
        <v>0</v>
      </c>
      <c r="F13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13" s="70">
        <v>0</v>
      </c>
      <c r="H13" s="71">
        <f>Table4[[#This Row],[Nieuwe waarde]]-Table4[[#This Row],[Oude waarde]]</f>
        <v>0</v>
      </c>
      <c r="I13" s="72">
        <v>46266</v>
      </c>
      <c r="J13" s="72">
        <v>46388</v>
      </c>
      <c r="K13" s="16">
        <f>Table4[[#This Row],[Vervaldatum]]-Table4[[#This Row],[Mutatiedatum]]</f>
        <v>122</v>
      </c>
      <c r="L13" s="16">
        <v>366</v>
      </c>
      <c r="M13" s="16" t="s">
        <v>86</v>
      </c>
      <c r="N13" s="107" t="s">
        <v>87</v>
      </c>
      <c r="O13" s="73" cm="1">
        <f t="array" ref="O13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13" s="75">
        <f>IFERROR(_xlfn.XLOOKUP(Table4[[#This Row],[Subnummer]],Table3[Sub],#REF!),0)</f>
        <v>0</v>
      </c>
      <c r="Q13" s="75">
        <f>IFERROR(_xlfn.XLOOKUP(Table4[[#This Row],[Subnummer]],Table3[Sub],#REF!),0)</f>
        <v>0</v>
      </c>
      <c r="R13" s="75">
        <f>IFERROR(_xlfn.XLOOKUP(Table4[[#This Row],[Subnummer]],Table3[Sub],#REF!),0)</f>
        <v>0</v>
      </c>
      <c r="S13" s="75">
        <f>IFERROR(_xlfn.XLOOKUP(Table4[[#This Row],[Subnummer]],Table3[Sub],#REF!),0)</f>
        <v>0</v>
      </c>
      <c r="T13" s="75">
        <f>IFERROR(_xlfn.XLOOKUP(Table4[[#This Row],[Subnummer]],Table3[Sub],#REF!),0)</f>
        <v>0</v>
      </c>
      <c r="U13" s="75">
        <f>IFERROR(_xlfn.XLOOKUP(Table4[[#This Row],[Subnummer]],Table3[Sub],#REF!),0)</f>
        <v>0</v>
      </c>
      <c r="V13" s="75">
        <f>IFERROR(_xlfn.XLOOKUP(Table4[[#This Row],[Subnummer]],Table3[Sub],#REF!),0)</f>
        <v>0</v>
      </c>
      <c r="W13" s="75">
        <f>IFERROR(_xlfn.XLOOKUP(Table4[[#This Row],[Subnummer]],Table3[Sub],#REF!),0)</f>
        <v>0</v>
      </c>
      <c r="X13" s="75">
        <f>IFERROR(_xlfn.XLOOKUP(Table4[[#This Row],[Subnummer]],Table3[Sub],#REF!),0)</f>
        <v>0</v>
      </c>
      <c r="Y13" s="75">
        <f>IFERROR(_xlfn.XLOOKUP(Table4[[#This Row],[Subnummer]],Table3[Sub],#REF!),0)</f>
        <v>0</v>
      </c>
      <c r="Z13" s="76">
        <f t="shared" si="0"/>
        <v>0</v>
      </c>
      <c r="AA13" s="76">
        <f t="shared" si="1"/>
        <v>0</v>
      </c>
      <c r="AB13" s="76">
        <f t="shared" si="2"/>
        <v>0</v>
      </c>
      <c r="AC13" s="76">
        <f t="shared" si="3"/>
        <v>0</v>
      </c>
      <c r="AD13" s="76">
        <f t="shared" si="4"/>
        <v>0</v>
      </c>
      <c r="AE13" s="76">
        <f t="shared" si="5"/>
        <v>0</v>
      </c>
      <c r="AF13" s="76">
        <f t="shared" si="6"/>
        <v>0</v>
      </c>
      <c r="AG13" s="76">
        <f t="shared" si="7"/>
        <v>0</v>
      </c>
      <c r="AH13" s="76">
        <f t="shared" si="8"/>
        <v>0</v>
      </c>
      <c r="AI13" s="76">
        <f t="shared" si="9"/>
        <v>0</v>
      </c>
      <c r="AJ13" s="70">
        <f t="shared" si="10"/>
        <v>0</v>
      </c>
      <c r="AK13" s="16" t="str" cm="1">
        <f t="array" ref="AK13">_xlfn.IFS(AJ13=0,"Nihil",AJ13&gt;0,"Suppletie",AJ13&lt;0,"Restitutie")</f>
        <v>Nihil</v>
      </c>
    </row>
    <row r="14" spans="1:37" x14ac:dyDescent="0.3">
      <c r="A14" s="16" t="str">
        <f>IFERROR(_xlfn.XLOOKUP(E14,Table3[Sub],Table3[Verzekerde]),"-")</f>
        <v>-</v>
      </c>
      <c r="C14" s="69" t="str">
        <f>IFERROR(_xlfn.XLOOKUP(Table4[[#This Row],[Subnummer]],Table3[Sub],Table3[Certificaat]),"-")</f>
        <v>-</v>
      </c>
      <c r="D14" s="16" t="str">
        <f>IFERROR(_xlfn.XLOOKUP(E14,Specificatie!C$9:C$291,Specificatie!Q$9:Q$291),"")</f>
        <v/>
      </c>
      <c r="E14" s="103">
        <v>0</v>
      </c>
      <c r="F14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14" s="70">
        <v>0</v>
      </c>
      <c r="H14" s="71">
        <f>Table4[[#This Row],[Nieuwe waarde]]-Table4[[#This Row],[Oude waarde]]</f>
        <v>0</v>
      </c>
      <c r="I14" s="72">
        <v>46266</v>
      </c>
      <c r="J14" s="72">
        <v>46388</v>
      </c>
      <c r="K14" s="16">
        <f>Table4[[#This Row],[Vervaldatum]]-Table4[[#This Row],[Mutatiedatum]]</f>
        <v>122</v>
      </c>
      <c r="L14" s="16">
        <v>366</v>
      </c>
      <c r="M14" s="16" t="s">
        <v>86</v>
      </c>
      <c r="N14" s="107" t="s">
        <v>87</v>
      </c>
      <c r="O14" s="73" cm="1">
        <f t="array" ref="O14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14" s="75">
        <f>IFERROR(_xlfn.XLOOKUP(Table4[[#This Row],[Subnummer]],Table3[Sub],#REF!),0)</f>
        <v>0</v>
      </c>
      <c r="Q14" s="75">
        <f>IFERROR(_xlfn.XLOOKUP(Table4[[#This Row],[Subnummer]],Table3[Sub],#REF!),0)</f>
        <v>0</v>
      </c>
      <c r="R14" s="75">
        <f>IFERROR(_xlfn.XLOOKUP(Table4[[#This Row],[Subnummer]],Table3[Sub],#REF!),0)</f>
        <v>0</v>
      </c>
      <c r="S14" s="75">
        <f>IFERROR(_xlfn.XLOOKUP(Table4[[#This Row],[Subnummer]],Table3[Sub],#REF!),0)</f>
        <v>0</v>
      </c>
      <c r="T14" s="75">
        <f>IFERROR(_xlfn.XLOOKUP(Table4[[#This Row],[Subnummer]],Table3[Sub],#REF!),0)</f>
        <v>0</v>
      </c>
      <c r="U14" s="75">
        <f>IFERROR(_xlfn.XLOOKUP(Table4[[#This Row],[Subnummer]],Table3[Sub],#REF!),0)</f>
        <v>0</v>
      </c>
      <c r="V14" s="75">
        <f>IFERROR(_xlfn.XLOOKUP(Table4[[#This Row],[Subnummer]],Table3[Sub],#REF!),0)</f>
        <v>0</v>
      </c>
      <c r="W14" s="75">
        <f>IFERROR(_xlfn.XLOOKUP(Table4[[#This Row],[Subnummer]],Table3[Sub],#REF!),0)</f>
        <v>0</v>
      </c>
      <c r="X14" s="75">
        <f>IFERROR(_xlfn.XLOOKUP(Table4[[#This Row],[Subnummer]],Table3[Sub],#REF!),0)</f>
        <v>0</v>
      </c>
      <c r="Y14" s="75">
        <f>IFERROR(_xlfn.XLOOKUP(Table4[[#This Row],[Subnummer]],Table3[Sub],#REF!),0)</f>
        <v>0</v>
      </c>
      <c r="Z14" s="76">
        <f t="shared" si="0"/>
        <v>0</v>
      </c>
      <c r="AA14" s="76">
        <f t="shared" si="1"/>
        <v>0</v>
      </c>
      <c r="AB14" s="76">
        <f t="shared" si="2"/>
        <v>0</v>
      </c>
      <c r="AC14" s="76">
        <f t="shared" si="3"/>
        <v>0</v>
      </c>
      <c r="AD14" s="76">
        <f t="shared" si="4"/>
        <v>0</v>
      </c>
      <c r="AE14" s="76">
        <f t="shared" si="5"/>
        <v>0</v>
      </c>
      <c r="AF14" s="76">
        <f t="shared" si="6"/>
        <v>0</v>
      </c>
      <c r="AG14" s="76">
        <f t="shared" si="7"/>
        <v>0</v>
      </c>
      <c r="AH14" s="76">
        <f t="shared" si="8"/>
        <v>0</v>
      </c>
      <c r="AI14" s="76">
        <f t="shared" si="9"/>
        <v>0</v>
      </c>
      <c r="AJ14" s="70">
        <f t="shared" si="10"/>
        <v>0</v>
      </c>
      <c r="AK14" s="16" t="str" cm="1">
        <f t="array" ref="AK14">_xlfn.IFS(AJ14=0,"Nihil",AJ14&gt;0,"Suppletie",AJ14&lt;0,"Restitutie")</f>
        <v>Nihil</v>
      </c>
    </row>
    <row r="15" spans="1:37" x14ac:dyDescent="0.3">
      <c r="A15" s="16" t="str">
        <f>IFERROR(_xlfn.XLOOKUP(E15,Table3[Sub],Table3[Verzekerde]),"-")</f>
        <v>-</v>
      </c>
      <c r="C15" s="69" t="str">
        <f>IFERROR(_xlfn.XLOOKUP(Table4[[#This Row],[Subnummer]],Table3[Sub],Table3[Certificaat]),"-")</f>
        <v>-</v>
      </c>
      <c r="D15" s="16" t="str">
        <f>IFERROR(_xlfn.XLOOKUP(E15,Specificatie!C$9:C$291,Specificatie!Q$9:Q$291),"")</f>
        <v/>
      </c>
      <c r="E15" s="103">
        <v>0</v>
      </c>
      <c r="F15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15" s="70">
        <v>0</v>
      </c>
      <c r="H15" s="71">
        <f>Table4[[#This Row],[Nieuwe waarde]]-Table4[[#This Row],[Oude waarde]]</f>
        <v>0</v>
      </c>
      <c r="I15" s="72">
        <v>46266</v>
      </c>
      <c r="J15" s="72">
        <v>46388</v>
      </c>
      <c r="K15" s="16">
        <f>Table4[[#This Row],[Vervaldatum]]-Table4[[#This Row],[Mutatiedatum]]</f>
        <v>122</v>
      </c>
      <c r="L15" s="16">
        <v>366</v>
      </c>
      <c r="M15" s="16" t="s">
        <v>86</v>
      </c>
      <c r="N15" s="107" t="s">
        <v>87</v>
      </c>
      <c r="O15" s="73" cm="1">
        <f t="array" ref="O15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15" s="75">
        <f>IFERROR(_xlfn.XLOOKUP(Table4[[#This Row],[Subnummer]],Table3[Sub],#REF!),0)</f>
        <v>0</v>
      </c>
      <c r="Q15" s="75">
        <f>IFERROR(_xlfn.XLOOKUP(Table4[[#This Row],[Subnummer]],Table3[Sub],#REF!),0)</f>
        <v>0</v>
      </c>
      <c r="R15" s="75">
        <f>IFERROR(_xlfn.XLOOKUP(Table4[[#This Row],[Subnummer]],Table3[Sub],#REF!),0)</f>
        <v>0</v>
      </c>
      <c r="S15" s="75">
        <f>IFERROR(_xlfn.XLOOKUP(Table4[[#This Row],[Subnummer]],Table3[Sub],#REF!),0)</f>
        <v>0</v>
      </c>
      <c r="T15" s="75">
        <f>IFERROR(_xlfn.XLOOKUP(Table4[[#This Row],[Subnummer]],Table3[Sub],#REF!),0)</f>
        <v>0</v>
      </c>
      <c r="U15" s="75">
        <f>IFERROR(_xlfn.XLOOKUP(Table4[[#This Row],[Subnummer]],Table3[Sub],#REF!),0)</f>
        <v>0</v>
      </c>
      <c r="V15" s="75">
        <f>IFERROR(_xlfn.XLOOKUP(Table4[[#This Row],[Subnummer]],Table3[Sub],#REF!),0)</f>
        <v>0</v>
      </c>
      <c r="W15" s="75">
        <f>IFERROR(_xlfn.XLOOKUP(Table4[[#This Row],[Subnummer]],Table3[Sub],#REF!),0)</f>
        <v>0</v>
      </c>
      <c r="X15" s="75">
        <f>IFERROR(_xlfn.XLOOKUP(Table4[[#This Row],[Subnummer]],Table3[Sub],#REF!),0)</f>
        <v>0</v>
      </c>
      <c r="Y15" s="75">
        <f>IFERROR(_xlfn.XLOOKUP(Table4[[#This Row],[Subnummer]],Table3[Sub],#REF!),0)</f>
        <v>0</v>
      </c>
      <c r="Z15" s="76">
        <f t="shared" si="0"/>
        <v>0</v>
      </c>
      <c r="AA15" s="76">
        <f t="shared" si="1"/>
        <v>0</v>
      </c>
      <c r="AB15" s="76">
        <f t="shared" si="2"/>
        <v>0</v>
      </c>
      <c r="AC15" s="76">
        <f t="shared" si="3"/>
        <v>0</v>
      </c>
      <c r="AD15" s="76">
        <f t="shared" si="4"/>
        <v>0</v>
      </c>
      <c r="AE15" s="76">
        <f t="shared" si="5"/>
        <v>0</v>
      </c>
      <c r="AF15" s="76">
        <f t="shared" si="6"/>
        <v>0</v>
      </c>
      <c r="AG15" s="76">
        <f t="shared" si="7"/>
        <v>0</v>
      </c>
      <c r="AH15" s="76">
        <f t="shared" si="8"/>
        <v>0</v>
      </c>
      <c r="AI15" s="76">
        <f t="shared" si="9"/>
        <v>0</v>
      </c>
      <c r="AJ15" s="70">
        <f t="shared" si="10"/>
        <v>0</v>
      </c>
      <c r="AK15" s="16" t="str" cm="1">
        <f t="array" ref="AK15">_xlfn.IFS(AJ15=0,"Nihil",AJ15&gt;0,"Suppletie",AJ15&lt;0,"Restitutie")</f>
        <v>Nihil</v>
      </c>
    </row>
    <row r="16" spans="1:37" x14ac:dyDescent="0.3">
      <c r="A16" s="16" t="str">
        <f>IFERROR(_xlfn.XLOOKUP(E16,Table3[Sub],Table3[Verzekerde]),"-")</f>
        <v>-</v>
      </c>
      <c r="C16" s="69" t="str">
        <f>IFERROR(_xlfn.XLOOKUP(Table4[[#This Row],[Subnummer]],Table3[Sub],Table3[Certificaat]),"-")</f>
        <v>-</v>
      </c>
      <c r="D16" s="16" t="str">
        <f>IFERROR(_xlfn.XLOOKUP(E16,Specificatie!C$9:C$291,Specificatie!Q$9:Q$291),"")</f>
        <v/>
      </c>
      <c r="E16" s="103">
        <v>0</v>
      </c>
      <c r="F16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16" s="70">
        <v>0</v>
      </c>
      <c r="H16" s="71">
        <f>Table4[[#This Row],[Nieuwe waarde]]-Table4[[#This Row],[Oude waarde]]</f>
        <v>0</v>
      </c>
      <c r="I16" s="72">
        <v>46266</v>
      </c>
      <c r="J16" s="72">
        <v>46388</v>
      </c>
      <c r="K16" s="16">
        <f>Table4[[#This Row],[Vervaldatum]]-Table4[[#This Row],[Mutatiedatum]]</f>
        <v>122</v>
      </c>
      <c r="L16" s="16">
        <v>366</v>
      </c>
      <c r="M16" s="16" t="s">
        <v>86</v>
      </c>
      <c r="N16" s="107" t="s">
        <v>87</v>
      </c>
      <c r="O16" s="73" cm="1">
        <f t="array" ref="O16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16" s="75">
        <f>IFERROR(_xlfn.XLOOKUP(Table4[[#This Row],[Subnummer]],Table3[Sub],#REF!),0)</f>
        <v>0</v>
      </c>
      <c r="Q16" s="75">
        <f>IFERROR(_xlfn.XLOOKUP(Table4[[#This Row],[Subnummer]],Table3[Sub],#REF!),0)</f>
        <v>0</v>
      </c>
      <c r="R16" s="75">
        <f>IFERROR(_xlfn.XLOOKUP(Table4[[#This Row],[Subnummer]],Table3[Sub],#REF!),0)</f>
        <v>0</v>
      </c>
      <c r="S16" s="75">
        <f>IFERROR(_xlfn.XLOOKUP(Table4[[#This Row],[Subnummer]],Table3[Sub],#REF!),0)</f>
        <v>0</v>
      </c>
      <c r="T16" s="75">
        <f>IFERROR(_xlfn.XLOOKUP(Table4[[#This Row],[Subnummer]],Table3[Sub],#REF!),0)</f>
        <v>0</v>
      </c>
      <c r="U16" s="75">
        <f>IFERROR(_xlfn.XLOOKUP(Table4[[#This Row],[Subnummer]],Table3[Sub],#REF!),0)</f>
        <v>0</v>
      </c>
      <c r="V16" s="75">
        <f>IFERROR(_xlfn.XLOOKUP(Table4[[#This Row],[Subnummer]],Table3[Sub],#REF!),0)</f>
        <v>0</v>
      </c>
      <c r="W16" s="75">
        <f>IFERROR(_xlfn.XLOOKUP(Table4[[#This Row],[Subnummer]],Table3[Sub],#REF!),0)</f>
        <v>0</v>
      </c>
      <c r="X16" s="75">
        <f>IFERROR(_xlfn.XLOOKUP(Table4[[#This Row],[Subnummer]],Table3[Sub],#REF!),0)</f>
        <v>0</v>
      </c>
      <c r="Y16" s="75">
        <f>IFERROR(_xlfn.XLOOKUP(Table4[[#This Row],[Subnummer]],Table3[Sub],#REF!),0)</f>
        <v>0</v>
      </c>
      <c r="Z16" s="76">
        <f t="shared" si="0"/>
        <v>0</v>
      </c>
      <c r="AA16" s="76">
        <f t="shared" si="1"/>
        <v>0</v>
      </c>
      <c r="AB16" s="76">
        <f t="shared" si="2"/>
        <v>0</v>
      </c>
      <c r="AC16" s="76">
        <f t="shared" si="3"/>
        <v>0</v>
      </c>
      <c r="AD16" s="76">
        <f t="shared" si="4"/>
        <v>0</v>
      </c>
      <c r="AE16" s="76">
        <f t="shared" si="5"/>
        <v>0</v>
      </c>
      <c r="AF16" s="76">
        <f t="shared" si="6"/>
        <v>0</v>
      </c>
      <c r="AG16" s="76">
        <f t="shared" si="7"/>
        <v>0</v>
      </c>
      <c r="AH16" s="76">
        <f t="shared" si="8"/>
        <v>0</v>
      </c>
      <c r="AI16" s="76">
        <f t="shared" si="9"/>
        <v>0</v>
      </c>
      <c r="AJ16" s="70">
        <f t="shared" si="10"/>
        <v>0</v>
      </c>
      <c r="AK16" s="16" t="str" cm="1">
        <f t="array" ref="AK16">_xlfn.IFS(AJ16=0,"Nihil",AJ16&gt;0,"Suppletie",AJ16&lt;0,"Restitutie")</f>
        <v>Nihil</v>
      </c>
    </row>
    <row r="17" spans="1:37" x14ac:dyDescent="0.3">
      <c r="A17" s="16" t="str">
        <f>IFERROR(_xlfn.XLOOKUP(E17,Table3[Sub],Table3[Verzekerde]),"-")</f>
        <v>-</v>
      </c>
      <c r="C17" s="69" t="str">
        <f>IFERROR(_xlfn.XLOOKUP(Table4[[#This Row],[Subnummer]],Table3[Sub],Table3[Certificaat]),"-")</f>
        <v>-</v>
      </c>
      <c r="D17" s="16" t="str">
        <f>IFERROR(_xlfn.XLOOKUP(E17,Specificatie!C$9:C$291,Specificatie!Q$9:Q$291),"")</f>
        <v/>
      </c>
      <c r="E17" s="103">
        <v>0</v>
      </c>
      <c r="F17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17" s="70">
        <v>0</v>
      </c>
      <c r="H17" s="71">
        <f>Table4[[#This Row],[Nieuwe waarde]]-Table4[[#This Row],[Oude waarde]]</f>
        <v>0</v>
      </c>
      <c r="I17" s="72">
        <v>46266</v>
      </c>
      <c r="J17" s="72">
        <v>46388</v>
      </c>
      <c r="K17" s="16">
        <f>Table4[[#This Row],[Vervaldatum]]-Table4[[#This Row],[Mutatiedatum]]</f>
        <v>122</v>
      </c>
      <c r="L17" s="16">
        <v>366</v>
      </c>
      <c r="M17" s="16" t="s">
        <v>86</v>
      </c>
      <c r="N17" s="107" t="s">
        <v>87</v>
      </c>
      <c r="O17" s="73" cm="1">
        <f t="array" ref="O17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17" s="75">
        <f>IFERROR(_xlfn.XLOOKUP(Table4[[#This Row],[Subnummer]],Table3[Sub],#REF!),0)</f>
        <v>0</v>
      </c>
      <c r="Q17" s="75">
        <f>IFERROR(_xlfn.XLOOKUP(Table4[[#This Row],[Subnummer]],Table3[Sub],#REF!),0)</f>
        <v>0</v>
      </c>
      <c r="R17" s="75">
        <f>IFERROR(_xlfn.XLOOKUP(Table4[[#This Row],[Subnummer]],Table3[Sub],#REF!),0)</f>
        <v>0</v>
      </c>
      <c r="S17" s="75">
        <f>IFERROR(_xlfn.XLOOKUP(Table4[[#This Row],[Subnummer]],Table3[Sub],#REF!),0)</f>
        <v>0</v>
      </c>
      <c r="T17" s="75">
        <f>IFERROR(_xlfn.XLOOKUP(Table4[[#This Row],[Subnummer]],Table3[Sub],#REF!),0)</f>
        <v>0</v>
      </c>
      <c r="U17" s="75">
        <f>IFERROR(_xlfn.XLOOKUP(Table4[[#This Row],[Subnummer]],Table3[Sub],#REF!),0)</f>
        <v>0</v>
      </c>
      <c r="V17" s="75">
        <f>IFERROR(_xlfn.XLOOKUP(Table4[[#This Row],[Subnummer]],Table3[Sub],#REF!),0)</f>
        <v>0</v>
      </c>
      <c r="W17" s="75">
        <f>IFERROR(_xlfn.XLOOKUP(Table4[[#This Row],[Subnummer]],Table3[Sub],#REF!),0)</f>
        <v>0</v>
      </c>
      <c r="X17" s="75">
        <f>IFERROR(_xlfn.XLOOKUP(Table4[[#This Row],[Subnummer]],Table3[Sub],#REF!),0)</f>
        <v>0</v>
      </c>
      <c r="Y17" s="75">
        <f>IFERROR(_xlfn.XLOOKUP(Table4[[#This Row],[Subnummer]],Table3[Sub],#REF!),0)</f>
        <v>0</v>
      </c>
      <c r="Z17" s="76">
        <f t="shared" si="0"/>
        <v>0</v>
      </c>
      <c r="AA17" s="76">
        <f t="shared" si="1"/>
        <v>0</v>
      </c>
      <c r="AB17" s="76">
        <f t="shared" si="2"/>
        <v>0</v>
      </c>
      <c r="AC17" s="76">
        <f t="shared" si="3"/>
        <v>0</v>
      </c>
      <c r="AD17" s="76">
        <f t="shared" si="4"/>
        <v>0</v>
      </c>
      <c r="AE17" s="76">
        <f t="shared" si="5"/>
        <v>0</v>
      </c>
      <c r="AF17" s="76">
        <f t="shared" si="6"/>
        <v>0</v>
      </c>
      <c r="AG17" s="76">
        <f t="shared" si="7"/>
        <v>0</v>
      </c>
      <c r="AH17" s="76">
        <f t="shared" si="8"/>
        <v>0</v>
      </c>
      <c r="AI17" s="76">
        <f t="shared" si="9"/>
        <v>0</v>
      </c>
      <c r="AJ17" s="70">
        <f t="shared" si="10"/>
        <v>0</v>
      </c>
      <c r="AK17" s="16" t="str" cm="1">
        <f t="array" ref="AK17">_xlfn.IFS(AJ17=0,"Nihil",AJ17&gt;0,"Suppletie",AJ17&lt;0,"Restitutie")</f>
        <v>Nihil</v>
      </c>
    </row>
    <row r="18" spans="1:37" x14ac:dyDescent="0.3">
      <c r="A18" s="16" t="str">
        <f>IFERROR(_xlfn.XLOOKUP(E18,Table3[Sub],Table3[Verzekerde]),"-")</f>
        <v>-</v>
      </c>
      <c r="C18" s="69" t="str">
        <f>IFERROR(_xlfn.XLOOKUP(Table4[[#This Row],[Subnummer]],Table3[Sub],Table3[Certificaat]),"-")</f>
        <v>-</v>
      </c>
      <c r="D18" s="16" t="str">
        <f>IFERROR(_xlfn.XLOOKUP(E18,Specificatie!C$9:C$291,Specificatie!Q$9:Q$291),"")</f>
        <v/>
      </c>
      <c r="E18" s="103">
        <v>0</v>
      </c>
      <c r="F18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18" s="70">
        <v>0</v>
      </c>
      <c r="H18" s="71">
        <f>Table4[[#This Row],[Nieuwe waarde]]-Table4[[#This Row],[Oude waarde]]</f>
        <v>0</v>
      </c>
      <c r="I18" s="72">
        <v>46266</v>
      </c>
      <c r="J18" s="72">
        <v>46388</v>
      </c>
      <c r="K18" s="16">
        <f>Table4[[#This Row],[Vervaldatum]]-Table4[[#This Row],[Mutatiedatum]]</f>
        <v>122</v>
      </c>
      <c r="L18" s="16">
        <v>366</v>
      </c>
      <c r="M18" s="16" t="s">
        <v>86</v>
      </c>
      <c r="N18" s="107" t="s">
        <v>87</v>
      </c>
      <c r="O18" s="73" cm="1">
        <f t="array" ref="O18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18" s="75">
        <f>IFERROR(_xlfn.XLOOKUP(Table4[[#This Row],[Subnummer]],Table3[Sub],#REF!),0)</f>
        <v>0</v>
      </c>
      <c r="Q18" s="75">
        <f>IFERROR(_xlfn.XLOOKUP(Table4[[#This Row],[Subnummer]],Table3[Sub],#REF!),0)</f>
        <v>0</v>
      </c>
      <c r="R18" s="75">
        <f>IFERROR(_xlfn.XLOOKUP(Table4[[#This Row],[Subnummer]],Table3[Sub],#REF!),0)</f>
        <v>0</v>
      </c>
      <c r="S18" s="75">
        <f>IFERROR(_xlfn.XLOOKUP(Table4[[#This Row],[Subnummer]],Table3[Sub],#REF!),0)</f>
        <v>0</v>
      </c>
      <c r="T18" s="75">
        <f>IFERROR(_xlfn.XLOOKUP(Table4[[#This Row],[Subnummer]],Table3[Sub],#REF!),0)</f>
        <v>0</v>
      </c>
      <c r="U18" s="75">
        <f>IFERROR(_xlfn.XLOOKUP(Table4[[#This Row],[Subnummer]],Table3[Sub],#REF!),0)</f>
        <v>0</v>
      </c>
      <c r="V18" s="75">
        <f>IFERROR(_xlfn.XLOOKUP(Table4[[#This Row],[Subnummer]],Table3[Sub],#REF!),0)</f>
        <v>0</v>
      </c>
      <c r="W18" s="75">
        <f>IFERROR(_xlfn.XLOOKUP(Table4[[#This Row],[Subnummer]],Table3[Sub],#REF!),0)</f>
        <v>0</v>
      </c>
      <c r="X18" s="75">
        <f>IFERROR(_xlfn.XLOOKUP(Table4[[#This Row],[Subnummer]],Table3[Sub],#REF!),0)</f>
        <v>0</v>
      </c>
      <c r="Y18" s="75">
        <f>IFERROR(_xlfn.XLOOKUP(Table4[[#This Row],[Subnummer]],Table3[Sub],#REF!),0)</f>
        <v>0</v>
      </c>
      <c r="Z18" s="76">
        <f t="shared" si="0"/>
        <v>0</v>
      </c>
      <c r="AA18" s="76">
        <f t="shared" si="1"/>
        <v>0</v>
      </c>
      <c r="AB18" s="76">
        <f t="shared" si="2"/>
        <v>0</v>
      </c>
      <c r="AC18" s="76">
        <f t="shared" si="3"/>
        <v>0</v>
      </c>
      <c r="AD18" s="76">
        <f t="shared" si="4"/>
        <v>0</v>
      </c>
      <c r="AE18" s="76">
        <f t="shared" si="5"/>
        <v>0</v>
      </c>
      <c r="AF18" s="76">
        <f t="shared" si="6"/>
        <v>0</v>
      </c>
      <c r="AG18" s="76">
        <f t="shared" si="7"/>
        <v>0</v>
      </c>
      <c r="AH18" s="76">
        <f t="shared" si="8"/>
        <v>0</v>
      </c>
      <c r="AI18" s="76">
        <f t="shared" si="9"/>
        <v>0</v>
      </c>
      <c r="AJ18" s="70">
        <f t="shared" si="10"/>
        <v>0</v>
      </c>
      <c r="AK18" s="16" t="str" cm="1">
        <f t="array" ref="AK18">_xlfn.IFS(AJ18=0,"Nihil",AJ18&gt;0,"Suppletie",AJ18&lt;0,"Restitutie")</f>
        <v>Nihil</v>
      </c>
    </row>
    <row r="19" spans="1:37" x14ac:dyDescent="0.3">
      <c r="A19" s="16" t="str">
        <f>IFERROR(_xlfn.XLOOKUP(E19,Table3[Sub],Table3[Verzekerde]),"-")</f>
        <v>-</v>
      </c>
      <c r="C19" s="69" t="str">
        <f>IFERROR(_xlfn.XLOOKUP(Table4[[#This Row],[Subnummer]],Table3[Sub],Table3[Certificaat]),"-")</f>
        <v>-</v>
      </c>
      <c r="D19" s="16" t="str">
        <f>IFERROR(_xlfn.XLOOKUP(E19,Specificatie!C$9:C$291,Specificatie!Q$9:Q$291),"")</f>
        <v/>
      </c>
      <c r="E19" s="103">
        <v>0</v>
      </c>
      <c r="F19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19" s="70">
        <v>0</v>
      </c>
      <c r="H19" s="71">
        <f>Table4[[#This Row],[Nieuwe waarde]]-Table4[[#This Row],[Oude waarde]]</f>
        <v>0</v>
      </c>
      <c r="I19" s="72">
        <v>46266</v>
      </c>
      <c r="J19" s="72">
        <v>46388</v>
      </c>
      <c r="K19" s="16">
        <f>Table4[[#This Row],[Vervaldatum]]-Table4[[#This Row],[Mutatiedatum]]</f>
        <v>122</v>
      </c>
      <c r="L19" s="16">
        <v>366</v>
      </c>
      <c r="M19" s="16" t="s">
        <v>86</v>
      </c>
      <c r="N19" s="107" t="s">
        <v>87</v>
      </c>
      <c r="O19" s="73" cm="1">
        <f t="array" ref="O19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19" s="75">
        <f>IFERROR(_xlfn.XLOOKUP(Table4[[#This Row],[Subnummer]],Table3[Sub],#REF!),0)</f>
        <v>0</v>
      </c>
      <c r="Q19" s="75">
        <f>IFERROR(_xlfn.XLOOKUP(Table4[[#This Row],[Subnummer]],Table3[Sub],#REF!),0)</f>
        <v>0</v>
      </c>
      <c r="R19" s="75">
        <f>IFERROR(_xlfn.XLOOKUP(Table4[[#This Row],[Subnummer]],Table3[Sub],#REF!),0)</f>
        <v>0</v>
      </c>
      <c r="S19" s="75">
        <f>IFERROR(_xlfn.XLOOKUP(Table4[[#This Row],[Subnummer]],Table3[Sub],#REF!),0)</f>
        <v>0</v>
      </c>
      <c r="T19" s="75">
        <f>IFERROR(_xlfn.XLOOKUP(Table4[[#This Row],[Subnummer]],Table3[Sub],#REF!),0)</f>
        <v>0</v>
      </c>
      <c r="U19" s="75">
        <f>IFERROR(_xlfn.XLOOKUP(Table4[[#This Row],[Subnummer]],Table3[Sub],#REF!),0)</f>
        <v>0</v>
      </c>
      <c r="V19" s="75">
        <f>IFERROR(_xlfn.XLOOKUP(Table4[[#This Row],[Subnummer]],Table3[Sub],#REF!),0)</f>
        <v>0</v>
      </c>
      <c r="W19" s="75">
        <f>IFERROR(_xlfn.XLOOKUP(Table4[[#This Row],[Subnummer]],Table3[Sub],#REF!),0)</f>
        <v>0</v>
      </c>
      <c r="X19" s="75">
        <f>IFERROR(_xlfn.XLOOKUP(Table4[[#This Row],[Subnummer]],Table3[Sub],#REF!),0)</f>
        <v>0</v>
      </c>
      <c r="Y19" s="75">
        <f>IFERROR(_xlfn.XLOOKUP(Table4[[#This Row],[Subnummer]],Table3[Sub],#REF!),0)</f>
        <v>0</v>
      </c>
      <c r="Z19" s="76">
        <f t="shared" si="0"/>
        <v>0</v>
      </c>
      <c r="AA19" s="76">
        <f t="shared" si="1"/>
        <v>0</v>
      </c>
      <c r="AB19" s="76">
        <f t="shared" si="2"/>
        <v>0</v>
      </c>
      <c r="AC19" s="76">
        <f t="shared" si="3"/>
        <v>0</v>
      </c>
      <c r="AD19" s="76">
        <f t="shared" si="4"/>
        <v>0</v>
      </c>
      <c r="AE19" s="76">
        <f t="shared" si="5"/>
        <v>0</v>
      </c>
      <c r="AF19" s="76">
        <f t="shared" si="6"/>
        <v>0</v>
      </c>
      <c r="AG19" s="76">
        <f t="shared" si="7"/>
        <v>0</v>
      </c>
      <c r="AH19" s="76">
        <f t="shared" si="8"/>
        <v>0</v>
      </c>
      <c r="AI19" s="76">
        <f t="shared" si="9"/>
        <v>0</v>
      </c>
      <c r="AJ19" s="70">
        <f t="shared" ref="AJ19:AJ82" si="11">SUM(Z19:AI19)</f>
        <v>0</v>
      </c>
      <c r="AK19" s="16" t="str" cm="1">
        <f t="array" ref="AK19">_xlfn.IFS(AJ19=0,"Nihil",AJ19&gt;0,"Suppletie",AJ19&lt;0,"Restitutie")</f>
        <v>Nihil</v>
      </c>
    </row>
    <row r="20" spans="1:37" x14ac:dyDescent="0.3">
      <c r="A20" s="16" t="str">
        <f>IFERROR(_xlfn.XLOOKUP(E20,Table3[Sub],Table3[Verzekerde]),"-")</f>
        <v>-</v>
      </c>
      <c r="C20" s="69" t="str">
        <f>IFERROR(_xlfn.XLOOKUP(Table4[[#This Row],[Subnummer]],Table3[Sub],Table3[Certificaat]),"-")</f>
        <v>-</v>
      </c>
      <c r="D20" s="16" t="str">
        <f>IFERROR(_xlfn.XLOOKUP(E20,Specificatie!C$9:C$291,Specificatie!Q$9:Q$291),"")</f>
        <v/>
      </c>
      <c r="E20" s="103">
        <v>0</v>
      </c>
      <c r="F20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20" s="70">
        <v>0</v>
      </c>
      <c r="H20" s="71">
        <f>Table4[[#This Row],[Nieuwe waarde]]-Table4[[#This Row],[Oude waarde]]</f>
        <v>0</v>
      </c>
      <c r="I20" s="72">
        <v>46266</v>
      </c>
      <c r="J20" s="72">
        <v>46388</v>
      </c>
      <c r="K20" s="16">
        <f>Table4[[#This Row],[Vervaldatum]]-Table4[[#This Row],[Mutatiedatum]]</f>
        <v>122</v>
      </c>
      <c r="L20" s="16">
        <v>366</v>
      </c>
      <c r="M20" s="16" t="s">
        <v>86</v>
      </c>
      <c r="N20" s="107" t="s">
        <v>87</v>
      </c>
      <c r="O20" s="73" cm="1">
        <f t="array" ref="O20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20" s="75">
        <f>IFERROR(_xlfn.XLOOKUP(Table4[[#This Row],[Subnummer]],Table3[Sub],#REF!),0)</f>
        <v>0</v>
      </c>
      <c r="Q20" s="75">
        <f>IFERROR(_xlfn.XLOOKUP(Table4[[#This Row],[Subnummer]],Table3[Sub],#REF!),0)</f>
        <v>0</v>
      </c>
      <c r="R20" s="75">
        <f>IFERROR(_xlfn.XLOOKUP(Table4[[#This Row],[Subnummer]],Table3[Sub],#REF!),0)</f>
        <v>0</v>
      </c>
      <c r="S20" s="75">
        <f>IFERROR(_xlfn.XLOOKUP(Table4[[#This Row],[Subnummer]],Table3[Sub],#REF!),0)</f>
        <v>0</v>
      </c>
      <c r="T20" s="75">
        <f>IFERROR(_xlfn.XLOOKUP(Table4[[#This Row],[Subnummer]],Table3[Sub],#REF!),0)</f>
        <v>0</v>
      </c>
      <c r="U20" s="75">
        <f>IFERROR(_xlfn.XLOOKUP(Table4[[#This Row],[Subnummer]],Table3[Sub],#REF!),0)</f>
        <v>0</v>
      </c>
      <c r="V20" s="75">
        <f>IFERROR(_xlfn.XLOOKUP(Table4[[#This Row],[Subnummer]],Table3[Sub],#REF!),0)</f>
        <v>0</v>
      </c>
      <c r="W20" s="75">
        <f>IFERROR(_xlfn.XLOOKUP(Table4[[#This Row],[Subnummer]],Table3[Sub],#REF!),0)</f>
        <v>0</v>
      </c>
      <c r="X20" s="75">
        <f>IFERROR(_xlfn.XLOOKUP(Table4[[#This Row],[Subnummer]],Table3[Sub],#REF!),0)</f>
        <v>0</v>
      </c>
      <c r="Y20" s="75">
        <f>IFERROR(_xlfn.XLOOKUP(Table4[[#This Row],[Subnummer]],Table3[Sub],#REF!),0)</f>
        <v>0</v>
      </c>
      <c r="Z20" s="76">
        <f t="shared" si="0"/>
        <v>0</v>
      </c>
      <c r="AA20" s="76">
        <f t="shared" si="1"/>
        <v>0</v>
      </c>
      <c r="AB20" s="76">
        <f t="shared" si="2"/>
        <v>0</v>
      </c>
      <c r="AC20" s="76">
        <f t="shared" si="3"/>
        <v>0</v>
      </c>
      <c r="AD20" s="76">
        <f t="shared" si="4"/>
        <v>0</v>
      </c>
      <c r="AE20" s="76">
        <f t="shared" si="5"/>
        <v>0</v>
      </c>
      <c r="AF20" s="76">
        <f t="shared" si="6"/>
        <v>0</v>
      </c>
      <c r="AG20" s="76">
        <f t="shared" si="7"/>
        <v>0</v>
      </c>
      <c r="AH20" s="76">
        <f t="shared" si="8"/>
        <v>0</v>
      </c>
      <c r="AI20" s="76">
        <f t="shared" si="9"/>
        <v>0</v>
      </c>
      <c r="AJ20" s="70">
        <f t="shared" si="11"/>
        <v>0</v>
      </c>
      <c r="AK20" s="16" t="str" cm="1">
        <f t="array" ref="AK20">_xlfn.IFS(AJ20=0,"Nihil",AJ20&gt;0,"Suppletie",AJ20&lt;0,"Restitutie")</f>
        <v>Nihil</v>
      </c>
    </row>
    <row r="21" spans="1:37" x14ac:dyDescent="0.3">
      <c r="A21" s="16" t="str">
        <f>IFERROR(_xlfn.XLOOKUP(E21,Table3[Sub],Table3[Verzekerde]),"-")</f>
        <v>-</v>
      </c>
      <c r="C21" s="69" t="str">
        <f>IFERROR(_xlfn.XLOOKUP(Table4[[#This Row],[Subnummer]],Table3[Sub],Table3[Certificaat]),"-")</f>
        <v>-</v>
      </c>
      <c r="D21" s="16" t="str">
        <f>IFERROR(_xlfn.XLOOKUP(E21,Specificatie!C$9:C$291,Specificatie!Q$9:Q$291),"")</f>
        <v/>
      </c>
      <c r="E21" s="103">
        <v>0</v>
      </c>
      <c r="F21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21" s="70">
        <v>0</v>
      </c>
      <c r="H21" s="71">
        <f>Table4[[#This Row],[Nieuwe waarde]]-Table4[[#This Row],[Oude waarde]]</f>
        <v>0</v>
      </c>
      <c r="I21" s="72">
        <v>46266</v>
      </c>
      <c r="J21" s="72">
        <v>46388</v>
      </c>
      <c r="K21" s="16">
        <f>Table4[[#This Row],[Vervaldatum]]-Table4[[#This Row],[Mutatiedatum]]</f>
        <v>122</v>
      </c>
      <c r="L21" s="16">
        <v>366</v>
      </c>
      <c r="M21" s="16" t="s">
        <v>86</v>
      </c>
      <c r="N21" s="107" t="s">
        <v>87</v>
      </c>
      <c r="O21" s="73" cm="1">
        <f t="array" ref="O21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21" s="75">
        <f>IFERROR(_xlfn.XLOOKUP(Table4[[#This Row],[Subnummer]],Table3[Sub],#REF!),0)</f>
        <v>0</v>
      </c>
      <c r="Q21" s="75">
        <f>IFERROR(_xlfn.XLOOKUP(Table4[[#This Row],[Subnummer]],Table3[Sub],#REF!),0)</f>
        <v>0</v>
      </c>
      <c r="R21" s="75">
        <f>IFERROR(_xlfn.XLOOKUP(Table4[[#This Row],[Subnummer]],Table3[Sub],#REF!),0)</f>
        <v>0</v>
      </c>
      <c r="S21" s="75">
        <f>IFERROR(_xlfn.XLOOKUP(Table4[[#This Row],[Subnummer]],Table3[Sub],#REF!),0)</f>
        <v>0</v>
      </c>
      <c r="T21" s="75">
        <f>IFERROR(_xlfn.XLOOKUP(Table4[[#This Row],[Subnummer]],Table3[Sub],#REF!),0)</f>
        <v>0</v>
      </c>
      <c r="U21" s="75">
        <f>IFERROR(_xlfn.XLOOKUP(Table4[[#This Row],[Subnummer]],Table3[Sub],#REF!),0)</f>
        <v>0</v>
      </c>
      <c r="V21" s="75">
        <f>IFERROR(_xlfn.XLOOKUP(Table4[[#This Row],[Subnummer]],Table3[Sub],#REF!),0)</f>
        <v>0</v>
      </c>
      <c r="W21" s="75">
        <f>IFERROR(_xlfn.XLOOKUP(Table4[[#This Row],[Subnummer]],Table3[Sub],#REF!),0)</f>
        <v>0</v>
      </c>
      <c r="X21" s="75">
        <f>IFERROR(_xlfn.XLOOKUP(Table4[[#This Row],[Subnummer]],Table3[Sub],#REF!),0)</f>
        <v>0</v>
      </c>
      <c r="Y21" s="75">
        <f>IFERROR(_xlfn.XLOOKUP(Table4[[#This Row],[Subnummer]],Table3[Sub],#REF!),0)</f>
        <v>0</v>
      </c>
      <c r="Z21" s="76">
        <f t="shared" si="0"/>
        <v>0</v>
      </c>
      <c r="AA21" s="76">
        <f t="shared" si="1"/>
        <v>0</v>
      </c>
      <c r="AB21" s="76">
        <f t="shared" si="2"/>
        <v>0</v>
      </c>
      <c r="AC21" s="76">
        <f t="shared" si="3"/>
        <v>0</v>
      </c>
      <c r="AD21" s="76">
        <f t="shared" si="4"/>
        <v>0</v>
      </c>
      <c r="AE21" s="76">
        <f t="shared" si="5"/>
        <v>0</v>
      </c>
      <c r="AF21" s="76">
        <f t="shared" si="6"/>
        <v>0</v>
      </c>
      <c r="AG21" s="76">
        <f t="shared" si="7"/>
        <v>0</v>
      </c>
      <c r="AH21" s="76">
        <f t="shared" si="8"/>
        <v>0</v>
      </c>
      <c r="AI21" s="76">
        <f t="shared" si="9"/>
        <v>0</v>
      </c>
      <c r="AJ21" s="70">
        <f t="shared" si="11"/>
        <v>0</v>
      </c>
      <c r="AK21" s="16" t="str" cm="1">
        <f t="array" ref="AK21">_xlfn.IFS(AJ21=0,"Nihil",AJ21&gt;0,"Suppletie",AJ21&lt;0,"Restitutie")</f>
        <v>Nihil</v>
      </c>
    </row>
    <row r="22" spans="1:37" x14ac:dyDescent="0.3">
      <c r="A22" s="16" t="str">
        <f>IFERROR(_xlfn.XLOOKUP(E22,Table3[Sub],Table3[Verzekerde]),"-")</f>
        <v>-</v>
      </c>
      <c r="C22" s="69" t="str">
        <f>IFERROR(_xlfn.XLOOKUP(Table4[[#This Row],[Subnummer]],Table3[Sub],Table3[Certificaat]),"-")</f>
        <v>-</v>
      </c>
      <c r="D22" s="16" t="str">
        <f>IFERROR(_xlfn.XLOOKUP(E22,Specificatie!C$9:C$291,Specificatie!Q$9:Q$291),"")</f>
        <v/>
      </c>
      <c r="E22" s="103">
        <v>0</v>
      </c>
      <c r="F22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22" s="70">
        <v>0</v>
      </c>
      <c r="H22" s="71">
        <f>Table4[[#This Row],[Nieuwe waarde]]-Table4[[#This Row],[Oude waarde]]</f>
        <v>0</v>
      </c>
      <c r="I22" s="72">
        <v>46266</v>
      </c>
      <c r="J22" s="72">
        <v>46388</v>
      </c>
      <c r="K22" s="16">
        <f>Table4[[#This Row],[Vervaldatum]]-Table4[[#This Row],[Mutatiedatum]]</f>
        <v>122</v>
      </c>
      <c r="L22" s="16">
        <v>366</v>
      </c>
      <c r="M22" s="16" t="s">
        <v>86</v>
      </c>
      <c r="N22" s="107" t="s">
        <v>87</v>
      </c>
      <c r="O22" s="73" cm="1">
        <f t="array" ref="O22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22" s="75">
        <f>IFERROR(_xlfn.XLOOKUP(Table4[[#This Row],[Subnummer]],Table3[Sub],#REF!),0)</f>
        <v>0</v>
      </c>
      <c r="Q22" s="75">
        <f>IFERROR(_xlfn.XLOOKUP(Table4[[#This Row],[Subnummer]],Table3[Sub],#REF!),0)</f>
        <v>0</v>
      </c>
      <c r="R22" s="75">
        <f>IFERROR(_xlfn.XLOOKUP(Table4[[#This Row],[Subnummer]],Table3[Sub],#REF!),0)</f>
        <v>0</v>
      </c>
      <c r="S22" s="75">
        <f>IFERROR(_xlfn.XLOOKUP(Table4[[#This Row],[Subnummer]],Table3[Sub],#REF!),0)</f>
        <v>0</v>
      </c>
      <c r="T22" s="75">
        <f>IFERROR(_xlfn.XLOOKUP(Table4[[#This Row],[Subnummer]],Table3[Sub],#REF!),0)</f>
        <v>0</v>
      </c>
      <c r="U22" s="75">
        <f>IFERROR(_xlfn.XLOOKUP(Table4[[#This Row],[Subnummer]],Table3[Sub],#REF!),0)</f>
        <v>0</v>
      </c>
      <c r="V22" s="75">
        <f>IFERROR(_xlfn.XLOOKUP(Table4[[#This Row],[Subnummer]],Table3[Sub],#REF!),0)</f>
        <v>0</v>
      </c>
      <c r="W22" s="75">
        <f>IFERROR(_xlfn.XLOOKUP(Table4[[#This Row],[Subnummer]],Table3[Sub],#REF!),0)</f>
        <v>0</v>
      </c>
      <c r="X22" s="75">
        <f>IFERROR(_xlfn.XLOOKUP(Table4[[#This Row],[Subnummer]],Table3[Sub],#REF!),0)</f>
        <v>0</v>
      </c>
      <c r="Y22" s="75">
        <f>IFERROR(_xlfn.XLOOKUP(Table4[[#This Row],[Subnummer]],Table3[Sub],#REF!),0)</f>
        <v>0</v>
      </c>
      <c r="Z22" s="76">
        <f t="shared" si="0"/>
        <v>0</v>
      </c>
      <c r="AA22" s="76">
        <f t="shared" si="1"/>
        <v>0</v>
      </c>
      <c r="AB22" s="76">
        <f t="shared" si="2"/>
        <v>0</v>
      </c>
      <c r="AC22" s="76">
        <f t="shared" si="3"/>
        <v>0</v>
      </c>
      <c r="AD22" s="76">
        <f t="shared" si="4"/>
        <v>0</v>
      </c>
      <c r="AE22" s="76">
        <f t="shared" si="5"/>
        <v>0</v>
      </c>
      <c r="AF22" s="76">
        <f t="shared" si="6"/>
        <v>0</v>
      </c>
      <c r="AG22" s="76">
        <f t="shared" si="7"/>
        <v>0</v>
      </c>
      <c r="AH22" s="76">
        <f t="shared" si="8"/>
        <v>0</v>
      </c>
      <c r="AI22" s="76">
        <f t="shared" si="9"/>
        <v>0</v>
      </c>
      <c r="AJ22" s="70">
        <f t="shared" si="11"/>
        <v>0</v>
      </c>
      <c r="AK22" s="16" t="str" cm="1">
        <f t="array" ref="AK22">_xlfn.IFS(AJ22=0,"Nihil",AJ22&gt;0,"Suppletie",AJ22&lt;0,"Restitutie")</f>
        <v>Nihil</v>
      </c>
    </row>
    <row r="23" spans="1:37" x14ac:dyDescent="0.3">
      <c r="A23" s="16" t="str">
        <f>IFERROR(_xlfn.XLOOKUP(E23,Table3[Sub],Table3[Verzekerde]),"-")</f>
        <v>-</v>
      </c>
      <c r="C23" s="69" t="str">
        <f>IFERROR(_xlfn.XLOOKUP(Table4[[#This Row],[Subnummer]],Table3[Sub],Table3[Certificaat]),"-")</f>
        <v>-</v>
      </c>
      <c r="D23" s="16" t="str">
        <f>IFERROR(_xlfn.XLOOKUP(E23,Specificatie!C$9:C$291,Specificatie!Q$9:Q$291),"")</f>
        <v/>
      </c>
      <c r="E23" s="103">
        <v>0</v>
      </c>
      <c r="F23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23" s="70">
        <v>0</v>
      </c>
      <c r="H23" s="71">
        <f>Table4[[#This Row],[Nieuwe waarde]]-Table4[[#This Row],[Oude waarde]]</f>
        <v>0</v>
      </c>
      <c r="I23" s="72">
        <v>46266</v>
      </c>
      <c r="J23" s="72">
        <v>46388</v>
      </c>
      <c r="K23" s="16">
        <f>Table4[[#This Row],[Vervaldatum]]-Table4[[#This Row],[Mutatiedatum]]</f>
        <v>122</v>
      </c>
      <c r="L23" s="16">
        <v>366</v>
      </c>
      <c r="M23" s="16" t="s">
        <v>86</v>
      </c>
      <c r="N23" s="107" t="s">
        <v>87</v>
      </c>
      <c r="O23" s="73" cm="1">
        <f t="array" ref="O23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23" s="75">
        <f>IFERROR(_xlfn.XLOOKUP(Table4[[#This Row],[Subnummer]],Table3[Sub],#REF!),0)</f>
        <v>0</v>
      </c>
      <c r="Q23" s="75">
        <f>IFERROR(_xlfn.XLOOKUP(Table4[[#This Row],[Subnummer]],Table3[Sub],#REF!),0)</f>
        <v>0</v>
      </c>
      <c r="R23" s="75">
        <f>IFERROR(_xlfn.XLOOKUP(Table4[[#This Row],[Subnummer]],Table3[Sub],#REF!),0)</f>
        <v>0</v>
      </c>
      <c r="S23" s="75">
        <f>IFERROR(_xlfn.XLOOKUP(Table4[[#This Row],[Subnummer]],Table3[Sub],#REF!),0)</f>
        <v>0</v>
      </c>
      <c r="T23" s="75">
        <f>IFERROR(_xlfn.XLOOKUP(Table4[[#This Row],[Subnummer]],Table3[Sub],#REF!),0)</f>
        <v>0</v>
      </c>
      <c r="U23" s="75">
        <f>IFERROR(_xlfn.XLOOKUP(Table4[[#This Row],[Subnummer]],Table3[Sub],#REF!),0)</f>
        <v>0</v>
      </c>
      <c r="V23" s="75">
        <f>IFERROR(_xlfn.XLOOKUP(Table4[[#This Row],[Subnummer]],Table3[Sub],#REF!),0)</f>
        <v>0</v>
      </c>
      <c r="W23" s="75">
        <f>IFERROR(_xlfn.XLOOKUP(Table4[[#This Row],[Subnummer]],Table3[Sub],#REF!),0)</f>
        <v>0</v>
      </c>
      <c r="X23" s="75">
        <f>IFERROR(_xlfn.XLOOKUP(Table4[[#This Row],[Subnummer]],Table3[Sub],#REF!),0)</f>
        <v>0</v>
      </c>
      <c r="Y23" s="75">
        <f>IFERROR(_xlfn.XLOOKUP(Table4[[#This Row],[Subnummer]],Table3[Sub],#REF!),0)</f>
        <v>0</v>
      </c>
      <c r="Z23" s="76">
        <f t="shared" si="0"/>
        <v>0</v>
      </c>
      <c r="AA23" s="76">
        <f t="shared" si="1"/>
        <v>0</v>
      </c>
      <c r="AB23" s="76">
        <f t="shared" si="2"/>
        <v>0</v>
      </c>
      <c r="AC23" s="76">
        <f t="shared" si="3"/>
        <v>0</v>
      </c>
      <c r="AD23" s="76">
        <f t="shared" si="4"/>
        <v>0</v>
      </c>
      <c r="AE23" s="76">
        <f t="shared" si="5"/>
        <v>0</v>
      </c>
      <c r="AF23" s="76">
        <f t="shared" si="6"/>
        <v>0</v>
      </c>
      <c r="AG23" s="76">
        <f t="shared" si="7"/>
        <v>0</v>
      </c>
      <c r="AH23" s="76">
        <f t="shared" si="8"/>
        <v>0</v>
      </c>
      <c r="AI23" s="76">
        <f t="shared" si="9"/>
        <v>0</v>
      </c>
      <c r="AJ23" s="70">
        <f t="shared" si="11"/>
        <v>0</v>
      </c>
      <c r="AK23" s="16" t="str" cm="1">
        <f t="array" ref="AK23">_xlfn.IFS(AJ23=0,"Nihil",AJ23&gt;0,"Suppletie",AJ23&lt;0,"Restitutie")</f>
        <v>Nihil</v>
      </c>
    </row>
    <row r="24" spans="1:37" x14ac:dyDescent="0.3">
      <c r="A24" s="16" t="str">
        <f>IFERROR(_xlfn.XLOOKUP(E24,Table3[Sub],Table3[Verzekerde]),"-")</f>
        <v>-</v>
      </c>
      <c r="C24" s="69" t="str">
        <f>IFERROR(_xlfn.XLOOKUP(Table4[[#This Row],[Subnummer]],Table3[Sub],Table3[Certificaat]),"-")</f>
        <v>-</v>
      </c>
      <c r="D24" s="16" t="str">
        <f>IFERROR(_xlfn.XLOOKUP(E24,Specificatie!C$9:C$291,Specificatie!Q$9:Q$291),"")</f>
        <v/>
      </c>
      <c r="E24" s="103">
        <v>0</v>
      </c>
      <c r="F24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24" s="70">
        <v>0</v>
      </c>
      <c r="H24" s="71">
        <f>Table4[[#This Row],[Nieuwe waarde]]-Table4[[#This Row],[Oude waarde]]</f>
        <v>0</v>
      </c>
      <c r="I24" s="72">
        <v>46266</v>
      </c>
      <c r="J24" s="72">
        <v>46388</v>
      </c>
      <c r="K24" s="16">
        <f>Table4[[#This Row],[Vervaldatum]]-Table4[[#This Row],[Mutatiedatum]]</f>
        <v>122</v>
      </c>
      <c r="L24" s="16">
        <v>366</v>
      </c>
      <c r="M24" s="16" t="s">
        <v>86</v>
      </c>
      <c r="N24" s="107" t="s">
        <v>87</v>
      </c>
      <c r="O24" s="73" cm="1">
        <f t="array" ref="O24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24" s="75">
        <f>IFERROR(_xlfn.XLOOKUP(Table4[[#This Row],[Subnummer]],Table3[Sub],#REF!),0)</f>
        <v>0</v>
      </c>
      <c r="Q24" s="75">
        <f>IFERROR(_xlfn.XLOOKUP(Table4[[#This Row],[Subnummer]],Table3[Sub],#REF!),0)</f>
        <v>0</v>
      </c>
      <c r="R24" s="75">
        <f>IFERROR(_xlfn.XLOOKUP(Table4[[#This Row],[Subnummer]],Table3[Sub],#REF!),0)</f>
        <v>0</v>
      </c>
      <c r="S24" s="75">
        <f>IFERROR(_xlfn.XLOOKUP(Table4[[#This Row],[Subnummer]],Table3[Sub],#REF!),0)</f>
        <v>0</v>
      </c>
      <c r="T24" s="75">
        <f>IFERROR(_xlfn.XLOOKUP(Table4[[#This Row],[Subnummer]],Table3[Sub],#REF!),0)</f>
        <v>0</v>
      </c>
      <c r="U24" s="75">
        <f>IFERROR(_xlfn.XLOOKUP(Table4[[#This Row],[Subnummer]],Table3[Sub],#REF!),0)</f>
        <v>0</v>
      </c>
      <c r="V24" s="75">
        <f>IFERROR(_xlfn.XLOOKUP(Table4[[#This Row],[Subnummer]],Table3[Sub],#REF!),0)</f>
        <v>0</v>
      </c>
      <c r="W24" s="75">
        <f>IFERROR(_xlfn.XLOOKUP(Table4[[#This Row],[Subnummer]],Table3[Sub],#REF!),0)</f>
        <v>0</v>
      </c>
      <c r="X24" s="75">
        <f>IFERROR(_xlfn.XLOOKUP(Table4[[#This Row],[Subnummer]],Table3[Sub],#REF!),0)</f>
        <v>0</v>
      </c>
      <c r="Y24" s="75">
        <f>IFERROR(_xlfn.XLOOKUP(Table4[[#This Row],[Subnummer]],Table3[Sub],#REF!),0)</f>
        <v>0</v>
      </c>
      <c r="Z24" s="76">
        <f t="shared" si="0"/>
        <v>0</v>
      </c>
      <c r="AA24" s="76">
        <f t="shared" si="1"/>
        <v>0</v>
      </c>
      <c r="AB24" s="76">
        <f t="shared" si="2"/>
        <v>0</v>
      </c>
      <c r="AC24" s="76">
        <f t="shared" si="3"/>
        <v>0</v>
      </c>
      <c r="AD24" s="76">
        <f t="shared" si="4"/>
        <v>0</v>
      </c>
      <c r="AE24" s="76">
        <f t="shared" si="5"/>
        <v>0</v>
      </c>
      <c r="AF24" s="76">
        <f t="shared" si="6"/>
        <v>0</v>
      </c>
      <c r="AG24" s="76">
        <f t="shared" si="7"/>
        <v>0</v>
      </c>
      <c r="AH24" s="76">
        <f t="shared" si="8"/>
        <v>0</v>
      </c>
      <c r="AI24" s="76">
        <f t="shared" si="9"/>
        <v>0</v>
      </c>
      <c r="AJ24" s="70">
        <f t="shared" si="11"/>
        <v>0</v>
      </c>
      <c r="AK24" s="16" t="str" cm="1">
        <f t="array" ref="AK24">_xlfn.IFS(AJ24=0,"Nihil",AJ24&gt;0,"Suppletie",AJ24&lt;0,"Restitutie")</f>
        <v>Nihil</v>
      </c>
    </row>
    <row r="25" spans="1:37" x14ac:dyDescent="0.3">
      <c r="A25" s="16" t="str">
        <f>IFERROR(_xlfn.XLOOKUP(E25,Table3[Sub],Table3[Verzekerde]),"-")</f>
        <v>-</v>
      </c>
      <c r="C25" s="69" t="str">
        <f>IFERROR(_xlfn.XLOOKUP(Table4[[#This Row],[Subnummer]],Table3[Sub],Table3[Certificaat]),"-")</f>
        <v>-</v>
      </c>
      <c r="D25" s="16" t="str">
        <f>IFERROR(_xlfn.XLOOKUP(E25,Specificatie!C$9:C$291,Specificatie!Q$9:Q$291),"")</f>
        <v/>
      </c>
      <c r="E25" s="103">
        <v>0</v>
      </c>
      <c r="F25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25" s="70">
        <v>0</v>
      </c>
      <c r="H25" s="71">
        <f>Table4[[#This Row],[Nieuwe waarde]]-Table4[[#This Row],[Oude waarde]]</f>
        <v>0</v>
      </c>
      <c r="I25" s="72">
        <v>46266</v>
      </c>
      <c r="J25" s="72">
        <v>46388</v>
      </c>
      <c r="K25" s="16">
        <f>Table4[[#This Row],[Vervaldatum]]-Table4[[#This Row],[Mutatiedatum]]</f>
        <v>122</v>
      </c>
      <c r="L25" s="16">
        <v>366</v>
      </c>
      <c r="M25" s="16" t="s">
        <v>86</v>
      </c>
      <c r="N25" s="107" t="s">
        <v>87</v>
      </c>
      <c r="O25" s="73" cm="1">
        <f t="array" ref="O25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25" s="75">
        <f>IFERROR(_xlfn.XLOOKUP(Table4[[#This Row],[Subnummer]],Table3[Sub],#REF!),0)</f>
        <v>0</v>
      </c>
      <c r="Q25" s="75">
        <f>IFERROR(_xlfn.XLOOKUP(Table4[[#This Row],[Subnummer]],Table3[Sub],#REF!),0)</f>
        <v>0</v>
      </c>
      <c r="R25" s="75">
        <f>IFERROR(_xlfn.XLOOKUP(Table4[[#This Row],[Subnummer]],Table3[Sub],#REF!),0)</f>
        <v>0</v>
      </c>
      <c r="S25" s="75">
        <f>IFERROR(_xlfn.XLOOKUP(Table4[[#This Row],[Subnummer]],Table3[Sub],#REF!),0)</f>
        <v>0</v>
      </c>
      <c r="T25" s="75">
        <f>IFERROR(_xlfn.XLOOKUP(Table4[[#This Row],[Subnummer]],Table3[Sub],#REF!),0)</f>
        <v>0</v>
      </c>
      <c r="U25" s="75">
        <f>IFERROR(_xlfn.XLOOKUP(Table4[[#This Row],[Subnummer]],Table3[Sub],#REF!),0)</f>
        <v>0</v>
      </c>
      <c r="V25" s="75">
        <f>IFERROR(_xlfn.XLOOKUP(Table4[[#This Row],[Subnummer]],Table3[Sub],#REF!),0)</f>
        <v>0</v>
      </c>
      <c r="W25" s="75">
        <f>IFERROR(_xlfn.XLOOKUP(Table4[[#This Row],[Subnummer]],Table3[Sub],#REF!),0)</f>
        <v>0</v>
      </c>
      <c r="X25" s="75">
        <f>IFERROR(_xlfn.XLOOKUP(Table4[[#This Row],[Subnummer]],Table3[Sub],#REF!),0)</f>
        <v>0</v>
      </c>
      <c r="Y25" s="75">
        <f>IFERROR(_xlfn.XLOOKUP(Table4[[#This Row],[Subnummer]],Table3[Sub],#REF!),0)</f>
        <v>0</v>
      </c>
      <c r="Z25" s="76">
        <f t="shared" si="0"/>
        <v>0</v>
      </c>
      <c r="AA25" s="76">
        <f t="shared" si="1"/>
        <v>0</v>
      </c>
      <c r="AB25" s="76">
        <f t="shared" si="2"/>
        <v>0</v>
      </c>
      <c r="AC25" s="76">
        <f t="shared" si="3"/>
        <v>0</v>
      </c>
      <c r="AD25" s="76">
        <f t="shared" si="4"/>
        <v>0</v>
      </c>
      <c r="AE25" s="76">
        <f t="shared" si="5"/>
        <v>0</v>
      </c>
      <c r="AF25" s="76">
        <f t="shared" si="6"/>
        <v>0</v>
      </c>
      <c r="AG25" s="76">
        <f t="shared" si="7"/>
        <v>0</v>
      </c>
      <c r="AH25" s="76">
        <f t="shared" si="8"/>
        <v>0</v>
      </c>
      <c r="AI25" s="76">
        <f t="shared" si="9"/>
        <v>0</v>
      </c>
      <c r="AJ25" s="70">
        <f t="shared" si="11"/>
        <v>0</v>
      </c>
      <c r="AK25" s="16" t="str" cm="1">
        <f t="array" ref="AK25">_xlfn.IFS(AJ25=0,"Nihil",AJ25&gt;0,"Suppletie",AJ25&lt;0,"Restitutie")</f>
        <v>Nihil</v>
      </c>
    </row>
    <row r="26" spans="1:37" x14ac:dyDescent="0.3">
      <c r="A26" s="16" t="str">
        <f>IFERROR(_xlfn.XLOOKUP(E26,Table3[Sub],Table3[Verzekerde]),"-")</f>
        <v>-</v>
      </c>
      <c r="C26" s="69" t="str">
        <f>IFERROR(_xlfn.XLOOKUP(Table4[[#This Row],[Subnummer]],Table3[Sub],Table3[Certificaat]),"-")</f>
        <v>-</v>
      </c>
      <c r="D26" s="16" t="str">
        <f>IFERROR(_xlfn.XLOOKUP(E26,Specificatie!C$9:C$291,Specificatie!Q$9:Q$291),"")</f>
        <v/>
      </c>
      <c r="E26" s="103">
        <v>0</v>
      </c>
      <c r="F26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26" s="70">
        <v>0</v>
      </c>
      <c r="H26" s="71">
        <f>Table4[[#This Row],[Nieuwe waarde]]-Table4[[#This Row],[Oude waarde]]</f>
        <v>0</v>
      </c>
      <c r="I26" s="72">
        <v>46266</v>
      </c>
      <c r="J26" s="72">
        <v>46388</v>
      </c>
      <c r="K26" s="16">
        <f>Table4[[#This Row],[Vervaldatum]]-Table4[[#This Row],[Mutatiedatum]]</f>
        <v>122</v>
      </c>
      <c r="L26" s="16">
        <v>366</v>
      </c>
      <c r="M26" s="16" t="s">
        <v>86</v>
      </c>
      <c r="N26" s="107" t="s">
        <v>87</v>
      </c>
      <c r="O26" s="73" cm="1">
        <f t="array" ref="O26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26" s="75">
        <f>IFERROR(_xlfn.XLOOKUP(Table4[[#This Row],[Subnummer]],Table3[Sub],#REF!),0)</f>
        <v>0</v>
      </c>
      <c r="Q26" s="75">
        <f>IFERROR(_xlfn.XLOOKUP(Table4[[#This Row],[Subnummer]],Table3[Sub],#REF!),0)</f>
        <v>0</v>
      </c>
      <c r="R26" s="75">
        <f>IFERROR(_xlfn.XLOOKUP(Table4[[#This Row],[Subnummer]],Table3[Sub],#REF!),0)</f>
        <v>0</v>
      </c>
      <c r="S26" s="75">
        <f>IFERROR(_xlfn.XLOOKUP(Table4[[#This Row],[Subnummer]],Table3[Sub],#REF!),0)</f>
        <v>0</v>
      </c>
      <c r="T26" s="75">
        <f>IFERROR(_xlfn.XLOOKUP(Table4[[#This Row],[Subnummer]],Table3[Sub],#REF!),0)</f>
        <v>0</v>
      </c>
      <c r="U26" s="75">
        <f>IFERROR(_xlfn.XLOOKUP(Table4[[#This Row],[Subnummer]],Table3[Sub],#REF!),0)</f>
        <v>0</v>
      </c>
      <c r="V26" s="75">
        <f>IFERROR(_xlfn.XLOOKUP(Table4[[#This Row],[Subnummer]],Table3[Sub],#REF!),0)</f>
        <v>0</v>
      </c>
      <c r="W26" s="75">
        <f>IFERROR(_xlfn.XLOOKUP(Table4[[#This Row],[Subnummer]],Table3[Sub],#REF!),0)</f>
        <v>0</v>
      </c>
      <c r="X26" s="75">
        <f>IFERROR(_xlfn.XLOOKUP(Table4[[#This Row],[Subnummer]],Table3[Sub],#REF!),0)</f>
        <v>0</v>
      </c>
      <c r="Y26" s="75">
        <f>IFERROR(_xlfn.XLOOKUP(Table4[[#This Row],[Subnummer]],Table3[Sub],#REF!),0)</f>
        <v>0</v>
      </c>
      <c r="Z26" s="76">
        <f t="shared" si="0"/>
        <v>0</v>
      </c>
      <c r="AA26" s="76">
        <f t="shared" si="1"/>
        <v>0</v>
      </c>
      <c r="AB26" s="76">
        <f t="shared" si="2"/>
        <v>0</v>
      </c>
      <c r="AC26" s="76">
        <f t="shared" si="3"/>
        <v>0</v>
      </c>
      <c r="AD26" s="76">
        <f t="shared" si="4"/>
        <v>0</v>
      </c>
      <c r="AE26" s="76">
        <f t="shared" si="5"/>
        <v>0</v>
      </c>
      <c r="AF26" s="76">
        <f t="shared" si="6"/>
        <v>0</v>
      </c>
      <c r="AG26" s="76">
        <f t="shared" si="7"/>
        <v>0</v>
      </c>
      <c r="AH26" s="76">
        <f t="shared" si="8"/>
        <v>0</v>
      </c>
      <c r="AI26" s="76">
        <f t="shared" si="9"/>
        <v>0</v>
      </c>
      <c r="AJ26" s="70">
        <f t="shared" si="11"/>
        <v>0</v>
      </c>
      <c r="AK26" s="16" t="str" cm="1">
        <f t="array" ref="AK26">_xlfn.IFS(AJ26=0,"Nihil",AJ26&gt;0,"Suppletie",AJ26&lt;0,"Restitutie")</f>
        <v>Nihil</v>
      </c>
    </row>
    <row r="27" spans="1:37" x14ac:dyDescent="0.3">
      <c r="A27" s="16" t="str">
        <f>IFERROR(_xlfn.XLOOKUP(E27,Table3[Sub],Table3[Verzekerde]),"-")</f>
        <v>-</v>
      </c>
      <c r="C27" s="69" t="str">
        <f>IFERROR(_xlfn.XLOOKUP(Table4[[#This Row],[Subnummer]],Table3[Sub],Table3[Certificaat]),"-")</f>
        <v>-</v>
      </c>
      <c r="D27" s="16" t="str">
        <f>IFERROR(_xlfn.XLOOKUP(E27,Specificatie!C$9:C$291,Specificatie!Q$9:Q$291),"")</f>
        <v/>
      </c>
      <c r="E27" s="103">
        <v>0</v>
      </c>
      <c r="F27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27" s="70">
        <v>0</v>
      </c>
      <c r="H27" s="71">
        <f>Table4[[#This Row],[Nieuwe waarde]]-Table4[[#This Row],[Oude waarde]]</f>
        <v>0</v>
      </c>
      <c r="I27" s="72">
        <v>46266</v>
      </c>
      <c r="J27" s="72">
        <v>46388</v>
      </c>
      <c r="K27" s="16">
        <f>Table4[[#This Row],[Vervaldatum]]-Table4[[#This Row],[Mutatiedatum]]</f>
        <v>122</v>
      </c>
      <c r="L27" s="16">
        <v>366</v>
      </c>
      <c r="M27" s="16" t="s">
        <v>86</v>
      </c>
      <c r="N27" s="107" t="s">
        <v>87</v>
      </c>
      <c r="O27" s="73" cm="1">
        <f t="array" ref="O27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27" s="75">
        <f>IFERROR(_xlfn.XLOOKUP(Table4[[#This Row],[Subnummer]],Table3[Sub],#REF!),0)</f>
        <v>0</v>
      </c>
      <c r="Q27" s="75">
        <f>IFERROR(_xlfn.XLOOKUP(Table4[[#This Row],[Subnummer]],Table3[Sub],#REF!),0)</f>
        <v>0</v>
      </c>
      <c r="R27" s="75">
        <f>IFERROR(_xlfn.XLOOKUP(Table4[[#This Row],[Subnummer]],Table3[Sub],#REF!),0)</f>
        <v>0</v>
      </c>
      <c r="S27" s="75">
        <f>IFERROR(_xlfn.XLOOKUP(Table4[[#This Row],[Subnummer]],Table3[Sub],#REF!),0)</f>
        <v>0</v>
      </c>
      <c r="T27" s="75">
        <f>IFERROR(_xlfn.XLOOKUP(Table4[[#This Row],[Subnummer]],Table3[Sub],#REF!),0)</f>
        <v>0</v>
      </c>
      <c r="U27" s="75">
        <f>IFERROR(_xlfn.XLOOKUP(Table4[[#This Row],[Subnummer]],Table3[Sub],#REF!),0)</f>
        <v>0</v>
      </c>
      <c r="V27" s="75">
        <f>IFERROR(_xlfn.XLOOKUP(Table4[[#This Row],[Subnummer]],Table3[Sub],#REF!),0)</f>
        <v>0</v>
      </c>
      <c r="W27" s="75">
        <f>IFERROR(_xlfn.XLOOKUP(Table4[[#This Row],[Subnummer]],Table3[Sub],#REF!),0)</f>
        <v>0</v>
      </c>
      <c r="X27" s="75">
        <f>IFERROR(_xlfn.XLOOKUP(Table4[[#This Row],[Subnummer]],Table3[Sub],#REF!),0)</f>
        <v>0</v>
      </c>
      <c r="Y27" s="75">
        <f>IFERROR(_xlfn.XLOOKUP(Table4[[#This Row],[Subnummer]],Table3[Sub],#REF!),0)</f>
        <v>0</v>
      </c>
      <c r="Z27" s="76">
        <f t="shared" si="0"/>
        <v>0</v>
      </c>
      <c r="AA27" s="76">
        <f t="shared" si="1"/>
        <v>0</v>
      </c>
      <c r="AB27" s="76">
        <f t="shared" si="2"/>
        <v>0</v>
      </c>
      <c r="AC27" s="76">
        <f t="shared" si="3"/>
        <v>0</v>
      </c>
      <c r="AD27" s="76">
        <f t="shared" si="4"/>
        <v>0</v>
      </c>
      <c r="AE27" s="76">
        <f t="shared" si="5"/>
        <v>0</v>
      </c>
      <c r="AF27" s="76">
        <f t="shared" si="6"/>
        <v>0</v>
      </c>
      <c r="AG27" s="76">
        <f t="shared" si="7"/>
        <v>0</v>
      </c>
      <c r="AH27" s="76">
        <f t="shared" si="8"/>
        <v>0</v>
      </c>
      <c r="AI27" s="76">
        <f t="shared" si="9"/>
        <v>0</v>
      </c>
      <c r="AJ27" s="70">
        <f t="shared" si="11"/>
        <v>0</v>
      </c>
      <c r="AK27" s="16" t="str" cm="1">
        <f t="array" ref="AK27">_xlfn.IFS(AJ27=0,"Nihil",AJ27&gt;0,"Suppletie",AJ27&lt;0,"Restitutie")</f>
        <v>Nihil</v>
      </c>
    </row>
    <row r="28" spans="1:37" x14ac:dyDescent="0.3">
      <c r="A28" s="16" t="str">
        <f>IFERROR(_xlfn.XLOOKUP(E28,Table3[Sub],Table3[Verzekerde]),"-")</f>
        <v>-</v>
      </c>
      <c r="C28" s="69" t="str">
        <f>IFERROR(_xlfn.XLOOKUP(Table4[[#This Row],[Subnummer]],Table3[Sub],Table3[Certificaat]),"-")</f>
        <v>-</v>
      </c>
      <c r="D28" s="16" t="str">
        <f>IFERROR(_xlfn.XLOOKUP(E28,Specificatie!C$9:C$291,Specificatie!Q$9:Q$291),"")</f>
        <v/>
      </c>
      <c r="E28" s="103">
        <v>0</v>
      </c>
      <c r="F28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28" s="70">
        <v>0</v>
      </c>
      <c r="H28" s="71">
        <f>Table4[[#This Row],[Nieuwe waarde]]-Table4[[#This Row],[Oude waarde]]</f>
        <v>0</v>
      </c>
      <c r="I28" s="72">
        <v>46266</v>
      </c>
      <c r="J28" s="72">
        <v>46388</v>
      </c>
      <c r="K28" s="16">
        <f>Table4[[#This Row],[Vervaldatum]]-Table4[[#This Row],[Mutatiedatum]]</f>
        <v>122</v>
      </c>
      <c r="L28" s="16">
        <v>366</v>
      </c>
      <c r="M28" s="16" t="s">
        <v>86</v>
      </c>
      <c r="N28" s="107" t="s">
        <v>87</v>
      </c>
      <c r="O28" s="73" cm="1">
        <f t="array" ref="O28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28" s="75">
        <f>IFERROR(_xlfn.XLOOKUP(Table4[[#This Row],[Subnummer]],Table3[Sub],#REF!),0)</f>
        <v>0</v>
      </c>
      <c r="Q28" s="75">
        <f>IFERROR(_xlfn.XLOOKUP(Table4[[#This Row],[Subnummer]],Table3[Sub],#REF!),0)</f>
        <v>0</v>
      </c>
      <c r="R28" s="75">
        <f>IFERROR(_xlfn.XLOOKUP(Table4[[#This Row],[Subnummer]],Table3[Sub],#REF!),0)</f>
        <v>0</v>
      </c>
      <c r="S28" s="75">
        <f>IFERROR(_xlfn.XLOOKUP(Table4[[#This Row],[Subnummer]],Table3[Sub],#REF!),0)</f>
        <v>0</v>
      </c>
      <c r="T28" s="75">
        <f>IFERROR(_xlfn.XLOOKUP(Table4[[#This Row],[Subnummer]],Table3[Sub],#REF!),0)</f>
        <v>0</v>
      </c>
      <c r="U28" s="75">
        <f>IFERROR(_xlfn.XLOOKUP(Table4[[#This Row],[Subnummer]],Table3[Sub],#REF!),0)</f>
        <v>0</v>
      </c>
      <c r="V28" s="75">
        <f>IFERROR(_xlfn.XLOOKUP(Table4[[#This Row],[Subnummer]],Table3[Sub],#REF!),0)</f>
        <v>0</v>
      </c>
      <c r="W28" s="75">
        <f>IFERROR(_xlfn.XLOOKUP(Table4[[#This Row],[Subnummer]],Table3[Sub],#REF!),0)</f>
        <v>0</v>
      </c>
      <c r="X28" s="75">
        <f>IFERROR(_xlfn.XLOOKUP(Table4[[#This Row],[Subnummer]],Table3[Sub],#REF!),0)</f>
        <v>0</v>
      </c>
      <c r="Y28" s="75">
        <f>IFERROR(_xlfn.XLOOKUP(Table4[[#This Row],[Subnummer]],Table3[Sub],#REF!),0)</f>
        <v>0</v>
      </c>
      <c r="Z28" s="76">
        <f t="shared" si="0"/>
        <v>0</v>
      </c>
      <c r="AA28" s="76">
        <f t="shared" si="1"/>
        <v>0</v>
      </c>
      <c r="AB28" s="76">
        <f t="shared" si="2"/>
        <v>0</v>
      </c>
      <c r="AC28" s="76">
        <f t="shared" si="3"/>
        <v>0</v>
      </c>
      <c r="AD28" s="76">
        <f t="shared" si="4"/>
        <v>0</v>
      </c>
      <c r="AE28" s="76">
        <f t="shared" si="5"/>
        <v>0</v>
      </c>
      <c r="AF28" s="76">
        <f t="shared" si="6"/>
        <v>0</v>
      </c>
      <c r="AG28" s="76">
        <f t="shared" si="7"/>
        <v>0</v>
      </c>
      <c r="AH28" s="76">
        <f t="shared" si="8"/>
        <v>0</v>
      </c>
      <c r="AI28" s="76">
        <f t="shared" si="9"/>
        <v>0</v>
      </c>
      <c r="AJ28" s="70">
        <f t="shared" si="11"/>
        <v>0</v>
      </c>
      <c r="AK28" s="16" t="str" cm="1">
        <f t="array" ref="AK28">_xlfn.IFS(AJ28=0,"Nihil",AJ28&gt;0,"Suppletie",AJ28&lt;0,"Restitutie")</f>
        <v>Nihil</v>
      </c>
    </row>
    <row r="29" spans="1:37" x14ac:dyDescent="0.3">
      <c r="A29" s="16" t="str">
        <f>IFERROR(_xlfn.XLOOKUP(E29,Table3[Sub],Table3[Verzekerde]),"-")</f>
        <v>-</v>
      </c>
      <c r="C29" s="69" t="str">
        <f>IFERROR(_xlfn.XLOOKUP(Table4[[#This Row],[Subnummer]],Table3[Sub],Table3[Certificaat]),"-")</f>
        <v>-</v>
      </c>
      <c r="D29" s="16" t="str">
        <f>IFERROR(_xlfn.XLOOKUP(E29,Specificatie!C$9:C$291,Specificatie!Q$9:Q$291),"")</f>
        <v/>
      </c>
      <c r="E29" s="103">
        <v>0</v>
      </c>
      <c r="F29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29" s="70">
        <v>0</v>
      </c>
      <c r="H29" s="71">
        <f>Table4[[#This Row],[Nieuwe waarde]]-Table4[[#This Row],[Oude waarde]]</f>
        <v>0</v>
      </c>
      <c r="I29" s="72">
        <v>46266</v>
      </c>
      <c r="J29" s="72">
        <v>46388</v>
      </c>
      <c r="K29" s="16">
        <f>Table4[[#This Row],[Vervaldatum]]-Table4[[#This Row],[Mutatiedatum]]</f>
        <v>122</v>
      </c>
      <c r="L29" s="16">
        <v>366</v>
      </c>
      <c r="M29" s="16" t="s">
        <v>86</v>
      </c>
      <c r="N29" s="107" t="s">
        <v>87</v>
      </c>
      <c r="O29" s="73" cm="1">
        <f t="array" ref="O29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29" s="75">
        <f>IFERROR(_xlfn.XLOOKUP(Table4[[#This Row],[Subnummer]],Table3[Sub],#REF!),0)</f>
        <v>0</v>
      </c>
      <c r="Q29" s="75">
        <f>IFERROR(_xlfn.XLOOKUP(Table4[[#This Row],[Subnummer]],Table3[Sub],#REF!),0)</f>
        <v>0</v>
      </c>
      <c r="R29" s="75">
        <f>IFERROR(_xlfn.XLOOKUP(Table4[[#This Row],[Subnummer]],Table3[Sub],#REF!),0)</f>
        <v>0</v>
      </c>
      <c r="S29" s="75">
        <f>IFERROR(_xlfn.XLOOKUP(Table4[[#This Row],[Subnummer]],Table3[Sub],#REF!),0)</f>
        <v>0</v>
      </c>
      <c r="T29" s="75">
        <f>IFERROR(_xlfn.XLOOKUP(Table4[[#This Row],[Subnummer]],Table3[Sub],#REF!),0)</f>
        <v>0</v>
      </c>
      <c r="U29" s="75">
        <f>IFERROR(_xlfn.XLOOKUP(Table4[[#This Row],[Subnummer]],Table3[Sub],#REF!),0)</f>
        <v>0</v>
      </c>
      <c r="V29" s="75">
        <f>IFERROR(_xlfn.XLOOKUP(Table4[[#This Row],[Subnummer]],Table3[Sub],#REF!),0)</f>
        <v>0</v>
      </c>
      <c r="W29" s="75">
        <f>IFERROR(_xlfn.XLOOKUP(Table4[[#This Row],[Subnummer]],Table3[Sub],#REF!),0)</f>
        <v>0</v>
      </c>
      <c r="X29" s="75">
        <f>IFERROR(_xlfn.XLOOKUP(Table4[[#This Row],[Subnummer]],Table3[Sub],#REF!),0)</f>
        <v>0</v>
      </c>
      <c r="Y29" s="75">
        <f>IFERROR(_xlfn.XLOOKUP(Table4[[#This Row],[Subnummer]],Table3[Sub],#REF!),0)</f>
        <v>0</v>
      </c>
      <c r="Z29" s="76">
        <f t="shared" si="0"/>
        <v>0</v>
      </c>
      <c r="AA29" s="76">
        <f t="shared" si="1"/>
        <v>0</v>
      </c>
      <c r="AB29" s="76">
        <f t="shared" si="2"/>
        <v>0</v>
      </c>
      <c r="AC29" s="76">
        <f t="shared" si="3"/>
        <v>0</v>
      </c>
      <c r="AD29" s="76">
        <f t="shared" si="4"/>
        <v>0</v>
      </c>
      <c r="AE29" s="76">
        <f t="shared" si="5"/>
        <v>0</v>
      </c>
      <c r="AF29" s="76">
        <f t="shared" si="6"/>
        <v>0</v>
      </c>
      <c r="AG29" s="76">
        <f t="shared" si="7"/>
        <v>0</v>
      </c>
      <c r="AH29" s="76">
        <f t="shared" si="8"/>
        <v>0</v>
      </c>
      <c r="AI29" s="76">
        <f t="shared" si="9"/>
        <v>0</v>
      </c>
      <c r="AJ29" s="70">
        <f t="shared" si="11"/>
        <v>0</v>
      </c>
      <c r="AK29" s="16" t="str" cm="1">
        <f t="array" ref="AK29">_xlfn.IFS(AJ29=0,"Nihil",AJ29&gt;0,"Suppletie",AJ29&lt;0,"Restitutie")</f>
        <v>Nihil</v>
      </c>
    </row>
    <row r="30" spans="1:37" x14ac:dyDescent="0.3">
      <c r="A30" s="16" t="str">
        <f>IFERROR(_xlfn.XLOOKUP(E30,Table3[Sub],Table3[Verzekerde]),"-")</f>
        <v>-</v>
      </c>
      <c r="C30" s="69" t="str">
        <f>IFERROR(_xlfn.XLOOKUP(Table4[[#This Row],[Subnummer]],Table3[Sub],Table3[Certificaat]),"-")</f>
        <v>-</v>
      </c>
      <c r="D30" s="16" t="str">
        <f>IFERROR(_xlfn.XLOOKUP(E30,Specificatie!C$9:C$291,Specificatie!Q$9:Q$291),"")</f>
        <v/>
      </c>
      <c r="E30" s="103">
        <v>0</v>
      </c>
      <c r="F30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30" s="70">
        <v>0</v>
      </c>
      <c r="H30" s="71">
        <f>Table4[[#This Row],[Nieuwe waarde]]-Table4[[#This Row],[Oude waarde]]</f>
        <v>0</v>
      </c>
      <c r="I30" s="72">
        <v>46266</v>
      </c>
      <c r="J30" s="72">
        <v>46388</v>
      </c>
      <c r="K30" s="16">
        <f>Table4[[#This Row],[Vervaldatum]]-Table4[[#This Row],[Mutatiedatum]]</f>
        <v>122</v>
      </c>
      <c r="L30" s="16">
        <v>366</v>
      </c>
      <c r="M30" s="16" t="s">
        <v>86</v>
      </c>
      <c r="N30" s="107" t="s">
        <v>87</v>
      </c>
      <c r="O30" s="73" cm="1">
        <f t="array" ref="O30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30" s="75">
        <f>IFERROR(_xlfn.XLOOKUP(Table4[[#This Row],[Subnummer]],Table3[Sub],#REF!),0)</f>
        <v>0</v>
      </c>
      <c r="Q30" s="75">
        <f>IFERROR(_xlfn.XLOOKUP(Table4[[#This Row],[Subnummer]],Table3[Sub],#REF!),0)</f>
        <v>0</v>
      </c>
      <c r="R30" s="75">
        <f>IFERROR(_xlfn.XLOOKUP(Table4[[#This Row],[Subnummer]],Table3[Sub],#REF!),0)</f>
        <v>0</v>
      </c>
      <c r="S30" s="75">
        <f>IFERROR(_xlfn.XLOOKUP(Table4[[#This Row],[Subnummer]],Table3[Sub],#REF!),0)</f>
        <v>0</v>
      </c>
      <c r="T30" s="75">
        <f>IFERROR(_xlfn.XLOOKUP(Table4[[#This Row],[Subnummer]],Table3[Sub],#REF!),0)</f>
        <v>0</v>
      </c>
      <c r="U30" s="75">
        <f>IFERROR(_xlfn.XLOOKUP(Table4[[#This Row],[Subnummer]],Table3[Sub],#REF!),0)</f>
        <v>0</v>
      </c>
      <c r="V30" s="75">
        <f>IFERROR(_xlfn.XLOOKUP(Table4[[#This Row],[Subnummer]],Table3[Sub],#REF!),0)</f>
        <v>0</v>
      </c>
      <c r="W30" s="75">
        <f>IFERROR(_xlfn.XLOOKUP(Table4[[#This Row],[Subnummer]],Table3[Sub],#REF!),0)</f>
        <v>0</v>
      </c>
      <c r="X30" s="75">
        <f>IFERROR(_xlfn.XLOOKUP(Table4[[#This Row],[Subnummer]],Table3[Sub],#REF!),0)</f>
        <v>0</v>
      </c>
      <c r="Y30" s="75">
        <f>IFERROR(_xlfn.XLOOKUP(Table4[[#This Row],[Subnummer]],Table3[Sub],#REF!),0)</f>
        <v>0</v>
      </c>
      <c r="Z30" s="76">
        <f t="shared" si="0"/>
        <v>0</v>
      </c>
      <c r="AA30" s="76">
        <f t="shared" si="1"/>
        <v>0</v>
      </c>
      <c r="AB30" s="76">
        <f t="shared" si="2"/>
        <v>0</v>
      </c>
      <c r="AC30" s="76">
        <f t="shared" si="3"/>
        <v>0</v>
      </c>
      <c r="AD30" s="76">
        <f t="shared" si="4"/>
        <v>0</v>
      </c>
      <c r="AE30" s="76">
        <f t="shared" si="5"/>
        <v>0</v>
      </c>
      <c r="AF30" s="76">
        <f t="shared" si="6"/>
        <v>0</v>
      </c>
      <c r="AG30" s="76">
        <f t="shared" si="7"/>
        <v>0</v>
      </c>
      <c r="AH30" s="76">
        <f t="shared" si="8"/>
        <v>0</v>
      </c>
      <c r="AI30" s="76">
        <f t="shared" si="9"/>
        <v>0</v>
      </c>
      <c r="AJ30" s="70">
        <f t="shared" si="11"/>
        <v>0</v>
      </c>
      <c r="AK30" s="16" t="str" cm="1">
        <f t="array" ref="AK30">_xlfn.IFS(AJ30=0,"Nihil",AJ30&gt;0,"Suppletie",AJ30&lt;0,"Restitutie")</f>
        <v>Nihil</v>
      </c>
    </row>
    <row r="31" spans="1:37" x14ac:dyDescent="0.3">
      <c r="A31" s="16" t="str">
        <f>IFERROR(_xlfn.XLOOKUP(E31,Table3[Sub],Table3[Verzekerde]),"-")</f>
        <v>-</v>
      </c>
      <c r="C31" s="69" t="str">
        <f>IFERROR(_xlfn.XLOOKUP(Table4[[#This Row],[Subnummer]],Table3[Sub],Table3[Certificaat]),"-")</f>
        <v>-</v>
      </c>
      <c r="D31" s="16" t="str">
        <f>IFERROR(_xlfn.XLOOKUP(E31,Specificatie!C$9:C$291,Specificatie!Q$9:Q$291),"")</f>
        <v/>
      </c>
      <c r="E31" s="103">
        <v>0</v>
      </c>
      <c r="F31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31" s="70">
        <v>0</v>
      </c>
      <c r="H31" s="71">
        <f>Table4[[#This Row],[Nieuwe waarde]]-Table4[[#This Row],[Oude waarde]]</f>
        <v>0</v>
      </c>
      <c r="I31" s="72">
        <v>46266</v>
      </c>
      <c r="J31" s="72">
        <v>46388</v>
      </c>
      <c r="K31" s="16">
        <f>Table4[[#This Row],[Vervaldatum]]-Table4[[#This Row],[Mutatiedatum]]</f>
        <v>122</v>
      </c>
      <c r="L31" s="16">
        <v>366</v>
      </c>
      <c r="M31" s="16" t="s">
        <v>86</v>
      </c>
      <c r="N31" s="107" t="s">
        <v>87</v>
      </c>
      <c r="O31" s="73" cm="1">
        <f t="array" ref="O31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31" s="75">
        <f>IFERROR(_xlfn.XLOOKUP(Table4[[#This Row],[Subnummer]],Table3[Sub],#REF!),0)</f>
        <v>0</v>
      </c>
      <c r="Q31" s="75">
        <f>IFERROR(_xlfn.XLOOKUP(Table4[[#This Row],[Subnummer]],Table3[Sub],#REF!),0)</f>
        <v>0</v>
      </c>
      <c r="R31" s="75">
        <f>IFERROR(_xlfn.XLOOKUP(Table4[[#This Row],[Subnummer]],Table3[Sub],#REF!),0)</f>
        <v>0</v>
      </c>
      <c r="S31" s="75">
        <f>IFERROR(_xlfn.XLOOKUP(Table4[[#This Row],[Subnummer]],Table3[Sub],#REF!),0)</f>
        <v>0</v>
      </c>
      <c r="T31" s="75">
        <f>IFERROR(_xlfn.XLOOKUP(Table4[[#This Row],[Subnummer]],Table3[Sub],#REF!),0)</f>
        <v>0</v>
      </c>
      <c r="U31" s="75">
        <f>IFERROR(_xlfn.XLOOKUP(Table4[[#This Row],[Subnummer]],Table3[Sub],#REF!),0)</f>
        <v>0</v>
      </c>
      <c r="V31" s="75">
        <f>IFERROR(_xlfn.XLOOKUP(Table4[[#This Row],[Subnummer]],Table3[Sub],#REF!),0)</f>
        <v>0</v>
      </c>
      <c r="W31" s="75">
        <f>IFERROR(_xlfn.XLOOKUP(Table4[[#This Row],[Subnummer]],Table3[Sub],#REF!),0)</f>
        <v>0</v>
      </c>
      <c r="X31" s="75">
        <f>IFERROR(_xlfn.XLOOKUP(Table4[[#This Row],[Subnummer]],Table3[Sub],#REF!),0)</f>
        <v>0</v>
      </c>
      <c r="Y31" s="75">
        <f>IFERROR(_xlfn.XLOOKUP(Table4[[#This Row],[Subnummer]],Table3[Sub],#REF!),0)</f>
        <v>0</v>
      </c>
      <c r="Z31" s="76">
        <f t="shared" si="0"/>
        <v>0</v>
      </c>
      <c r="AA31" s="76">
        <f t="shared" si="1"/>
        <v>0</v>
      </c>
      <c r="AB31" s="76">
        <f t="shared" si="2"/>
        <v>0</v>
      </c>
      <c r="AC31" s="76">
        <f t="shared" si="3"/>
        <v>0</v>
      </c>
      <c r="AD31" s="76">
        <f t="shared" si="4"/>
        <v>0</v>
      </c>
      <c r="AE31" s="76">
        <f t="shared" si="5"/>
        <v>0</v>
      </c>
      <c r="AF31" s="76">
        <f t="shared" si="6"/>
        <v>0</v>
      </c>
      <c r="AG31" s="76">
        <f t="shared" si="7"/>
        <v>0</v>
      </c>
      <c r="AH31" s="76">
        <f t="shared" si="8"/>
        <v>0</v>
      </c>
      <c r="AI31" s="76">
        <f t="shared" si="9"/>
        <v>0</v>
      </c>
      <c r="AJ31" s="70">
        <f t="shared" si="11"/>
        <v>0</v>
      </c>
      <c r="AK31" s="16" t="str" cm="1">
        <f t="array" ref="AK31">_xlfn.IFS(AJ31=0,"Nihil",AJ31&gt;0,"Suppletie",AJ31&lt;0,"Restitutie")</f>
        <v>Nihil</v>
      </c>
    </row>
    <row r="32" spans="1:37" x14ac:dyDescent="0.3">
      <c r="A32" s="16" t="str">
        <f>IFERROR(_xlfn.XLOOKUP(E32,Table3[Sub],Table3[Verzekerde]),"-")</f>
        <v>-</v>
      </c>
      <c r="C32" s="69" t="str">
        <f>IFERROR(_xlfn.XLOOKUP(Table4[[#This Row],[Subnummer]],Table3[Sub],Table3[Certificaat]),"-")</f>
        <v>-</v>
      </c>
      <c r="D32" s="16" t="str">
        <f>IFERROR(_xlfn.XLOOKUP(E32,Specificatie!C$9:C$291,Specificatie!Q$9:Q$291),"")</f>
        <v/>
      </c>
      <c r="E32" s="103">
        <v>0</v>
      </c>
      <c r="F32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32" s="70">
        <v>0</v>
      </c>
      <c r="H32" s="71">
        <f>Table4[[#This Row],[Nieuwe waarde]]-Table4[[#This Row],[Oude waarde]]</f>
        <v>0</v>
      </c>
      <c r="I32" s="72">
        <v>46266</v>
      </c>
      <c r="J32" s="72">
        <v>46388</v>
      </c>
      <c r="K32" s="16">
        <f>Table4[[#This Row],[Vervaldatum]]-Table4[[#This Row],[Mutatiedatum]]</f>
        <v>122</v>
      </c>
      <c r="L32" s="16">
        <v>366</v>
      </c>
      <c r="M32" s="16" t="s">
        <v>86</v>
      </c>
      <c r="N32" s="107" t="s">
        <v>87</v>
      </c>
      <c r="O32" s="73" cm="1">
        <f t="array" ref="O32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32" s="75">
        <f>IFERROR(_xlfn.XLOOKUP(Table4[[#This Row],[Subnummer]],Table3[Sub],#REF!),0)</f>
        <v>0</v>
      </c>
      <c r="Q32" s="75">
        <f>IFERROR(_xlfn.XLOOKUP(Table4[[#This Row],[Subnummer]],Table3[Sub],#REF!),0)</f>
        <v>0</v>
      </c>
      <c r="R32" s="75">
        <f>IFERROR(_xlfn.XLOOKUP(Table4[[#This Row],[Subnummer]],Table3[Sub],#REF!),0)</f>
        <v>0</v>
      </c>
      <c r="S32" s="75">
        <f>IFERROR(_xlfn.XLOOKUP(Table4[[#This Row],[Subnummer]],Table3[Sub],#REF!),0)</f>
        <v>0</v>
      </c>
      <c r="T32" s="75">
        <f>IFERROR(_xlfn.XLOOKUP(Table4[[#This Row],[Subnummer]],Table3[Sub],#REF!),0)</f>
        <v>0</v>
      </c>
      <c r="U32" s="75">
        <f>IFERROR(_xlfn.XLOOKUP(Table4[[#This Row],[Subnummer]],Table3[Sub],#REF!),0)</f>
        <v>0</v>
      </c>
      <c r="V32" s="75">
        <f>IFERROR(_xlfn.XLOOKUP(Table4[[#This Row],[Subnummer]],Table3[Sub],#REF!),0)</f>
        <v>0</v>
      </c>
      <c r="W32" s="75">
        <f>IFERROR(_xlfn.XLOOKUP(Table4[[#This Row],[Subnummer]],Table3[Sub],#REF!),0)</f>
        <v>0</v>
      </c>
      <c r="X32" s="75">
        <f>IFERROR(_xlfn.XLOOKUP(Table4[[#This Row],[Subnummer]],Table3[Sub],#REF!),0)</f>
        <v>0</v>
      </c>
      <c r="Y32" s="75">
        <f>IFERROR(_xlfn.XLOOKUP(Table4[[#This Row],[Subnummer]],Table3[Sub],#REF!),0)</f>
        <v>0</v>
      </c>
      <c r="Z32" s="76">
        <f t="shared" si="0"/>
        <v>0</v>
      </c>
      <c r="AA32" s="76">
        <f t="shared" si="1"/>
        <v>0</v>
      </c>
      <c r="AB32" s="76">
        <f t="shared" si="2"/>
        <v>0</v>
      </c>
      <c r="AC32" s="76">
        <f t="shared" si="3"/>
        <v>0</v>
      </c>
      <c r="AD32" s="76">
        <f t="shared" si="4"/>
        <v>0</v>
      </c>
      <c r="AE32" s="76">
        <f t="shared" si="5"/>
        <v>0</v>
      </c>
      <c r="AF32" s="76">
        <f t="shared" si="6"/>
        <v>0</v>
      </c>
      <c r="AG32" s="76">
        <f t="shared" si="7"/>
        <v>0</v>
      </c>
      <c r="AH32" s="76">
        <f t="shared" si="8"/>
        <v>0</v>
      </c>
      <c r="AI32" s="76">
        <f t="shared" si="9"/>
        <v>0</v>
      </c>
      <c r="AJ32" s="70">
        <f t="shared" si="11"/>
        <v>0</v>
      </c>
      <c r="AK32" s="16" t="str" cm="1">
        <f t="array" ref="AK32">_xlfn.IFS(AJ32=0,"Nihil",AJ32&gt;0,"Suppletie",AJ32&lt;0,"Restitutie")</f>
        <v>Nihil</v>
      </c>
    </row>
    <row r="33" spans="1:37" x14ac:dyDescent="0.3">
      <c r="A33" s="16" t="str">
        <f>IFERROR(_xlfn.XLOOKUP(E33,Table3[Sub],Table3[Verzekerde]),"-")</f>
        <v>-</v>
      </c>
      <c r="C33" s="69" t="str">
        <f>IFERROR(_xlfn.XLOOKUP(Table4[[#This Row],[Subnummer]],Table3[Sub],Table3[Certificaat]),"-")</f>
        <v>-</v>
      </c>
      <c r="D33" s="16" t="str">
        <f>IFERROR(_xlfn.XLOOKUP(E33,Specificatie!C$9:C$291,Specificatie!Q$9:Q$291),"")</f>
        <v/>
      </c>
      <c r="E33" s="103">
        <v>0</v>
      </c>
      <c r="F33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33" s="70">
        <v>0</v>
      </c>
      <c r="H33" s="71">
        <f>Table4[[#This Row],[Nieuwe waarde]]-Table4[[#This Row],[Oude waarde]]</f>
        <v>0</v>
      </c>
      <c r="I33" s="72">
        <v>46266</v>
      </c>
      <c r="J33" s="72">
        <v>46388</v>
      </c>
      <c r="K33" s="16">
        <f>Table4[[#This Row],[Vervaldatum]]-Table4[[#This Row],[Mutatiedatum]]</f>
        <v>122</v>
      </c>
      <c r="L33" s="16">
        <v>366</v>
      </c>
      <c r="M33" s="16" t="s">
        <v>86</v>
      </c>
      <c r="N33" s="107" t="s">
        <v>87</v>
      </c>
      <c r="O33" s="73" cm="1">
        <f t="array" ref="O33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33" s="75">
        <f>IFERROR(_xlfn.XLOOKUP(Table4[[#This Row],[Subnummer]],Table3[Sub],#REF!),0)</f>
        <v>0</v>
      </c>
      <c r="Q33" s="75">
        <f>IFERROR(_xlfn.XLOOKUP(Table4[[#This Row],[Subnummer]],Table3[Sub],#REF!),0)</f>
        <v>0</v>
      </c>
      <c r="R33" s="75">
        <f>IFERROR(_xlfn.XLOOKUP(Table4[[#This Row],[Subnummer]],Table3[Sub],#REF!),0)</f>
        <v>0</v>
      </c>
      <c r="S33" s="75">
        <f>IFERROR(_xlfn.XLOOKUP(Table4[[#This Row],[Subnummer]],Table3[Sub],#REF!),0)</f>
        <v>0</v>
      </c>
      <c r="T33" s="75">
        <f>IFERROR(_xlfn.XLOOKUP(Table4[[#This Row],[Subnummer]],Table3[Sub],#REF!),0)</f>
        <v>0</v>
      </c>
      <c r="U33" s="75">
        <f>IFERROR(_xlfn.XLOOKUP(Table4[[#This Row],[Subnummer]],Table3[Sub],#REF!),0)</f>
        <v>0</v>
      </c>
      <c r="V33" s="75">
        <f>IFERROR(_xlfn.XLOOKUP(Table4[[#This Row],[Subnummer]],Table3[Sub],#REF!),0)</f>
        <v>0</v>
      </c>
      <c r="W33" s="75">
        <f>IFERROR(_xlfn.XLOOKUP(Table4[[#This Row],[Subnummer]],Table3[Sub],#REF!),0)</f>
        <v>0</v>
      </c>
      <c r="X33" s="75">
        <f>IFERROR(_xlfn.XLOOKUP(Table4[[#This Row],[Subnummer]],Table3[Sub],#REF!),0)</f>
        <v>0</v>
      </c>
      <c r="Y33" s="75">
        <f>IFERROR(_xlfn.XLOOKUP(Table4[[#This Row],[Subnummer]],Table3[Sub],#REF!),0)</f>
        <v>0</v>
      </c>
      <c r="Z33" s="76">
        <f t="shared" si="0"/>
        <v>0</v>
      </c>
      <c r="AA33" s="76">
        <f t="shared" si="1"/>
        <v>0</v>
      </c>
      <c r="AB33" s="76">
        <f t="shared" si="2"/>
        <v>0</v>
      </c>
      <c r="AC33" s="76">
        <f t="shared" si="3"/>
        <v>0</v>
      </c>
      <c r="AD33" s="76">
        <f t="shared" si="4"/>
        <v>0</v>
      </c>
      <c r="AE33" s="76">
        <f t="shared" si="5"/>
        <v>0</v>
      </c>
      <c r="AF33" s="76">
        <f t="shared" si="6"/>
        <v>0</v>
      </c>
      <c r="AG33" s="76">
        <f t="shared" si="7"/>
        <v>0</v>
      </c>
      <c r="AH33" s="76">
        <f t="shared" si="8"/>
        <v>0</v>
      </c>
      <c r="AI33" s="76">
        <f t="shared" si="9"/>
        <v>0</v>
      </c>
      <c r="AJ33" s="70">
        <f t="shared" si="11"/>
        <v>0</v>
      </c>
      <c r="AK33" s="16" t="str" cm="1">
        <f t="array" ref="AK33">_xlfn.IFS(AJ33=0,"Nihil",AJ33&gt;0,"Suppletie",AJ33&lt;0,"Restitutie")</f>
        <v>Nihil</v>
      </c>
    </row>
    <row r="34" spans="1:37" x14ac:dyDescent="0.3">
      <c r="A34" s="16" t="str">
        <f>IFERROR(_xlfn.XLOOKUP(E34,Table3[Sub],Table3[Verzekerde]),"-")</f>
        <v>-</v>
      </c>
      <c r="C34" s="69" t="str">
        <f>IFERROR(_xlfn.XLOOKUP(Table4[[#This Row],[Subnummer]],Table3[Sub],Table3[Certificaat]),"-")</f>
        <v>-</v>
      </c>
      <c r="D34" s="16" t="str">
        <f>IFERROR(_xlfn.XLOOKUP(E34,Specificatie!C$9:C$291,Specificatie!Q$9:Q$291),"")</f>
        <v/>
      </c>
      <c r="E34" s="103">
        <v>0</v>
      </c>
      <c r="F34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34" s="70">
        <v>0</v>
      </c>
      <c r="H34" s="71">
        <f>Table4[[#This Row],[Nieuwe waarde]]-Table4[[#This Row],[Oude waarde]]</f>
        <v>0</v>
      </c>
      <c r="I34" s="72">
        <v>46266</v>
      </c>
      <c r="J34" s="72">
        <v>46388</v>
      </c>
      <c r="K34" s="16">
        <f>Table4[[#This Row],[Vervaldatum]]-Table4[[#This Row],[Mutatiedatum]]</f>
        <v>122</v>
      </c>
      <c r="L34" s="16">
        <v>366</v>
      </c>
      <c r="M34" s="16" t="s">
        <v>86</v>
      </c>
      <c r="N34" s="107" t="s">
        <v>87</v>
      </c>
      <c r="O34" s="73" cm="1">
        <f t="array" ref="O34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34" s="75">
        <f>IFERROR(_xlfn.XLOOKUP(Table4[[#This Row],[Subnummer]],Table3[Sub],#REF!),0)</f>
        <v>0</v>
      </c>
      <c r="Q34" s="75">
        <f>IFERROR(_xlfn.XLOOKUP(Table4[[#This Row],[Subnummer]],Table3[Sub],#REF!),0)</f>
        <v>0</v>
      </c>
      <c r="R34" s="75">
        <f>IFERROR(_xlfn.XLOOKUP(Table4[[#This Row],[Subnummer]],Table3[Sub],#REF!),0)</f>
        <v>0</v>
      </c>
      <c r="S34" s="75">
        <f>IFERROR(_xlfn.XLOOKUP(Table4[[#This Row],[Subnummer]],Table3[Sub],#REF!),0)</f>
        <v>0</v>
      </c>
      <c r="T34" s="75">
        <f>IFERROR(_xlfn.XLOOKUP(Table4[[#This Row],[Subnummer]],Table3[Sub],#REF!),0)</f>
        <v>0</v>
      </c>
      <c r="U34" s="75">
        <f>IFERROR(_xlfn.XLOOKUP(Table4[[#This Row],[Subnummer]],Table3[Sub],#REF!),0)</f>
        <v>0</v>
      </c>
      <c r="V34" s="75">
        <f>IFERROR(_xlfn.XLOOKUP(Table4[[#This Row],[Subnummer]],Table3[Sub],#REF!),0)</f>
        <v>0</v>
      </c>
      <c r="W34" s="75">
        <f>IFERROR(_xlfn.XLOOKUP(Table4[[#This Row],[Subnummer]],Table3[Sub],#REF!),0)</f>
        <v>0</v>
      </c>
      <c r="X34" s="75">
        <f>IFERROR(_xlfn.XLOOKUP(Table4[[#This Row],[Subnummer]],Table3[Sub],#REF!),0)</f>
        <v>0</v>
      </c>
      <c r="Y34" s="75">
        <f>IFERROR(_xlfn.XLOOKUP(Table4[[#This Row],[Subnummer]],Table3[Sub],#REF!),0)</f>
        <v>0</v>
      </c>
      <c r="Z34" s="76">
        <f t="shared" si="0"/>
        <v>0</v>
      </c>
      <c r="AA34" s="76">
        <f t="shared" si="1"/>
        <v>0</v>
      </c>
      <c r="AB34" s="76">
        <f t="shared" si="2"/>
        <v>0</v>
      </c>
      <c r="AC34" s="76">
        <f t="shared" si="3"/>
        <v>0</v>
      </c>
      <c r="AD34" s="76">
        <f t="shared" si="4"/>
        <v>0</v>
      </c>
      <c r="AE34" s="76">
        <f t="shared" si="5"/>
        <v>0</v>
      </c>
      <c r="AF34" s="76">
        <f t="shared" si="6"/>
        <v>0</v>
      </c>
      <c r="AG34" s="76">
        <f t="shared" si="7"/>
        <v>0</v>
      </c>
      <c r="AH34" s="76">
        <f t="shared" si="8"/>
        <v>0</v>
      </c>
      <c r="AI34" s="76">
        <f t="shared" si="9"/>
        <v>0</v>
      </c>
      <c r="AJ34" s="70">
        <f t="shared" si="11"/>
        <v>0</v>
      </c>
      <c r="AK34" s="16" t="str" cm="1">
        <f t="array" ref="AK34">_xlfn.IFS(AJ34=0,"Nihil",AJ34&gt;0,"Suppletie",AJ34&lt;0,"Restitutie")</f>
        <v>Nihil</v>
      </c>
    </row>
    <row r="35" spans="1:37" x14ac:dyDescent="0.3">
      <c r="A35" s="16" t="str">
        <f>IFERROR(_xlfn.XLOOKUP(E35,Table3[Sub],Table3[Verzekerde]),"-")</f>
        <v>-</v>
      </c>
      <c r="C35" s="69" t="str">
        <f>IFERROR(_xlfn.XLOOKUP(Table4[[#This Row],[Subnummer]],Table3[Sub],Table3[Certificaat]),"-")</f>
        <v>-</v>
      </c>
      <c r="D35" s="16" t="str">
        <f>IFERROR(_xlfn.XLOOKUP(E35,Specificatie!C$9:C$291,Specificatie!Q$9:Q$291),"")</f>
        <v/>
      </c>
      <c r="E35" s="103">
        <v>0</v>
      </c>
      <c r="F35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35" s="70">
        <v>0</v>
      </c>
      <c r="H35" s="71">
        <f>Table4[[#This Row],[Nieuwe waarde]]-Table4[[#This Row],[Oude waarde]]</f>
        <v>0</v>
      </c>
      <c r="I35" s="72">
        <v>46266</v>
      </c>
      <c r="J35" s="72">
        <v>46388</v>
      </c>
      <c r="K35" s="16">
        <f>Table4[[#This Row],[Vervaldatum]]-Table4[[#This Row],[Mutatiedatum]]</f>
        <v>122</v>
      </c>
      <c r="L35" s="16">
        <v>366</v>
      </c>
      <c r="M35" s="16" t="s">
        <v>86</v>
      </c>
      <c r="N35" s="107" t="s">
        <v>87</v>
      </c>
      <c r="O35" s="73" cm="1">
        <f t="array" ref="O35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35" s="75">
        <f>IFERROR(_xlfn.XLOOKUP(Table4[[#This Row],[Subnummer]],Table3[Sub],#REF!),0)</f>
        <v>0</v>
      </c>
      <c r="Q35" s="75">
        <f>IFERROR(_xlfn.XLOOKUP(Table4[[#This Row],[Subnummer]],Table3[Sub],#REF!),0)</f>
        <v>0</v>
      </c>
      <c r="R35" s="75">
        <f>IFERROR(_xlfn.XLOOKUP(Table4[[#This Row],[Subnummer]],Table3[Sub],#REF!),0)</f>
        <v>0</v>
      </c>
      <c r="S35" s="75">
        <f>IFERROR(_xlfn.XLOOKUP(Table4[[#This Row],[Subnummer]],Table3[Sub],#REF!),0)</f>
        <v>0</v>
      </c>
      <c r="T35" s="75">
        <f>IFERROR(_xlfn.XLOOKUP(Table4[[#This Row],[Subnummer]],Table3[Sub],#REF!),0)</f>
        <v>0</v>
      </c>
      <c r="U35" s="75">
        <f>IFERROR(_xlfn.XLOOKUP(Table4[[#This Row],[Subnummer]],Table3[Sub],#REF!),0)</f>
        <v>0</v>
      </c>
      <c r="V35" s="75">
        <f>IFERROR(_xlfn.XLOOKUP(Table4[[#This Row],[Subnummer]],Table3[Sub],#REF!),0)</f>
        <v>0</v>
      </c>
      <c r="W35" s="75">
        <f>IFERROR(_xlfn.XLOOKUP(Table4[[#This Row],[Subnummer]],Table3[Sub],#REF!),0)</f>
        <v>0</v>
      </c>
      <c r="X35" s="75">
        <f>IFERROR(_xlfn.XLOOKUP(Table4[[#This Row],[Subnummer]],Table3[Sub],#REF!),0)</f>
        <v>0</v>
      </c>
      <c r="Y35" s="75">
        <f>IFERROR(_xlfn.XLOOKUP(Table4[[#This Row],[Subnummer]],Table3[Sub],#REF!),0)</f>
        <v>0</v>
      </c>
      <c r="Z35" s="76">
        <f t="shared" si="0"/>
        <v>0</v>
      </c>
      <c r="AA35" s="76">
        <f t="shared" si="1"/>
        <v>0</v>
      </c>
      <c r="AB35" s="76">
        <f t="shared" si="2"/>
        <v>0</v>
      </c>
      <c r="AC35" s="76">
        <f t="shared" si="3"/>
        <v>0</v>
      </c>
      <c r="AD35" s="76">
        <f t="shared" si="4"/>
        <v>0</v>
      </c>
      <c r="AE35" s="76">
        <f t="shared" si="5"/>
        <v>0</v>
      </c>
      <c r="AF35" s="76">
        <f t="shared" si="6"/>
        <v>0</v>
      </c>
      <c r="AG35" s="76">
        <f t="shared" si="7"/>
        <v>0</v>
      </c>
      <c r="AH35" s="76">
        <f t="shared" si="8"/>
        <v>0</v>
      </c>
      <c r="AI35" s="76">
        <f t="shared" si="9"/>
        <v>0</v>
      </c>
      <c r="AJ35" s="70">
        <f t="shared" si="11"/>
        <v>0</v>
      </c>
      <c r="AK35" s="16" t="str" cm="1">
        <f t="array" ref="AK35">_xlfn.IFS(AJ35=0,"Nihil",AJ35&gt;0,"Suppletie",AJ35&lt;0,"Restitutie")</f>
        <v>Nihil</v>
      </c>
    </row>
    <row r="36" spans="1:37" x14ac:dyDescent="0.3">
      <c r="A36" s="16" t="str">
        <f>IFERROR(_xlfn.XLOOKUP(E36,Table3[Sub],Table3[Verzekerde]),"-")</f>
        <v>-</v>
      </c>
      <c r="C36" s="69" t="str">
        <f>IFERROR(_xlfn.XLOOKUP(Table4[[#This Row],[Subnummer]],Table3[Sub],Table3[Certificaat]),"-")</f>
        <v>-</v>
      </c>
      <c r="D36" s="16" t="str">
        <f>IFERROR(_xlfn.XLOOKUP(E36,Specificatie!C$9:C$291,Specificatie!Q$9:Q$291),"")</f>
        <v/>
      </c>
      <c r="E36" s="103">
        <v>0</v>
      </c>
      <c r="F36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36" s="70">
        <v>0</v>
      </c>
      <c r="H36" s="71">
        <f>Table4[[#This Row],[Nieuwe waarde]]-Table4[[#This Row],[Oude waarde]]</f>
        <v>0</v>
      </c>
      <c r="I36" s="72">
        <v>46266</v>
      </c>
      <c r="J36" s="72">
        <v>46388</v>
      </c>
      <c r="K36" s="16">
        <f>Table4[[#This Row],[Vervaldatum]]-Table4[[#This Row],[Mutatiedatum]]</f>
        <v>122</v>
      </c>
      <c r="L36" s="16">
        <v>366</v>
      </c>
      <c r="M36" s="16" t="s">
        <v>86</v>
      </c>
      <c r="N36" s="107" t="s">
        <v>87</v>
      </c>
      <c r="O36" s="73" cm="1">
        <f t="array" ref="O36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36" s="75">
        <f>IFERROR(_xlfn.XLOOKUP(Table4[[#This Row],[Subnummer]],Table3[Sub],#REF!),0)</f>
        <v>0</v>
      </c>
      <c r="Q36" s="75">
        <f>IFERROR(_xlfn.XLOOKUP(Table4[[#This Row],[Subnummer]],Table3[Sub],#REF!),0)</f>
        <v>0</v>
      </c>
      <c r="R36" s="75">
        <f>IFERROR(_xlfn.XLOOKUP(Table4[[#This Row],[Subnummer]],Table3[Sub],#REF!),0)</f>
        <v>0</v>
      </c>
      <c r="S36" s="75">
        <f>IFERROR(_xlfn.XLOOKUP(Table4[[#This Row],[Subnummer]],Table3[Sub],#REF!),0)</f>
        <v>0</v>
      </c>
      <c r="T36" s="75">
        <f>IFERROR(_xlfn.XLOOKUP(Table4[[#This Row],[Subnummer]],Table3[Sub],#REF!),0)</f>
        <v>0</v>
      </c>
      <c r="U36" s="75">
        <f>IFERROR(_xlfn.XLOOKUP(Table4[[#This Row],[Subnummer]],Table3[Sub],#REF!),0)</f>
        <v>0</v>
      </c>
      <c r="V36" s="75">
        <f>IFERROR(_xlfn.XLOOKUP(Table4[[#This Row],[Subnummer]],Table3[Sub],#REF!),0)</f>
        <v>0</v>
      </c>
      <c r="W36" s="75">
        <f>IFERROR(_xlfn.XLOOKUP(Table4[[#This Row],[Subnummer]],Table3[Sub],#REF!),0)</f>
        <v>0</v>
      </c>
      <c r="X36" s="75">
        <f>IFERROR(_xlfn.XLOOKUP(Table4[[#This Row],[Subnummer]],Table3[Sub],#REF!),0)</f>
        <v>0</v>
      </c>
      <c r="Y36" s="75">
        <f>IFERROR(_xlfn.XLOOKUP(Table4[[#This Row],[Subnummer]],Table3[Sub],#REF!),0)</f>
        <v>0</v>
      </c>
      <c r="Z36" s="76">
        <f t="shared" si="0"/>
        <v>0</v>
      </c>
      <c r="AA36" s="76">
        <f t="shared" si="1"/>
        <v>0</v>
      </c>
      <c r="AB36" s="76">
        <f t="shared" si="2"/>
        <v>0</v>
      </c>
      <c r="AC36" s="76">
        <f t="shared" si="3"/>
        <v>0</v>
      </c>
      <c r="AD36" s="76">
        <f t="shared" si="4"/>
        <v>0</v>
      </c>
      <c r="AE36" s="76">
        <f t="shared" si="5"/>
        <v>0</v>
      </c>
      <c r="AF36" s="76">
        <f t="shared" si="6"/>
        <v>0</v>
      </c>
      <c r="AG36" s="76">
        <f t="shared" si="7"/>
        <v>0</v>
      </c>
      <c r="AH36" s="76">
        <f t="shared" si="8"/>
        <v>0</v>
      </c>
      <c r="AI36" s="76">
        <f t="shared" si="9"/>
        <v>0</v>
      </c>
      <c r="AJ36" s="70">
        <f t="shared" si="11"/>
        <v>0</v>
      </c>
      <c r="AK36" s="16" t="str" cm="1">
        <f t="array" ref="AK36">_xlfn.IFS(AJ36=0,"Nihil",AJ36&gt;0,"Suppletie",AJ36&lt;0,"Restitutie")</f>
        <v>Nihil</v>
      </c>
    </row>
    <row r="37" spans="1:37" x14ac:dyDescent="0.3">
      <c r="A37" s="16" t="str">
        <f>IFERROR(_xlfn.XLOOKUP(E37,Table3[Sub],Table3[Verzekerde]),"-")</f>
        <v>-</v>
      </c>
      <c r="C37" s="69" t="str">
        <f>IFERROR(_xlfn.XLOOKUP(Table4[[#This Row],[Subnummer]],Table3[Sub],Table3[Certificaat]),"-")</f>
        <v>-</v>
      </c>
      <c r="D37" s="16" t="str">
        <f>IFERROR(_xlfn.XLOOKUP(E37,Specificatie!C$9:C$291,Specificatie!Q$9:Q$291),"")</f>
        <v/>
      </c>
      <c r="E37" s="103">
        <v>0</v>
      </c>
      <c r="F37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37" s="70">
        <v>0</v>
      </c>
      <c r="H37" s="71">
        <f>Table4[[#This Row],[Nieuwe waarde]]-Table4[[#This Row],[Oude waarde]]</f>
        <v>0</v>
      </c>
      <c r="I37" s="72">
        <v>46266</v>
      </c>
      <c r="J37" s="72">
        <v>46388</v>
      </c>
      <c r="K37" s="16">
        <f>Table4[[#This Row],[Vervaldatum]]-Table4[[#This Row],[Mutatiedatum]]</f>
        <v>122</v>
      </c>
      <c r="L37" s="16">
        <v>366</v>
      </c>
      <c r="M37" s="16" t="s">
        <v>86</v>
      </c>
      <c r="N37" s="107" t="s">
        <v>87</v>
      </c>
      <c r="O37" s="73" cm="1">
        <f t="array" ref="O37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37" s="75">
        <f>IFERROR(_xlfn.XLOOKUP(Table4[[#This Row],[Subnummer]],Table3[Sub],#REF!),0)</f>
        <v>0</v>
      </c>
      <c r="Q37" s="75">
        <f>IFERROR(_xlfn.XLOOKUP(Table4[[#This Row],[Subnummer]],Table3[Sub],#REF!),0)</f>
        <v>0</v>
      </c>
      <c r="R37" s="75">
        <f>IFERROR(_xlfn.XLOOKUP(Table4[[#This Row],[Subnummer]],Table3[Sub],#REF!),0)</f>
        <v>0</v>
      </c>
      <c r="S37" s="75">
        <f>IFERROR(_xlfn.XLOOKUP(Table4[[#This Row],[Subnummer]],Table3[Sub],#REF!),0)</f>
        <v>0</v>
      </c>
      <c r="T37" s="75">
        <f>IFERROR(_xlfn.XLOOKUP(Table4[[#This Row],[Subnummer]],Table3[Sub],#REF!),0)</f>
        <v>0</v>
      </c>
      <c r="U37" s="75">
        <f>IFERROR(_xlfn.XLOOKUP(Table4[[#This Row],[Subnummer]],Table3[Sub],#REF!),0)</f>
        <v>0</v>
      </c>
      <c r="V37" s="75">
        <f>IFERROR(_xlfn.XLOOKUP(Table4[[#This Row],[Subnummer]],Table3[Sub],#REF!),0)</f>
        <v>0</v>
      </c>
      <c r="W37" s="75">
        <f>IFERROR(_xlfn.XLOOKUP(Table4[[#This Row],[Subnummer]],Table3[Sub],#REF!),0)</f>
        <v>0</v>
      </c>
      <c r="X37" s="75">
        <f>IFERROR(_xlfn.XLOOKUP(Table4[[#This Row],[Subnummer]],Table3[Sub],#REF!),0)</f>
        <v>0</v>
      </c>
      <c r="Y37" s="75">
        <f>IFERROR(_xlfn.XLOOKUP(Table4[[#This Row],[Subnummer]],Table3[Sub],#REF!),0)</f>
        <v>0</v>
      </c>
      <c r="Z37" s="76">
        <f t="shared" si="0"/>
        <v>0</v>
      </c>
      <c r="AA37" s="76">
        <f t="shared" si="1"/>
        <v>0</v>
      </c>
      <c r="AB37" s="76">
        <f t="shared" si="2"/>
        <v>0</v>
      </c>
      <c r="AC37" s="76">
        <f t="shared" si="3"/>
        <v>0</v>
      </c>
      <c r="AD37" s="76">
        <f t="shared" si="4"/>
        <v>0</v>
      </c>
      <c r="AE37" s="76">
        <f t="shared" si="5"/>
        <v>0</v>
      </c>
      <c r="AF37" s="76">
        <f t="shared" si="6"/>
        <v>0</v>
      </c>
      <c r="AG37" s="76">
        <f t="shared" si="7"/>
        <v>0</v>
      </c>
      <c r="AH37" s="76">
        <f t="shared" si="8"/>
        <v>0</v>
      </c>
      <c r="AI37" s="76">
        <f t="shared" si="9"/>
        <v>0</v>
      </c>
      <c r="AJ37" s="70">
        <f t="shared" si="11"/>
        <v>0</v>
      </c>
      <c r="AK37" s="16" t="str" cm="1">
        <f t="array" ref="AK37">_xlfn.IFS(AJ37=0,"Nihil",AJ37&gt;0,"Suppletie",AJ37&lt;0,"Restitutie")</f>
        <v>Nihil</v>
      </c>
    </row>
    <row r="38" spans="1:37" x14ac:dyDescent="0.3">
      <c r="A38" s="16" t="str">
        <f>IFERROR(_xlfn.XLOOKUP(E38,Table3[Sub],Table3[Verzekerde]),"-")</f>
        <v>-</v>
      </c>
      <c r="C38" s="69" t="str">
        <f>IFERROR(_xlfn.XLOOKUP(Table4[[#This Row],[Subnummer]],Table3[Sub],Table3[Certificaat]),"-")</f>
        <v>-</v>
      </c>
      <c r="D38" s="16" t="str">
        <f>IFERROR(_xlfn.XLOOKUP(E38,Specificatie!C$9:C$291,Specificatie!Q$9:Q$291),"")</f>
        <v/>
      </c>
      <c r="E38" s="103">
        <v>0</v>
      </c>
      <c r="F38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38" s="70">
        <v>0</v>
      </c>
      <c r="H38" s="71">
        <f>Table4[[#This Row],[Nieuwe waarde]]-Table4[[#This Row],[Oude waarde]]</f>
        <v>0</v>
      </c>
      <c r="I38" s="72">
        <v>46266</v>
      </c>
      <c r="J38" s="72">
        <v>46388</v>
      </c>
      <c r="K38" s="16">
        <f>Table4[[#This Row],[Vervaldatum]]-Table4[[#This Row],[Mutatiedatum]]</f>
        <v>122</v>
      </c>
      <c r="L38" s="16">
        <v>366</v>
      </c>
      <c r="M38" s="16" t="s">
        <v>86</v>
      </c>
      <c r="N38" s="107" t="s">
        <v>87</v>
      </c>
      <c r="O38" s="73" cm="1">
        <f t="array" ref="O38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38" s="75">
        <f>IFERROR(_xlfn.XLOOKUP(Table4[[#This Row],[Subnummer]],Table3[Sub],#REF!),0)</f>
        <v>0</v>
      </c>
      <c r="Q38" s="75">
        <f>IFERROR(_xlfn.XLOOKUP(Table4[[#This Row],[Subnummer]],Table3[Sub],#REF!),0)</f>
        <v>0</v>
      </c>
      <c r="R38" s="75">
        <f>IFERROR(_xlfn.XLOOKUP(Table4[[#This Row],[Subnummer]],Table3[Sub],#REF!),0)</f>
        <v>0</v>
      </c>
      <c r="S38" s="75">
        <f>IFERROR(_xlfn.XLOOKUP(Table4[[#This Row],[Subnummer]],Table3[Sub],#REF!),0)</f>
        <v>0</v>
      </c>
      <c r="T38" s="75">
        <f>IFERROR(_xlfn.XLOOKUP(Table4[[#This Row],[Subnummer]],Table3[Sub],#REF!),0)</f>
        <v>0</v>
      </c>
      <c r="U38" s="75">
        <f>IFERROR(_xlfn.XLOOKUP(Table4[[#This Row],[Subnummer]],Table3[Sub],#REF!),0)</f>
        <v>0</v>
      </c>
      <c r="V38" s="75">
        <f>IFERROR(_xlfn.XLOOKUP(Table4[[#This Row],[Subnummer]],Table3[Sub],#REF!),0)</f>
        <v>0</v>
      </c>
      <c r="W38" s="75">
        <f>IFERROR(_xlfn.XLOOKUP(Table4[[#This Row],[Subnummer]],Table3[Sub],#REF!),0)</f>
        <v>0</v>
      </c>
      <c r="X38" s="75">
        <f>IFERROR(_xlfn.XLOOKUP(Table4[[#This Row],[Subnummer]],Table3[Sub],#REF!),0)</f>
        <v>0</v>
      </c>
      <c r="Y38" s="75">
        <f>IFERROR(_xlfn.XLOOKUP(Table4[[#This Row],[Subnummer]],Table3[Sub],#REF!),0)</f>
        <v>0</v>
      </c>
      <c r="Z38" s="76">
        <f t="shared" si="0"/>
        <v>0</v>
      </c>
      <c r="AA38" s="76">
        <f t="shared" si="1"/>
        <v>0</v>
      </c>
      <c r="AB38" s="76">
        <f t="shared" si="2"/>
        <v>0</v>
      </c>
      <c r="AC38" s="76">
        <f t="shared" si="3"/>
        <v>0</v>
      </c>
      <c r="AD38" s="76">
        <f t="shared" si="4"/>
        <v>0</v>
      </c>
      <c r="AE38" s="76">
        <f t="shared" si="5"/>
        <v>0</v>
      </c>
      <c r="AF38" s="76">
        <f t="shared" si="6"/>
        <v>0</v>
      </c>
      <c r="AG38" s="76">
        <f t="shared" si="7"/>
        <v>0</v>
      </c>
      <c r="AH38" s="76">
        <f t="shared" si="8"/>
        <v>0</v>
      </c>
      <c r="AI38" s="76">
        <f t="shared" si="9"/>
        <v>0</v>
      </c>
      <c r="AJ38" s="70">
        <f t="shared" si="11"/>
        <v>0</v>
      </c>
      <c r="AK38" s="16" t="str" cm="1">
        <f t="array" ref="AK38">_xlfn.IFS(AJ38=0,"Nihil",AJ38&gt;0,"Suppletie",AJ38&lt;0,"Restitutie")</f>
        <v>Nihil</v>
      </c>
    </row>
    <row r="39" spans="1:37" x14ac:dyDescent="0.3">
      <c r="A39" s="16" t="str">
        <f>IFERROR(_xlfn.XLOOKUP(E39,Table3[Sub],Table3[Verzekerde]),"-")</f>
        <v>-</v>
      </c>
      <c r="C39" s="69" t="str">
        <f>IFERROR(_xlfn.XLOOKUP(Table4[[#This Row],[Subnummer]],Table3[Sub],Table3[Certificaat]),"-")</f>
        <v>-</v>
      </c>
      <c r="D39" s="16" t="str">
        <f>IFERROR(_xlfn.XLOOKUP(E39,Specificatie!C$9:C$291,Specificatie!Q$9:Q$291),"")</f>
        <v/>
      </c>
      <c r="E39" s="103">
        <v>0</v>
      </c>
      <c r="F39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39" s="70">
        <v>0</v>
      </c>
      <c r="H39" s="71">
        <f>Table4[[#This Row],[Nieuwe waarde]]-Table4[[#This Row],[Oude waarde]]</f>
        <v>0</v>
      </c>
      <c r="I39" s="72">
        <v>46266</v>
      </c>
      <c r="J39" s="72">
        <v>46388</v>
      </c>
      <c r="K39" s="16">
        <f>Table4[[#This Row],[Vervaldatum]]-Table4[[#This Row],[Mutatiedatum]]</f>
        <v>122</v>
      </c>
      <c r="L39" s="16">
        <v>366</v>
      </c>
      <c r="M39" s="16" t="s">
        <v>86</v>
      </c>
      <c r="N39" s="107" t="s">
        <v>87</v>
      </c>
      <c r="O39" s="73" cm="1">
        <f t="array" ref="O39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39" s="75">
        <f>IFERROR(_xlfn.XLOOKUP(Table4[[#This Row],[Subnummer]],Table3[Sub],#REF!),0)</f>
        <v>0</v>
      </c>
      <c r="Q39" s="75">
        <f>IFERROR(_xlfn.XLOOKUP(Table4[[#This Row],[Subnummer]],Table3[Sub],#REF!),0)</f>
        <v>0</v>
      </c>
      <c r="R39" s="75">
        <f>IFERROR(_xlfn.XLOOKUP(Table4[[#This Row],[Subnummer]],Table3[Sub],#REF!),0)</f>
        <v>0</v>
      </c>
      <c r="S39" s="75">
        <f>IFERROR(_xlfn.XLOOKUP(Table4[[#This Row],[Subnummer]],Table3[Sub],#REF!),0)</f>
        <v>0</v>
      </c>
      <c r="T39" s="75">
        <f>IFERROR(_xlfn.XLOOKUP(Table4[[#This Row],[Subnummer]],Table3[Sub],#REF!),0)</f>
        <v>0</v>
      </c>
      <c r="U39" s="75">
        <f>IFERROR(_xlfn.XLOOKUP(Table4[[#This Row],[Subnummer]],Table3[Sub],#REF!),0)</f>
        <v>0</v>
      </c>
      <c r="V39" s="75">
        <f>IFERROR(_xlfn.XLOOKUP(Table4[[#This Row],[Subnummer]],Table3[Sub],#REF!),0)</f>
        <v>0</v>
      </c>
      <c r="W39" s="75">
        <f>IFERROR(_xlfn.XLOOKUP(Table4[[#This Row],[Subnummer]],Table3[Sub],#REF!),0)</f>
        <v>0</v>
      </c>
      <c r="X39" s="75">
        <f>IFERROR(_xlfn.XLOOKUP(Table4[[#This Row],[Subnummer]],Table3[Sub],#REF!),0)</f>
        <v>0</v>
      </c>
      <c r="Y39" s="75">
        <f>IFERROR(_xlfn.XLOOKUP(Table4[[#This Row],[Subnummer]],Table3[Sub],#REF!),0)</f>
        <v>0</v>
      </c>
      <c r="Z39" s="76">
        <f t="shared" si="0"/>
        <v>0</v>
      </c>
      <c r="AA39" s="76">
        <f t="shared" si="1"/>
        <v>0</v>
      </c>
      <c r="AB39" s="76">
        <f t="shared" si="2"/>
        <v>0</v>
      </c>
      <c r="AC39" s="76">
        <f t="shared" si="3"/>
        <v>0</v>
      </c>
      <c r="AD39" s="76">
        <f t="shared" si="4"/>
        <v>0</v>
      </c>
      <c r="AE39" s="76">
        <f t="shared" si="5"/>
        <v>0</v>
      </c>
      <c r="AF39" s="76">
        <f t="shared" si="6"/>
        <v>0</v>
      </c>
      <c r="AG39" s="76">
        <f t="shared" si="7"/>
        <v>0</v>
      </c>
      <c r="AH39" s="76">
        <f t="shared" si="8"/>
        <v>0</v>
      </c>
      <c r="AI39" s="76">
        <f t="shared" si="9"/>
        <v>0</v>
      </c>
      <c r="AJ39" s="70">
        <f t="shared" si="11"/>
        <v>0</v>
      </c>
      <c r="AK39" s="16" t="str" cm="1">
        <f t="array" ref="AK39">_xlfn.IFS(AJ39=0,"Nihil",AJ39&gt;0,"Suppletie",AJ39&lt;0,"Restitutie")</f>
        <v>Nihil</v>
      </c>
    </row>
    <row r="40" spans="1:37" x14ac:dyDescent="0.3">
      <c r="A40" s="16" t="str">
        <f>IFERROR(_xlfn.XLOOKUP(E40,Table3[Sub],Table3[Verzekerde]),"-")</f>
        <v>-</v>
      </c>
      <c r="C40" s="69" t="str">
        <f>IFERROR(_xlfn.XLOOKUP(Table4[[#This Row],[Subnummer]],Table3[Sub],Table3[Certificaat]),"-")</f>
        <v>-</v>
      </c>
      <c r="D40" s="16" t="str">
        <f>IFERROR(_xlfn.XLOOKUP(E40,Specificatie!C$9:C$291,Specificatie!Q$9:Q$291),"")</f>
        <v/>
      </c>
      <c r="E40" s="103">
        <v>0</v>
      </c>
      <c r="F40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40" s="70">
        <v>0</v>
      </c>
      <c r="H40" s="71">
        <f>Table4[[#This Row],[Nieuwe waarde]]-Table4[[#This Row],[Oude waarde]]</f>
        <v>0</v>
      </c>
      <c r="I40" s="72">
        <v>46266</v>
      </c>
      <c r="J40" s="72">
        <v>46388</v>
      </c>
      <c r="K40" s="16">
        <f>Table4[[#This Row],[Vervaldatum]]-Table4[[#This Row],[Mutatiedatum]]</f>
        <v>122</v>
      </c>
      <c r="L40" s="16">
        <v>366</v>
      </c>
      <c r="M40" s="16" t="s">
        <v>86</v>
      </c>
      <c r="N40" s="107" t="s">
        <v>87</v>
      </c>
      <c r="O40" s="73" cm="1">
        <f t="array" ref="O40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40" s="75">
        <f>IFERROR(_xlfn.XLOOKUP(Table4[[#This Row],[Subnummer]],Table3[Sub],#REF!),0)</f>
        <v>0</v>
      </c>
      <c r="Q40" s="75">
        <f>IFERROR(_xlfn.XLOOKUP(Table4[[#This Row],[Subnummer]],Table3[Sub],#REF!),0)</f>
        <v>0</v>
      </c>
      <c r="R40" s="75">
        <f>IFERROR(_xlfn.XLOOKUP(Table4[[#This Row],[Subnummer]],Table3[Sub],#REF!),0)</f>
        <v>0</v>
      </c>
      <c r="S40" s="75">
        <f>IFERROR(_xlfn.XLOOKUP(Table4[[#This Row],[Subnummer]],Table3[Sub],#REF!),0)</f>
        <v>0</v>
      </c>
      <c r="T40" s="75">
        <f>IFERROR(_xlfn.XLOOKUP(Table4[[#This Row],[Subnummer]],Table3[Sub],#REF!),0)</f>
        <v>0</v>
      </c>
      <c r="U40" s="75">
        <f>IFERROR(_xlfn.XLOOKUP(Table4[[#This Row],[Subnummer]],Table3[Sub],#REF!),0)</f>
        <v>0</v>
      </c>
      <c r="V40" s="75">
        <f>IFERROR(_xlfn.XLOOKUP(Table4[[#This Row],[Subnummer]],Table3[Sub],#REF!),0)</f>
        <v>0</v>
      </c>
      <c r="W40" s="75">
        <f>IFERROR(_xlfn.XLOOKUP(Table4[[#This Row],[Subnummer]],Table3[Sub],#REF!),0)</f>
        <v>0</v>
      </c>
      <c r="X40" s="75">
        <f>IFERROR(_xlfn.XLOOKUP(Table4[[#This Row],[Subnummer]],Table3[Sub],#REF!),0)</f>
        <v>0</v>
      </c>
      <c r="Y40" s="75">
        <f>IFERROR(_xlfn.XLOOKUP(Table4[[#This Row],[Subnummer]],Table3[Sub],#REF!),0)</f>
        <v>0</v>
      </c>
      <c r="Z40" s="76">
        <f t="shared" si="0"/>
        <v>0</v>
      </c>
      <c r="AA40" s="76">
        <f t="shared" si="1"/>
        <v>0</v>
      </c>
      <c r="AB40" s="76">
        <f t="shared" si="2"/>
        <v>0</v>
      </c>
      <c r="AC40" s="76">
        <f t="shared" si="3"/>
        <v>0</v>
      </c>
      <c r="AD40" s="76">
        <f t="shared" si="4"/>
        <v>0</v>
      </c>
      <c r="AE40" s="76">
        <f t="shared" si="5"/>
        <v>0</v>
      </c>
      <c r="AF40" s="76">
        <f t="shared" si="6"/>
        <v>0</v>
      </c>
      <c r="AG40" s="76">
        <f t="shared" si="7"/>
        <v>0</v>
      </c>
      <c r="AH40" s="76">
        <f t="shared" si="8"/>
        <v>0</v>
      </c>
      <c r="AI40" s="76">
        <f t="shared" si="9"/>
        <v>0</v>
      </c>
      <c r="AJ40" s="70">
        <f t="shared" si="11"/>
        <v>0</v>
      </c>
      <c r="AK40" s="16" t="str" cm="1">
        <f t="array" ref="AK40">_xlfn.IFS(AJ40=0,"Nihil",AJ40&gt;0,"Suppletie",AJ40&lt;0,"Restitutie")</f>
        <v>Nihil</v>
      </c>
    </row>
    <row r="41" spans="1:37" x14ac:dyDescent="0.3">
      <c r="A41" s="16" t="str">
        <f>IFERROR(_xlfn.XLOOKUP(E41,Table3[Sub],Table3[Verzekerde]),"-")</f>
        <v>-</v>
      </c>
      <c r="C41" s="69" t="str">
        <f>IFERROR(_xlfn.XLOOKUP(Table4[[#This Row],[Subnummer]],Table3[Sub],Table3[Certificaat]),"-")</f>
        <v>-</v>
      </c>
      <c r="D41" s="16" t="str">
        <f>IFERROR(_xlfn.XLOOKUP(E41,Specificatie!C$9:C$291,Specificatie!Q$9:Q$291),"")</f>
        <v/>
      </c>
      <c r="E41" s="103">
        <v>0</v>
      </c>
      <c r="F41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41" s="70">
        <v>0</v>
      </c>
      <c r="H41" s="71">
        <f>Table4[[#This Row],[Nieuwe waarde]]-Table4[[#This Row],[Oude waarde]]</f>
        <v>0</v>
      </c>
      <c r="I41" s="72">
        <v>46266</v>
      </c>
      <c r="J41" s="72">
        <v>46388</v>
      </c>
      <c r="K41" s="16">
        <f>Table4[[#This Row],[Vervaldatum]]-Table4[[#This Row],[Mutatiedatum]]</f>
        <v>122</v>
      </c>
      <c r="L41" s="16">
        <v>366</v>
      </c>
      <c r="M41" s="16" t="s">
        <v>86</v>
      </c>
      <c r="N41" s="107" t="s">
        <v>87</v>
      </c>
      <c r="O41" s="73" cm="1">
        <f t="array" ref="O41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41" s="75">
        <f>IFERROR(_xlfn.XLOOKUP(Table4[[#This Row],[Subnummer]],Table3[Sub],#REF!),0)</f>
        <v>0</v>
      </c>
      <c r="Q41" s="75">
        <f>IFERROR(_xlfn.XLOOKUP(Table4[[#This Row],[Subnummer]],Table3[Sub],#REF!),0)</f>
        <v>0</v>
      </c>
      <c r="R41" s="75">
        <f>IFERROR(_xlfn.XLOOKUP(Table4[[#This Row],[Subnummer]],Table3[Sub],#REF!),0)</f>
        <v>0</v>
      </c>
      <c r="S41" s="75">
        <f>IFERROR(_xlfn.XLOOKUP(Table4[[#This Row],[Subnummer]],Table3[Sub],#REF!),0)</f>
        <v>0</v>
      </c>
      <c r="T41" s="75">
        <f>IFERROR(_xlfn.XLOOKUP(Table4[[#This Row],[Subnummer]],Table3[Sub],#REF!),0)</f>
        <v>0</v>
      </c>
      <c r="U41" s="75">
        <f>IFERROR(_xlfn.XLOOKUP(Table4[[#This Row],[Subnummer]],Table3[Sub],#REF!),0)</f>
        <v>0</v>
      </c>
      <c r="V41" s="75">
        <f>IFERROR(_xlfn.XLOOKUP(Table4[[#This Row],[Subnummer]],Table3[Sub],#REF!),0)</f>
        <v>0</v>
      </c>
      <c r="W41" s="75">
        <f>IFERROR(_xlfn.XLOOKUP(Table4[[#This Row],[Subnummer]],Table3[Sub],#REF!),0)</f>
        <v>0</v>
      </c>
      <c r="X41" s="75">
        <f>IFERROR(_xlfn.XLOOKUP(Table4[[#This Row],[Subnummer]],Table3[Sub],#REF!),0)</f>
        <v>0</v>
      </c>
      <c r="Y41" s="75">
        <f>IFERROR(_xlfn.XLOOKUP(Table4[[#This Row],[Subnummer]],Table3[Sub],#REF!),0)</f>
        <v>0</v>
      </c>
      <c r="Z41" s="76">
        <f t="shared" si="0"/>
        <v>0</v>
      </c>
      <c r="AA41" s="76">
        <f t="shared" si="1"/>
        <v>0</v>
      </c>
      <c r="AB41" s="76">
        <f t="shared" si="2"/>
        <v>0</v>
      </c>
      <c r="AC41" s="76">
        <f t="shared" si="3"/>
        <v>0</v>
      </c>
      <c r="AD41" s="76">
        <f t="shared" si="4"/>
        <v>0</v>
      </c>
      <c r="AE41" s="76">
        <f t="shared" si="5"/>
        <v>0</v>
      </c>
      <c r="AF41" s="76">
        <f t="shared" si="6"/>
        <v>0</v>
      </c>
      <c r="AG41" s="76">
        <f t="shared" si="7"/>
        <v>0</v>
      </c>
      <c r="AH41" s="76">
        <f t="shared" si="8"/>
        <v>0</v>
      </c>
      <c r="AI41" s="76">
        <f t="shared" si="9"/>
        <v>0</v>
      </c>
      <c r="AJ41" s="70">
        <f t="shared" si="11"/>
        <v>0</v>
      </c>
      <c r="AK41" s="16" t="str" cm="1">
        <f t="array" ref="AK41">_xlfn.IFS(AJ41=0,"Nihil",AJ41&gt;0,"Suppletie",AJ41&lt;0,"Restitutie")</f>
        <v>Nihil</v>
      </c>
    </row>
    <row r="42" spans="1:37" x14ac:dyDescent="0.3">
      <c r="A42" s="16" t="str">
        <f>IFERROR(_xlfn.XLOOKUP(E42,Table3[Sub],Table3[Verzekerde]),"-")</f>
        <v>-</v>
      </c>
      <c r="C42" s="69" t="str">
        <f>IFERROR(_xlfn.XLOOKUP(Table4[[#This Row],[Subnummer]],Table3[Sub],Table3[Certificaat]),"-")</f>
        <v>-</v>
      </c>
      <c r="D42" s="16" t="str">
        <f>IFERROR(_xlfn.XLOOKUP(E42,Specificatie!C$9:C$291,Specificatie!Q$9:Q$291),"")</f>
        <v/>
      </c>
      <c r="E42" s="103">
        <v>0</v>
      </c>
      <c r="F42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42" s="70">
        <v>0</v>
      </c>
      <c r="H42" s="71">
        <f>Table4[[#This Row],[Nieuwe waarde]]-Table4[[#This Row],[Oude waarde]]</f>
        <v>0</v>
      </c>
      <c r="I42" s="72">
        <v>46266</v>
      </c>
      <c r="J42" s="72">
        <v>46388</v>
      </c>
      <c r="K42" s="16">
        <f>Table4[[#This Row],[Vervaldatum]]-Table4[[#This Row],[Mutatiedatum]]</f>
        <v>122</v>
      </c>
      <c r="L42" s="16">
        <v>366</v>
      </c>
      <c r="M42" s="16" t="s">
        <v>86</v>
      </c>
      <c r="N42" s="107" t="s">
        <v>87</v>
      </c>
      <c r="O42" s="73" cm="1">
        <f t="array" ref="O42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42" s="75">
        <f>IFERROR(_xlfn.XLOOKUP(Table4[[#This Row],[Subnummer]],Table3[Sub],#REF!),0)</f>
        <v>0</v>
      </c>
      <c r="Q42" s="75">
        <f>IFERROR(_xlfn.XLOOKUP(Table4[[#This Row],[Subnummer]],Table3[Sub],#REF!),0)</f>
        <v>0</v>
      </c>
      <c r="R42" s="75">
        <f>IFERROR(_xlfn.XLOOKUP(Table4[[#This Row],[Subnummer]],Table3[Sub],#REF!),0)</f>
        <v>0</v>
      </c>
      <c r="S42" s="75">
        <f>IFERROR(_xlfn.XLOOKUP(Table4[[#This Row],[Subnummer]],Table3[Sub],#REF!),0)</f>
        <v>0</v>
      </c>
      <c r="T42" s="75">
        <f>IFERROR(_xlfn.XLOOKUP(Table4[[#This Row],[Subnummer]],Table3[Sub],#REF!),0)</f>
        <v>0</v>
      </c>
      <c r="U42" s="75">
        <f>IFERROR(_xlfn.XLOOKUP(Table4[[#This Row],[Subnummer]],Table3[Sub],#REF!),0)</f>
        <v>0</v>
      </c>
      <c r="V42" s="75">
        <f>IFERROR(_xlfn.XLOOKUP(Table4[[#This Row],[Subnummer]],Table3[Sub],#REF!),0)</f>
        <v>0</v>
      </c>
      <c r="W42" s="75">
        <f>IFERROR(_xlfn.XLOOKUP(Table4[[#This Row],[Subnummer]],Table3[Sub],#REF!),0)</f>
        <v>0</v>
      </c>
      <c r="X42" s="75">
        <f>IFERROR(_xlfn.XLOOKUP(Table4[[#This Row],[Subnummer]],Table3[Sub],#REF!),0)</f>
        <v>0</v>
      </c>
      <c r="Y42" s="75">
        <f>IFERROR(_xlfn.XLOOKUP(Table4[[#This Row],[Subnummer]],Table3[Sub],#REF!),0)</f>
        <v>0</v>
      </c>
      <c r="Z42" s="76">
        <f t="shared" ref="Z42:Z73" si="12">IFERROR(ROUND($O42*P42/1000*_xlfn.XLOOKUP(Z$8,Verzekeraar,verz_aandeel),2),0)</f>
        <v>0</v>
      </c>
      <c r="AA42" s="76">
        <f t="shared" ref="AA42:AA73" si="13">IFERROR(ROUND($O42*Q42/1000*_xlfn.XLOOKUP(AA$8,Verzekeraar,verz_aandeel),2),0)</f>
        <v>0</v>
      </c>
      <c r="AB42" s="76">
        <f t="shared" ref="AB42:AB73" si="14">IFERROR(ROUND($O42*R42/1000*_xlfn.XLOOKUP(AB$8,Verzekeraar,verz_aandeel),2),0)</f>
        <v>0</v>
      </c>
      <c r="AC42" s="76">
        <f t="shared" ref="AC42:AC73" si="15">IFERROR(ROUND($O42*S42/1000*_xlfn.XLOOKUP(AC$8,Verzekeraar,verz_aandeel),2),0)</f>
        <v>0</v>
      </c>
      <c r="AD42" s="76">
        <f t="shared" ref="AD42:AD73" si="16">IFERROR(ROUND($O42*T42/1000*_xlfn.XLOOKUP(AD$8,Verzekeraar,verz_aandeel),2),0)</f>
        <v>0</v>
      </c>
      <c r="AE42" s="76">
        <f t="shared" ref="AE42:AE73" si="17">IFERROR(ROUND($O42*U42/1000*_xlfn.XLOOKUP(AE$8,Verzekeraar,verz_aandeel),2),0)</f>
        <v>0</v>
      </c>
      <c r="AF42" s="76">
        <f t="shared" ref="AF42:AF73" si="18">IFERROR(ROUND($O42*V42/1000*_xlfn.XLOOKUP(AF$8,Verzekeraar,verz_aandeel),2),0)</f>
        <v>0</v>
      </c>
      <c r="AG42" s="76">
        <f t="shared" ref="AG42:AG73" si="19">IFERROR(ROUND($O42*W42/1000*_xlfn.XLOOKUP(AG$8,Verzekeraar,verz_aandeel),2),0)</f>
        <v>0</v>
      </c>
      <c r="AH42" s="76">
        <f t="shared" ref="AH42:AH73" si="20">IFERROR(ROUND($O42*X42/1000*_xlfn.XLOOKUP(AH$8,Verzekeraar,verz_aandeel),2),0)</f>
        <v>0</v>
      </c>
      <c r="AI42" s="76">
        <f t="shared" ref="AI42:AI73" si="21">IFERROR(ROUND($O42*Y42/1000*_xlfn.XLOOKUP(AI$8,Verzekeraar,verz_aandeel),2),0)</f>
        <v>0</v>
      </c>
      <c r="AJ42" s="70">
        <f t="shared" si="11"/>
        <v>0</v>
      </c>
      <c r="AK42" s="16" t="str" cm="1">
        <f t="array" ref="AK42">_xlfn.IFS(AJ42=0,"Nihil",AJ42&gt;0,"Suppletie",AJ42&lt;0,"Restitutie")</f>
        <v>Nihil</v>
      </c>
    </row>
    <row r="43" spans="1:37" x14ac:dyDescent="0.3">
      <c r="A43" s="16" t="str">
        <f>IFERROR(_xlfn.XLOOKUP(E43,Table3[Sub],Table3[Verzekerde]),"-")</f>
        <v>-</v>
      </c>
      <c r="C43" s="69" t="str">
        <f>IFERROR(_xlfn.XLOOKUP(Table4[[#This Row],[Subnummer]],Table3[Sub],Table3[Certificaat]),"-")</f>
        <v>-</v>
      </c>
      <c r="D43" s="16" t="str">
        <f>IFERROR(_xlfn.XLOOKUP(E43,Specificatie!C$9:C$291,Specificatie!Q$9:Q$291),"")</f>
        <v/>
      </c>
      <c r="E43" s="103">
        <v>0</v>
      </c>
      <c r="F43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43" s="70">
        <v>0</v>
      </c>
      <c r="H43" s="71">
        <f>Table4[[#This Row],[Nieuwe waarde]]-Table4[[#This Row],[Oude waarde]]</f>
        <v>0</v>
      </c>
      <c r="I43" s="72">
        <v>46266</v>
      </c>
      <c r="J43" s="72">
        <v>46388</v>
      </c>
      <c r="K43" s="16">
        <f>Table4[[#This Row],[Vervaldatum]]-Table4[[#This Row],[Mutatiedatum]]</f>
        <v>122</v>
      </c>
      <c r="L43" s="16">
        <v>366</v>
      </c>
      <c r="M43" s="16" t="s">
        <v>86</v>
      </c>
      <c r="N43" s="107" t="s">
        <v>87</v>
      </c>
      <c r="O43" s="73" cm="1">
        <f t="array" ref="O43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43" s="75">
        <f>IFERROR(_xlfn.XLOOKUP(Table4[[#This Row],[Subnummer]],Table3[Sub],#REF!),0)</f>
        <v>0</v>
      </c>
      <c r="Q43" s="75">
        <f>IFERROR(_xlfn.XLOOKUP(Table4[[#This Row],[Subnummer]],Table3[Sub],#REF!),0)</f>
        <v>0</v>
      </c>
      <c r="R43" s="75">
        <f>IFERROR(_xlfn.XLOOKUP(Table4[[#This Row],[Subnummer]],Table3[Sub],#REF!),0)</f>
        <v>0</v>
      </c>
      <c r="S43" s="75">
        <f>IFERROR(_xlfn.XLOOKUP(Table4[[#This Row],[Subnummer]],Table3[Sub],#REF!),0)</f>
        <v>0</v>
      </c>
      <c r="T43" s="75">
        <f>IFERROR(_xlfn.XLOOKUP(Table4[[#This Row],[Subnummer]],Table3[Sub],#REF!),0)</f>
        <v>0</v>
      </c>
      <c r="U43" s="75">
        <f>IFERROR(_xlfn.XLOOKUP(Table4[[#This Row],[Subnummer]],Table3[Sub],#REF!),0)</f>
        <v>0</v>
      </c>
      <c r="V43" s="75">
        <f>IFERROR(_xlfn.XLOOKUP(Table4[[#This Row],[Subnummer]],Table3[Sub],#REF!),0)</f>
        <v>0</v>
      </c>
      <c r="W43" s="75">
        <f>IFERROR(_xlfn.XLOOKUP(Table4[[#This Row],[Subnummer]],Table3[Sub],#REF!),0)</f>
        <v>0</v>
      </c>
      <c r="X43" s="75">
        <f>IFERROR(_xlfn.XLOOKUP(Table4[[#This Row],[Subnummer]],Table3[Sub],#REF!),0)</f>
        <v>0</v>
      </c>
      <c r="Y43" s="75">
        <f>IFERROR(_xlfn.XLOOKUP(Table4[[#This Row],[Subnummer]],Table3[Sub],#REF!),0)</f>
        <v>0</v>
      </c>
      <c r="Z43" s="76">
        <f t="shared" si="12"/>
        <v>0</v>
      </c>
      <c r="AA43" s="76">
        <f t="shared" si="13"/>
        <v>0</v>
      </c>
      <c r="AB43" s="76">
        <f t="shared" si="14"/>
        <v>0</v>
      </c>
      <c r="AC43" s="76">
        <f t="shared" si="15"/>
        <v>0</v>
      </c>
      <c r="AD43" s="76">
        <f t="shared" si="16"/>
        <v>0</v>
      </c>
      <c r="AE43" s="76">
        <f t="shared" si="17"/>
        <v>0</v>
      </c>
      <c r="AF43" s="76">
        <f t="shared" si="18"/>
        <v>0</v>
      </c>
      <c r="AG43" s="76">
        <f t="shared" si="19"/>
        <v>0</v>
      </c>
      <c r="AH43" s="76">
        <f t="shared" si="20"/>
        <v>0</v>
      </c>
      <c r="AI43" s="76">
        <f t="shared" si="21"/>
        <v>0</v>
      </c>
      <c r="AJ43" s="70">
        <f t="shared" si="11"/>
        <v>0</v>
      </c>
      <c r="AK43" s="16" t="str" cm="1">
        <f t="array" ref="AK43">_xlfn.IFS(AJ43=0,"Nihil",AJ43&gt;0,"Suppletie",AJ43&lt;0,"Restitutie")</f>
        <v>Nihil</v>
      </c>
    </row>
    <row r="44" spans="1:37" x14ac:dyDescent="0.3">
      <c r="A44" s="16" t="str">
        <f>IFERROR(_xlfn.XLOOKUP(E44,Table3[Sub],Table3[Verzekerde]),"-")</f>
        <v>-</v>
      </c>
      <c r="C44" s="69" t="str">
        <f>IFERROR(_xlfn.XLOOKUP(Table4[[#This Row],[Subnummer]],Table3[Sub],Table3[Certificaat]),"-")</f>
        <v>-</v>
      </c>
      <c r="D44" s="16" t="str">
        <f>IFERROR(_xlfn.XLOOKUP(E44,Specificatie!C$9:C$291,Specificatie!Q$9:Q$291),"")</f>
        <v/>
      </c>
      <c r="E44" s="103">
        <v>0</v>
      </c>
      <c r="F44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44" s="70">
        <v>0</v>
      </c>
      <c r="H44" s="71">
        <f>Table4[[#This Row],[Nieuwe waarde]]-Table4[[#This Row],[Oude waarde]]</f>
        <v>0</v>
      </c>
      <c r="I44" s="72">
        <v>46266</v>
      </c>
      <c r="J44" s="72">
        <v>46388</v>
      </c>
      <c r="K44" s="16">
        <f>Table4[[#This Row],[Vervaldatum]]-Table4[[#This Row],[Mutatiedatum]]</f>
        <v>122</v>
      </c>
      <c r="L44" s="16">
        <v>366</v>
      </c>
      <c r="M44" s="16" t="s">
        <v>86</v>
      </c>
      <c r="N44" s="107" t="s">
        <v>87</v>
      </c>
      <c r="O44" s="73" cm="1">
        <f t="array" ref="O44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44" s="75">
        <f>IFERROR(_xlfn.XLOOKUP(Table4[[#This Row],[Subnummer]],Table3[Sub],#REF!),0)</f>
        <v>0</v>
      </c>
      <c r="Q44" s="75">
        <f>IFERROR(_xlfn.XLOOKUP(Table4[[#This Row],[Subnummer]],Table3[Sub],#REF!),0)</f>
        <v>0</v>
      </c>
      <c r="R44" s="75">
        <f>IFERROR(_xlfn.XLOOKUP(Table4[[#This Row],[Subnummer]],Table3[Sub],#REF!),0)</f>
        <v>0</v>
      </c>
      <c r="S44" s="75">
        <f>IFERROR(_xlfn.XLOOKUP(Table4[[#This Row],[Subnummer]],Table3[Sub],#REF!),0)</f>
        <v>0</v>
      </c>
      <c r="T44" s="75">
        <f>IFERROR(_xlfn.XLOOKUP(Table4[[#This Row],[Subnummer]],Table3[Sub],#REF!),0)</f>
        <v>0</v>
      </c>
      <c r="U44" s="75">
        <f>IFERROR(_xlfn.XLOOKUP(Table4[[#This Row],[Subnummer]],Table3[Sub],#REF!),0)</f>
        <v>0</v>
      </c>
      <c r="V44" s="75">
        <f>IFERROR(_xlfn.XLOOKUP(Table4[[#This Row],[Subnummer]],Table3[Sub],#REF!),0)</f>
        <v>0</v>
      </c>
      <c r="W44" s="75">
        <f>IFERROR(_xlfn.XLOOKUP(Table4[[#This Row],[Subnummer]],Table3[Sub],#REF!),0)</f>
        <v>0</v>
      </c>
      <c r="X44" s="75">
        <f>IFERROR(_xlfn.XLOOKUP(Table4[[#This Row],[Subnummer]],Table3[Sub],#REF!),0)</f>
        <v>0</v>
      </c>
      <c r="Y44" s="75">
        <f>IFERROR(_xlfn.XLOOKUP(Table4[[#This Row],[Subnummer]],Table3[Sub],#REF!),0)</f>
        <v>0</v>
      </c>
      <c r="Z44" s="76">
        <f t="shared" si="12"/>
        <v>0</v>
      </c>
      <c r="AA44" s="76">
        <f t="shared" si="13"/>
        <v>0</v>
      </c>
      <c r="AB44" s="76">
        <f t="shared" si="14"/>
        <v>0</v>
      </c>
      <c r="AC44" s="76">
        <f t="shared" si="15"/>
        <v>0</v>
      </c>
      <c r="AD44" s="76">
        <f t="shared" si="16"/>
        <v>0</v>
      </c>
      <c r="AE44" s="76">
        <f t="shared" si="17"/>
        <v>0</v>
      </c>
      <c r="AF44" s="76">
        <f t="shared" si="18"/>
        <v>0</v>
      </c>
      <c r="AG44" s="76">
        <f t="shared" si="19"/>
        <v>0</v>
      </c>
      <c r="AH44" s="76">
        <f t="shared" si="20"/>
        <v>0</v>
      </c>
      <c r="AI44" s="76">
        <f t="shared" si="21"/>
        <v>0</v>
      </c>
      <c r="AJ44" s="70">
        <f t="shared" si="11"/>
        <v>0</v>
      </c>
      <c r="AK44" s="16" t="str" cm="1">
        <f t="array" ref="AK44">_xlfn.IFS(AJ44=0,"Nihil",AJ44&gt;0,"Suppletie",AJ44&lt;0,"Restitutie")</f>
        <v>Nihil</v>
      </c>
    </row>
    <row r="45" spans="1:37" x14ac:dyDescent="0.3">
      <c r="A45" s="16" t="str">
        <f>IFERROR(_xlfn.XLOOKUP(E45,Table3[Sub],Table3[Verzekerde]),"-")</f>
        <v>-</v>
      </c>
      <c r="C45" s="69" t="str">
        <f>IFERROR(_xlfn.XLOOKUP(Table4[[#This Row],[Subnummer]],Table3[Sub],Table3[Certificaat]),"-")</f>
        <v>-</v>
      </c>
      <c r="D45" s="16" t="str">
        <f>IFERROR(_xlfn.XLOOKUP(E45,Specificatie!C$9:C$291,Specificatie!Q$9:Q$291),"")</f>
        <v/>
      </c>
      <c r="E45" s="103">
        <v>0</v>
      </c>
      <c r="F45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45" s="70">
        <v>0</v>
      </c>
      <c r="H45" s="71">
        <f>Table4[[#This Row],[Nieuwe waarde]]-Table4[[#This Row],[Oude waarde]]</f>
        <v>0</v>
      </c>
      <c r="I45" s="72">
        <v>46266</v>
      </c>
      <c r="J45" s="72">
        <v>46388</v>
      </c>
      <c r="K45" s="16">
        <f>Table4[[#This Row],[Vervaldatum]]-Table4[[#This Row],[Mutatiedatum]]</f>
        <v>122</v>
      </c>
      <c r="L45" s="16">
        <v>366</v>
      </c>
      <c r="M45" s="16" t="s">
        <v>86</v>
      </c>
      <c r="N45" s="107" t="s">
        <v>87</v>
      </c>
      <c r="O45" s="73" cm="1">
        <f t="array" ref="O45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45" s="75">
        <f>IFERROR(_xlfn.XLOOKUP(Table4[[#This Row],[Subnummer]],Table3[Sub],#REF!),0)</f>
        <v>0</v>
      </c>
      <c r="Q45" s="75">
        <f>IFERROR(_xlfn.XLOOKUP(Table4[[#This Row],[Subnummer]],Table3[Sub],#REF!),0)</f>
        <v>0</v>
      </c>
      <c r="R45" s="75">
        <f>IFERROR(_xlfn.XLOOKUP(Table4[[#This Row],[Subnummer]],Table3[Sub],#REF!),0)</f>
        <v>0</v>
      </c>
      <c r="S45" s="75">
        <f>IFERROR(_xlfn.XLOOKUP(Table4[[#This Row],[Subnummer]],Table3[Sub],#REF!),0)</f>
        <v>0</v>
      </c>
      <c r="T45" s="75">
        <f>IFERROR(_xlfn.XLOOKUP(Table4[[#This Row],[Subnummer]],Table3[Sub],#REF!),0)</f>
        <v>0</v>
      </c>
      <c r="U45" s="75">
        <f>IFERROR(_xlfn.XLOOKUP(Table4[[#This Row],[Subnummer]],Table3[Sub],#REF!),0)</f>
        <v>0</v>
      </c>
      <c r="V45" s="75">
        <f>IFERROR(_xlfn.XLOOKUP(Table4[[#This Row],[Subnummer]],Table3[Sub],#REF!),0)</f>
        <v>0</v>
      </c>
      <c r="W45" s="75">
        <f>IFERROR(_xlfn.XLOOKUP(Table4[[#This Row],[Subnummer]],Table3[Sub],#REF!),0)</f>
        <v>0</v>
      </c>
      <c r="X45" s="75">
        <f>IFERROR(_xlfn.XLOOKUP(Table4[[#This Row],[Subnummer]],Table3[Sub],#REF!),0)</f>
        <v>0</v>
      </c>
      <c r="Y45" s="75">
        <f>IFERROR(_xlfn.XLOOKUP(Table4[[#This Row],[Subnummer]],Table3[Sub],#REF!),0)</f>
        <v>0</v>
      </c>
      <c r="Z45" s="76">
        <f t="shared" si="12"/>
        <v>0</v>
      </c>
      <c r="AA45" s="76">
        <f t="shared" si="13"/>
        <v>0</v>
      </c>
      <c r="AB45" s="76">
        <f t="shared" si="14"/>
        <v>0</v>
      </c>
      <c r="AC45" s="76">
        <f t="shared" si="15"/>
        <v>0</v>
      </c>
      <c r="AD45" s="76">
        <f t="shared" si="16"/>
        <v>0</v>
      </c>
      <c r="AE45" s="76">
        <f t="shared" si="17"/>
        <v>0</v>
      </c>
      <c r="AF45" s="76">
        <f t="shared" si="18"/>
        <v>0</v>
      </c>
      <c r="AG45" s="76">
        <f t="shared" si="19"/>
        <v>0</v>
      </c>
      <c r="AH45" s="76">
        <f t="shared" si="20"/>
        <v>0</v>
      </c>
      <c r="AI45" s="76">
        <f t="shared" si="21"/>
        <v>0</v>
      </c>
      <c r="AJ45" s="70">
        <f t="shared" si="11"/>
        <v>0</v>
      </c>
      <c r="AK45" s="16" t="str" cm="1">
        <f t="array" ref="AK45">_xlfn.IFS(AJ45=0,"Nihil",AJ45&gt;0,"Suppletie",AJ45&lt;0,"Restitutie")</f>
        <v>Nihil</v>
      </c>
    </row>
    <row r="46" spans="1:37" x14ac:dyDescent="0.3">
      <c r="A46" s="16" t="str">
        <f>IFERROR(_xlfn.XLOOKUP(E46,Table3[Sub],Table3[Verzekerde]),"-")</f>
        <v>-</v>
      </c>
      <c r="C46" s="69" t="str">
        <f>IFERROR(_xlfn.XLOOKUP(Table4[[#This Row],[Subnummer]],Table3[Sub],Table3[Certificaat]),"-")</f>
        <v>-</v>
      </c>
      <c r="D46" s="16" t="str">
        <f>IFERROR(_xlfn.XLOOKUP(E46,Specificatie!C$9:C$291,Specificatie!Q$9:Q$291),"")</f>
        <v/>
      </c>
      <c r="E46" s="103">
        <v>0</v>
      </c>
      <c r="F46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46" s="70">
        <v>0</v>
      </c>
      <c r="H46" s="71">
        <f>Table4[[#This Row],[Nieuwe waarde]]-Table4[[#This Row],[Oude waarde]]</f>
        <v>0</v>
      </c>
      <c r="I46" s="72">
        <v>46266</v>
      </c>
      <c r="J46" s="72">
        <v>46388</v>
      </c>
      <c r="K46" s="16">
        <f>Table4[[#This Row],[Vervaldatum]]-Table4[[#This Row],[Mutatiedatum]]</f>
        <v>122</v>
      </c>
      <c r="L46" s="16">
        <v>366</v>
      </c>
      <c r="M46" s="16" t="s">
        <v>86</v>
      </c>
      <c r="N46" s="107" t="s">
        <v>87</v>
      </c>
      <c r="O46" s="73" cm="1">
        <f t="array" ref="O46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46" s="75">
        <f>IFERROR(_xlfn.XLOOKUP(Table4[[#This Row],[Subnummer]],Table3[Sub],#REF!),0)</f>
        <v>0</v>
      </c>
      <c r="Q46" s="75">
        <f>IFERROR(_xlfn.XLOOKUP(Table4[[#This Row],[Subnummer]],Table3[Sub],#REF!),0)</f>
        <v>0</v>
      </c>
      <c r="R46" s="75">
        <f>IFERROR(_xlfn.XLOOKUP(Table4[[#This Row],[Subnummer]],Table3[Sub],#REF!),0)</f>
        <v>0</v>
      </c>
      <c r="S46" s="75">
        <f>IFERROR(_xlfn.XLOOKUP(Table4[[#This Row],[Subnummer]],Table3[Sub],#REF!),0)</f>
        <v>0</v>
      </c>
      <c r="T46" s="75">
        <f>IFERROR(_xlfn.XLOOKUP(Table4[[#This Row],[Subnummer]],Table3[Sub],#REF!),0)</f>
        <v>0</v>
      </c>
      <c r="U46" s="75">
        <f>IFERROR(_xlfn.XLOOKUP(Table4[[#This Row],[Subnummer]],Table3[Sub],#REF!),0)</f>
        <v>0</v>
      </c>
      <c r="V46" s="75">
        <f>IFERROR(_xlfn.XLOOKUP(Table4[[#This Row],[Subnummer]],Table3[Sub],#REF!),0)</f>
        <v>0</v>
      </c>
      <c r="W46" s="75">
        <f>IFERROR(_xlfn.XLOOKUP(Table4[[#This Row],[Subnummer]],Table3[Sub],#REF!),0)</f>
        <v>0</v>
      </c>
      <c r="X46" s="75">
        <f>IFERROR(_xlfn.XLOOKUP(Table4[[#This Row],[Subnummer]],Table3[Sub],#REF!),0)</f>
        <v>0</v>
      </c>
      <c r="Y46" s="75">
        <f>IFERROR(_xlfn.XLOOKUP(Table4[[#This Row],[Subnummer]],Table3[Sub],#REF!),0)</f>
        <v>0</v>
      </c>
      <c r="Z46" s="76">
        <f t="shared" si="12"/>
        <v>0</v>
      </c>
      <c r="AA46" s="76">
        <f t="shared" si="13"/>
        <v>0</v>
      </c>
      <c r="AB46" s="76">
        <f t="shared" si="14"/>
        <v>0</v>
      </c>
      <c r="AC46" s="76">
        <f t="shared" si="15"/>
        <v>0</v>
      </c>
      <c r="AD46" s="76">
        <f t="shared" si="16"/>
        <v>0</v>
      </c>
      <c r="AE46" s="76">
        <f t="shared" si="17"/>
        <v>0</v>
      </c>
      <c r="AF46" s="76">
        <f t="shared" si="18"/>
        <v>0</v>
      </c>
      <c r="AG46" s="76">
        <f t="shared" si="19"/>
        <v>0</v>
      </c>
      <c r="AH46" s="76">
        <f t="shared" si="20"/>
        <v>0</v>
      </c>
      <c r="AI46" s="76">
        <f t="shared" si="21"/>
        <v>0</v>
      </c>
      <c r="AJ46" s="70">
        <f t="shared" si="11"/>
        <v>0</v>
      </c>
      <c r="AK46" s="16" t="str" cm="1">
        <f t="array" ref="AK46">_xlfn.IFS(AJ46=0,"Nihil",AJ46&gt;0,"Suppletie",AJ46&lt;0,"Restitutie")</f>
        <v>Nihil</v>
      </c>
    </row>
    <row r="47" spans="1:37" x14ac:dyDescent="0.3">
      <c r="A47" s="16" t="str">
        <f>IFERROR(_xlfn.XLOOKUP(E47,Table3[Sub],Table3[Verzekerde]),"-")</f>
        <v>-</v>
      </c>
      <c r="C47" s="69" t="str">
        <f>IFERROR(_xlfn.XLOOKUP(Table4[[#This Row],[Subnummer]],Table3[Sub],Table3[Certificaat]),"-")</f>
        <v>-</v>
      </c>
      <c r="D47" s="16" t="str">
        <f>IFERROR(_xlfn.XLOOKUP(E47,Specificatie!C$9:C$291,Specificatie!Q$9:Q$291),"")</f>
        <v/>
      </c>
      <c r="E47" s="103">
        <v>0</v>
      </c>
      <c r="F47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47" s="70">
        <v>0</v>
      </c>
      <c r="H47" s="71">
        <f>Table4[[#This Row],[Nieuwe waarde]]-Table4[[#This Row],[Oude waarde]]</f>
        <v>0</v>
      </c>
      <c r="I47" s="72">
        <v>46266</v>
      </c>
      <c r="J47" s="72">
        <v>46388</v>
      </c>
      <c r="K47" s="16">
        <f>Table4[[#This Row],[Vervaldatum]]-Table4[[#This Row],[Mutatiedatum]]</f>
        <v>122</v>
      </c>
      <c r="L47" s="16">
        <v>366</v>
      </c>
      <c r="M47" s="16" t="s">
        <v>86</v>
      </c>
      <c r="N47" s="107" t="s">
        <v>87</v>
      </c>
      <c r="O47" s="73" cm="1">
        <f t="array" ref="O47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47" s="75">
        <f>IFERROR(_xlfn.XLOOKUP(Table4[[#This Row],[Subnummer]],Table3[Sub],#REF!),0)</f>
        <v>0</v>
      </c>
      <c r="Q47" s="75">
        <f>IFERROR(_xlfn.XLOOKUP(Table4[[#This Row],[Subnummer]],Table3[Sub],#REF!),0)</f>
        <v>0</v>
      </c>
      <c r="R47" s="75">
        <f>IFERROR(_xlfn.XLOOKUP(Table4[[#This Row],[Subnummer]],Table3[Sub],#REF!),0)</f>
        <v>0</v>
      </c>
      <c r="S47" s="75">
        <f>IFERROR(_xlfn.XLOOKUP(Table4[[#This Row],[Subnummer]],Table3[Sub],#REF!),0)</f>
        <v>0</v>
      </c>
      <c r="T47" s="75">
        <f>IFERROR(_xlfn.XLOOKUP(Table4[[#This Row],[Subnummer]],Table3[Sub],#REF!),0)</f>
        <v>0</v>
      </c>
      <c r="U47" s="75">
        <f>IFERROR(_xlfn.XLOOKUP(Table4[[#This Row],[Subnummer]],Table3[Sub],#REF!),0)</f>
        <v>0</v>
      </c>
      <c r="V47" s="75">
        <f>IFERROR(_xlfn.XLOOKUP(Table4[[#This Row],[Subnummer]],Table3[Sub],#REF!),0)</f>
        <v>0</v>
      </c>
      <c r="W47" s="75">
        <f>IFERROR(_xlfn.XLOOKUP(Table4[[#This Row],[Subnummer]],Table3[Sub],#REF!),0)</f>
        <v>0</v>
      </c>
      <c r="X47" s="75">
        <f>IFERROR(_xlfn.XLOOKUP(Table4[[#This Row],[Subnummer]],Table3[Sub],#REF!),0)</f>
        <v>0</v>
      </c>
      <c r="Y47" s="75">
        <f>IFERROR(_xlfn.XLOOKUP(Table4[[#This Row],[Subnummer]],Table3[Sub],#REF!),0)</f>
        <v>0</v>
      </c>
      <c r="Z47" s="76">
        <f t="shared" si="12"/>
        <v>0</v>
      </c>
      <c r="AA47" s="76">
        <f t="shared" si="13"/>
        <v>0</v>
      </c>
      <c r="AB47" s="76">
        <f t="shared" si="14"/>
        <v>0</v>
      </c>
      <c r="AC47" s="76">
        <f t="shared" si="15"/>
        <v>0</v>
      </c>
      <c r="AD47" s="76">
        <f t="shared" si="16"/>
        <v>0</v>
      </c>
      <c r="AE47" s="76">
        <f t="shared" si="17"/>
        <v>0</v>
      </c>
      <c r="AF47" s="76">
        <f t="shared" si="18"/>
        <v>0</v>
      </c>
      <c r="AG47" s="76">
        <f t="shared" si="19"/>
        <v>0</v>
      </c>
      <c r="AH47" s="76">
        <f t="shared" si="20"/>
        <v>0</v>
      </c>
      <c r="AI47" s="76">
        <f t="shared" si="21"/>
        <v>0</v>
      </c>
      <c r="AJ47" s="70">
        <f t="shared" si="11"/>
        <v>0</v>
      </c>
      <c r="AK47" s="16" t="str" cm="1">
        <f t="array" ref="AK47">_xlfn.IFS(AJ47=0,"Nihil",AJ47&gt;0,"Suppletie",AJ47&lt;0,"Restitutie")</f>
        <v>Nihil</v>
      </c>
    </row>
    <row r="48" spans="1:37" x14ac:dyDescent="0.3">
      <c r="A48" s="16" t="str">
        <f>IFERROR(_xlfn.XLOOKUP(E48,Table3[Sub],Table3[Verzekerde]),"-")</f>
        <v>-</v>
      </c>
      <c r="C48" s="69" t="str">
        <f>IFERROR(_xlfn.XLOOKUP(Table4[[#This Row],[Subnummer]],Table3[Sub],Table3[Certificaat]),"-")</f>
        <v>-</v>
      </c>
      <c r="D48" s="16" t="str">
        <f>IFERROR(_xlfn.XLOOKUP(E48,Specificatie!C$9:C$291,Specificatie!Q$9:Q$291),"")</f>
        <v/>
      </c>
      <c r="E48" s="103">
        <v>0</v>
      </c>
      <c r="F48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48" s="70">
        <v>0</v>
      </c>
      <c r="H48" s="71">
        <f>Table4[[#This Row],[Nieuwe waarde]]-Table4[[#This Row],[Oude waarde]]</f>
        <v>0</v>
      </c>
      <c r="I48" s="72">
        <v>46266</v>
      </c>
      <c r="J48" s="72">
        <v>46388</v>
      </c>
      <c r="K48" s="16">
        <f>Table4[[#This Row],[Vervaldatum]]-Table4[[#This Row],[Mutatiedatum]]</f>
        <v>122</v>
      </c>
      <c r="L48" s="16">
        <v>366</v>
      </c>
      <c r="M48" s="16" t="s">
        <v>86</v>
      </c>
      <c r="N48" s="107" t="s">
        <v>87</v>
      </c>
      <c r="O48" s="73" cm="1">
        <f t="array" ref="O48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48" s="75">
        <f>IFERROR(_xlfn.XLOOKUP(Table4[[#This Row],[Subnummer]],Table3[Sub],#REF!),0)</f>
        <v>0</v>
      </c>
      <c r="Q48" s="75">
        <f>IFERROR(_xlfn.XLOOKUP(Table4[[#This Row],[Subnummer]],Table3[Sub],#REF!),0)</f>
        <v>0</v>
      </c>
      <c r="R48" s="75">
        <f>IFERROR(_xlfn.XLOOKUP(Table4[[#This Row],[Subnummer]],Table3[Sub],#REF!),0)</f>
        <v>0</v>
      </c>
      <c r="S48" s="75">
        <f>IFERROR(_xlfn.XLOOKUP(Table4[[#This Row],[Subnummer]],Table3[Sub],#REF!),0)</f>
        <v>0</v>
      </c>
      <c r="T48" s="75">
        <f>IFERROR(_xlfn.XLOOKUP(Table4[[#This Row],[Subnummer]],Table3[Sub],#REF!),0)</f>
        <v>0</v>
      </c>
      <c r="U48" s="75">
        <f>IFERROR(_xlfn.XLOOKUP(Table4[[#This Row],[Subnummer]],Table3[Sub],#REF!),0)</f>
        <v>0</v>
      </c>
      <c r="V48" s="75">
        <f>IFERROR(_xlfn.XLOOKUP(Table4[[#This Row],[Subnummer]],Table3[Sub],#REF!),0)</f>
        <v>0</v>
      </c>
      <c r="W48" s="75">
        <f>IFERROR(_xlfn.XLOOKUP(Table4[[#This Row],[Subnummer]],Table3[Sub],#REF!),0)</f>
        <v>0</v>
      </c>
      <c r="X48" s="75">
        <f>IFERROR(_xlfn.XLOOKUP(Table4[[#This Row],[Subnummer]],Table3[Sub],#REF!),0)</f>
        <v>0</v>
      </c>
      <c r="Y48" s="75">
        <f>IFERROR(_xlfn.XLOOKUP(Table4[[#This Row],[Subnummer]],Table3[Sub],#REF!),0)</f>
        <v>0</v>
      </c>
      <c r="Z48" s="76">
        <f t="shared" si="12"/>
        <v>0</v>
      </c>
      <c r="AA48" s="76">
        <f t="shared" si="13"/>
        <v>0</v>
      </c>
      <c r="AB48" s="76">
        <f t="shared" si="14"/>
        <v>0</v>
      </c>
      <c r="AC48" s="76">
        <f t="shared" si="15"/>
        <v>0</v>
      </c>
      <c r="AD48" s="76">
        <f t="shared" si="16"/>
        <v>0</v>
      </c>
      <c r="AE48" s="76">
        <f t="shared" si="17"/>
        <v>0</v>
      </c>
      <c r="AF48" s="76">
        <f t="shared" si="18"/>
        <v>0</v>
      </c>
      <c r="AG48" s="76">
        <f t="shared" si="19"/>
        <v>0</v>
      </c>
      <c r="AH48" s="76">
        <f t="shared" si="20"/>
        <v>0</v>
      </c>
      <c r="AI48" s="76">
        <f t="shared" si="21"/>
        <v>0</v>
      </c>
      <c r="AJ48" s="70">
        <f t="shared" si="11"/>
        <v>0</v>
      </c>
      <c r="AK48" s="16" t="str" cm="1">
        <f t="array" ref="AK48">_xlfn.IFS(AJ48=0,"Nihil",AJ48&gt;0,"Suppletie",AJ48&lt;0,"Restitutie")</f>
        <v>Nihil</v>
      </c>
    </row>
    <row r="49" spans="1:37" x14ac:dyDescent="0.3">
      <c r="A49" s="16" t="str">
        <f>IFERROR(_xlfn.XLOOKUP(E49,Table3[Sub],Table3[Verzekerde]),"-")</f>
        <v>-</v>
      </c>
      <c r="C49" s="69" t="str">
        <f>IFERROR(_xlfn.XLOOKUP(Table4[[#This Row],[Subnummer]],Table3[Sub],Table3[Certificaat]),"-")</f>
        <v>-</v>
      </c>
      <c r="D49" s="16" t="str">
        <f>IFERROR(_xlfn.XLOOKUP(E49,Specificatie!C$9:C$291,Specificatie!Q$9:Q$291),"")</f>
        <v/>
      </c>
      <c r="E49" s="103">
        <v>0</v>
      </c>
      <c r="F49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49" s="70">
        <v>0</v>
      </c>
      <c r="H49" s="71">
        <f>Table4[[#This Row],[Nieuwe waarde]]-Table4[[#This Row],[Oude waarde]]</f>
        <v>0</v>
      </c>
      <c r="I49" s="72">
        <v>46266</v>
      </c>
      <c r="J49" s="72">
        <v>46388</v>
      </c>
      <c r="K49" s="16">
        <f>Table4[[#This Row],[Vervaldatum]]-Table4[[#This Row],[Mutatiedatum]]</f>
        <v>122</v>
      </c>
      <c r="L49" s="16">
        <v>366</v>
      </c>
      <c r="M49" s="16" t="s">
        <v>86</v>
      </c>
      <c r="N49" s="107" t="s">
        <v>87</v>
      </c>
      <c r="O49" s="73" cm="1">
        <f t="array" ref="O49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49" s="75">
        <f>IFERROR(_xlfn.XLOOKUP(Table4[[#This Row],[Subnummer]],Table3[Sub],#REF!),0)</f>
        <v>0</v>
      </c>
      <c r="Q49" s="75">
        <f>IFERROR(_xlfn.XLOOKUP(Table4[[#This Row],[Subnummer]],Table3[Sub],#REF!),0)</f>
        <v>0</v>
      </c>
      <c r="R49" s="75">
        <f>IFERROR(_xlfn.XLOOKUP(Table4[[#This Row],[Subnummer]],Table3[Sub],#REF!),0)</f>
        <v>0</v>
      </c>
      <c r="S49" s="75">
        <f>IFERROR(_xlfn.XLOOKUP(Table4[[#This Row],[Subnummer]],Table3[Sub],#REF!),0)</f>
        <v>0</v>
      </c>
      <c r="T49" s="75">
        <f>IFERROR(_xlfn.XLOOKUP(Table4[[#This Row],[Subnummer]],Table3[Sub],#REF!),0)</f>
        <v>0</v>
      </c>
      <c r="U49" s="75">
        <f>IFERROR(_xlfn.XLOOKUP(Table4[[#This Row],[Subnummer]],Table3[Sub],#REF!),0)</f>
        <v>0</v>
      </c>
      <c r="V49" s="75">
        <f>IFERROR(_xlfn.XLOOKUP(Table4[[#This Row],[Subnummer]],Table3[Sub],#REF!),0)</f>
        <v>0</v>
      </c>
      <c r="W49" s="75">
        <f>IFERROR(_xlfn.XLOOKUP(Table4[[#This Row],[Subnummer]],Table3[Sub],#REF!),0)</f>
        <v>0</v>
      </c>
      <c r="X49" s="75">
        <f>IFERROR(_xlfn.XLOOKUP(Table4[[#This Row],[Subnummer]],Table3[Sub],#REF!),0)</f>
        <v>0</v>
      </c>
      <c r="Y49" s="75">
        <f>IFERROR(_xlfn.XLOOKUP(Table4[[#This Row],[Subnummer]],Table3[Sub],#REF!),0)</f>
        <v>0</v>
      </c>
      <c r="Z49" s="76">
        <f t="shared" si="12"/>
        <v>0</v>
      </c>
      <c r="AA49" s="76">
        <f t="shared" si="13"/>
        <v>0</v>
      </c>
      <c r="AB49" s="76">
        <f t="shared" si="14"/>
        <v>0</v>
      </c>
      <c r="AC49" s="76">
        <f t="shared" si="15"/>
        <v>0</v>
      </c>
      <c r="AD49" s="76">
        <f t="shared" si="16"/>
        <v>0</v>
      </c>
      <c r="AE49" s="76">
        <f t="shared" si="17"/>
        <v>0</v>
      </c>
      <c r="AF49" s="76">
        <f t="shared" si="18"/>
        <v>0</v>
      </c>
      <c r="AG49" s="76">
        <f t="shared" si="19"/>
        <v>0</v>
      </c>
      <c r="AH49" s="76">
        <f t="shared" si="20"/>
        <v>0</v>
      </c>
      <c r="AI49" s="76">
        <f t="shared" si="21"/>
        <v>0</v>
      </c>
      <c r="AJ49" s="70">
        <f t="shared" si="11"/>
        <v>0</v>
      </c>
      <c r="AK49" s="16" t="str" cm="1">
        <f t="array" ref="AK49">_xlfn.IFS(AJ49=0,"Nihil",AJ49&gt;0,"Suppletie",AJ49&lt;0,"Restitutie")</f>
        <v>Nihil</v>
      </c>
    </row>
    <row r="50" spans="1:37" x14ac:dyDescent="0.3">
      <c r="A50" s="16" t="str">
        <f>IFERROR(_xlfn.XLOOKUP(E50,Table3[Sub],Table3[Verzekerde]),"-")</f>
        <v>-</v>
      </c>
      <c r="C50" s="69" t="str">
        <f>IFERROR(_xlfn.XLOOKUP(Table4[[#This Row],[Subnummer]],Table3[Sub],Table3[Certificaat]),"-")</f>
        <v>-</v>
      </c>
      <c r="D50" s="16" t="str">
        <f>IFERROR(_xlfn.XLOOKUP(E50,Specificatie!C$9:C$291,Specificatie!Q$9:Q$291),"")</f>
        <v/>
      </c>
      <c r="E50" s="103">
        <v>0</v>
      </c>
      <c r="F50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50" s="70">
        <v>0</v>
      </c>
      <c r="H50" s="71">
        <f>Table4[[#This Row],[Nieuwe waarde]]-Table4[[#This Row],[Oude waarde]]</f>
        <v>0</v>
      </c>
      <c r="I50" s="72">
        <v>46266</v>
      </c>
      <c r="J50" s="72">
        <v>46388</v>
      </c>
      <c r="K50" s="16">
        <f>Table4[[#This Row],[Vervaldatum]]-Table4[[#This Row],[Mutatiedatum]]</f>
        <v>122</v>
      </c>
      <c r="L50" s="16">
        <v>366</v>
      </c>
      <c r="M50" s="16" t="s">
        <v>86</v>
      </c>
      <c r="N50" s="107" t="s">
        <v>87</v>
      </c>
      <c r="O50" s="73" cm="1">
        <f t="array" ref="O50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50" s="75">
        <f>IFERROR(_xlfn.XLOOKUP(Table4[[#This Row],[Subnummer]],Table3[Sub],#REF!),0)</f>
        <v>0</v>
      </c>
      <c r="Q50" s="75">
        <f>IFERROR(_xlfn.XLOOKUP(Table4[[#This Row],[Subnummer]],Table3[Sub],#REF!),0)</f>
        <v>0</v>
      </c>
      <c r="R50" s="75">
        <f>IFERROR(_xlfn.XLOOKUP(Table4[[#This Row],[Subnummer]],Table3[Sub],#REF!),0)</f>
        <v>0</v>
      </c>
      <c r="S50" s="75">
        <f>IFERROR(_xlfn.XLOOKUP(Table4[[#This Row],[Subnummer]],Table3[Sub],#REF!),0)</f>
        <v>0</v>
      </c>
      <c r="T50" s="75">
        <f>IFERROR(_xlfn.XLOOKUP(Table4[[#This Row],[Subnummer]],Table3[Sub],#REF!),0)</f>
        <v>0</v>
      </c>
      <c r="U50" s="75">
        <f>IFERROR(_xlfn.XLOOKUP(Table4[[#This Row],[Subnummer]],Table3[Sub],#REF!),0)</f>
        <v>0</v>
      </c>
      <c r="V50" s="75">
        <f>IFERROR(_xlfn.XLOOKUP(Table4[[#This Row],[Subnummer]],Table3[Sub],#REF!),0)</f>
        <v>0</v>
      </c>
      <c r="W50" s="75">
        <f>IFERROR(_xlfn.XLOOKUP(Table4[[#This Row],[Subnummer]],Table3[Sub],#REF!),0)</f>
        <v>0</v>
      </c>
      <c r="X50" s="75">
        <f>IFERROR(_xlfn.XLOOKUP(Table4[[#This Row],[Subnummer]],Table3[Sub],#REF!),0)</f>
        <v>0</v>
      </c>
      <c r="Y50" s="75">
        <f>IFERROR(_xlfn.XLOOKUP(Table4[[#This Row],[Subnummer]],Table3[Sub],#REF!),0)</f>
        <v>0</v>
      </c>
      <c r="Z50" s="76">
        <f t="shared" si="12"/>
        <v>0</v>
      </c>
      <c r="AA50" s="76">
        <f t="shared" si="13"/>
        <v>0</v>
      </c>
      <c r="AB50" s="76">
        <f t="shared" si="14"/>
        <v>0</v>
      </c>
      <c r="AC50" s="76">
        <f t="shared" si="15"/>
        <v>0</v>
      </c>
      <c r="AD50" s="76">
        <f t="shared" si="16"/>
        <v>0</v>
      </c>
      <c r="AE50" s="76">
        <f t="shared" si="17"/>
        <v>0</v>
      </c>
      <c r="AF50" s="76">
        <f t="shared" si="18"/>
        <v>0</v>
      </c>
      <c r="AG50" s="76">
        <f t="shared" si="19"/>
        <v>0</v>
      </c>
      <c r="AH50" s="76">
        <f t="shared" si="20"/>
        <v>0</v>
      </c>
      <c r="AI50" s="76">
        <f t="shared" si="21"/>
        <v>0</v>
      </c>
      <c r="AJ50" s="70">
        <f t="shared" si="11"/>
        <v>0</v>
      </c>
      <c r="AK50" s="16" t="str" cm="1">
        <f t="array" ref="AK50">_xlfn.IFS(AJ50=0,"Nihil",AJ50&gt;0,"Suppletie",AJ50&lt;0,"Restitutie")</f>
        <v>Nihil</v>
      </c>
    </row>
    <row r="51" spans="1:37" x14ac:dyDescent="0.3">
      <c r="A51" s="16" t="str">
        <f>IFERROR(_xlfn.XLOOKUP(E51,Table3[Sub],Table3[Verzekerde]),"-")</f>
        <v>-</v>
      </c>
      <c r="C51" s="69" t="str">
        <f>IFERROR(_xlfn.XLOOKUP(Table4[[#This Row],[Subnummer]],Table3[Sub],Table3[Certificaat]),"-")</f>
        <v>-</v>
      </c>
      <c r="D51" s="16" t="str">
        <f>IFERROR(_xlfn.XLOOKUP(E51,Specificatie!C$9:C$291,Specificatie!Q$9:Q$291),"")</f>
        <v/>
      </c>
      <c r="E51" s="103">
        <v>0</v>
      </c>
      <c r="F51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51" s="70">
        <v>0</v>
      </c>
      <c r="H51" s="71">
        <f>Table4[[#This Row],[Nieuwe waarde]]-Table4[[#This Row],[Oude waarde]]</f>
        <v>0</v>
      </c>
      <c r="I51" s="72">
        <v>46266</v>
      </c>
      <c r="J51" s="72">
        <v>46388</v>
      </c>
      <c r="K51" s="16">
        <f>Table4[[#This Row],[Vervaldatum]]-Table4[[#This Row],[Mutatiedatum]]</f>
        <v>122</v>
      </c>
      <c r="L51" s="16">
        <v>366</v>
      </c>
      <c r="M51" s="16" t="s">
        <v>86</v>
      </c>
      <c r="N51" s="107" t="s">
        <v>87</v>
      </c>
      <c r="O51" s="73" cm="1">
        <f t="array" ref="O51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51" s="75">
        <f>IFERROR(_xlfn.XLOOKUP(Table4[[#This Row],[Subnummer]],Table3[Sub],#REF!),0)</f>
        <v>0</v>
      </c>
      <c r="Q51" s="75">
        <f>IFERROR(_xlfn.XLOOKUP(Table4[[#This Row],[Subnummer]],Table3[Sub],#REF!),0)</f>
        <v>0</v>
      </c>
      <c r="R51" s="75">
        <f>IFERROR(_xlfn.XLOOKUP(Table4[[#This Row],[Subnummer]],Table3[Sub],#REF!),0)</f>
        <v>0</v>
      </c>
      <c r="S51" s="75">
        <f>IFERROR(_xlfn.XLOOKUP(Table4[[#This Row],[Subnummer]],Table3[Sub],#REF!),0)</f>
        <v>0</v>
      </c>
      <c r="T51" s="75">
        <f>IFERROR(_xlfn.XLOOKUP(Table4[[#This Row],[Subnummer]],Table3[Sub],#REF!),0)</f>
        <v>0</v>
      </c>
      <c r="U51" s="75">
        <f>IFERROR(_xlfn.XLOOKUP(Table4[[#This Row],[Subnummer]],Table3[Sub],#REF!),0)</f>
        <v>0</v>
      </c>
      <c r="V51" s="75">
        <f>IFERROR(_xlfn.XLOOKUP(Table4[[#This Row],[Subnummer]],Table3[Sub],#REF!),0)</f>
        <v>0</v>
      </c>
      <c r="W51" s="75">
        <f>IFERROR(_xlfn.XLOOKUP(Table4[[#This Row],[Subnummer]],Table3[Sub],#REF!),0)</f>
        <v>0</v>
      </c>
      <c r="X51" s="75">
        <f>IFERROR(_xlfn.XLOOKUP(Table4[[#This Row],[Subnummer]],Table3[Sub],#REF!),0)</f>
        <v>0</v>
      </c>
      <c r="Y51" s="75">
        <f>IFERROR(_xlfn.XLOOKUP(Table4[[#This Row],[Subnummer]],Table3[Sub],#REF!),0)</f>
        <v>0</v>
      </c>
      <c r="Z51" s="76">
        <f t="shared" si="12"/>
        <v>0</v>
      </c>
      <c r="AA51" s="76">
        <f t="shared" si="13"/>
        <v>0</v>
      </c>
      <c r="AB51" s="76">
        <f t="shared" si="14"/>
        <v>0</v>
      </c>
      <c r="AC51" s="76">
        <f t="shared" si="15"/>
        <v>0</v>
      </c>
      <c r="AD51" s="76">
        <f t="shared" si="16"/>
        <v>0</v>
      </c>
      <c r="AE51" s="76">
        <f t="shared" si="17"/>
        <v>0</v>
      </c>
      <c r="AF51" s="76">
        <f t="shared" si="18"/>
        <v>0</v>
      </c>
      <c r="AG51" s="76">
        <f t="shared" si="19"/>
        <v>0</v>
      </c>
      <c r="AH51" s="76">
        <f t="shared" si="20"/>
        <v>0</v>
      </c>
      <c r="AI51" s="76">
        <f t="shared" si="21"/>
        <v>0</v>
      </c>
      <c r="AJ51" s="70">
        <f t="shared" si="11"/>
        <v>0</v>
      </c>
      <c r="AK51" s="16" t="str" cm="1">
        <f t="array" ref="AK51">_xlfn.IFS(AJ51=0,"Nihil",AJ51&gt;0,"Suppletie",AJ51&lt;0,"Restitutie")</f>
        <v>Nihil</v>
      </c>
    </row>
    <row r="52" spans="1:37" x14ac:dyDescent="0.3">
      <c r="A52" s="16" t="str">
        <f>IFERROR(_xlfn.XLOOKUP(E52,Table3[Sub],Table3[Verzekerde]),"-")</f>
        <v>-</v>
      </c>
      <c r="C52" s="69" t="str">
        <f>IFERROR(_xlfn.XLOOKUP(Table4[[#This Row],[Subnummer]],Table3[Sub],Table3[Certificaat]),"-")</f>
        <v>-</v>
      </c>
      <c r="D52" s="16" t="str">
        <f>IFERROR(_xlfn.XLOOKUP(E52,Specificatie!C$9:C$291,Specificatie!Q$9:Q$291),"")</f>
        <v/>
      </c>
      <c r="E52" s="103">
        <v>0</v>
      </c>
      <c r="F52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52" s="70">
        <v>0</v>
      </c>
      <c r="H52" s="71">
        <f>Table4[[#This Row],[Nieuwe waarde]]-Table4[[#This Row],[Oude waarde]]</f>
        <v>0</v>
      </c>
      <c r="I52" s="72">
        <v>46266</v>
      </c>
      <c r="J52" s="72">
        <v>46388</v>
      </c>
      <c r="K52" s="16">
        <f>Table4[[#This Row],[Vervaldatum]]-Table4[[#This Row],[Mutatiedatum]]</f>
        <v>122</v>
      </c>
      <c r="L52" s="16">
        <v>366</v>
      </c>
      <c r="M52" s="16" t="s">
        <v>86</v>
      </c>
      <c r="N52" s="107" t="s">
        <v>87</v>
      </c>
      <c r="O52" s="73" cm="1">
        <f t="array" ref="O52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52" s="75">
        <f>IFERROR(_xlfn.XLOOKUP(Table4[[#This Row],[Subnummer]],Table3[Sub],#REF!),0)</f>
        <v>0</v>
      </c>
      <c r="Q52" s="75">
        <f>IFERROR(_xlfn.XLOOKUP(Table4[[#This Row],[Subnummer]],Table3[Sub],#REF!),0)</f>
        <v>0</v>
      </c>
      <c r="R52" s="75">
        <f>IFERROR(_xlfn.XLOOKUP(Table4[[#This Row],[Subnummer]],Table3[Sub],#REF!),0)</f>
        <v>0</v>
      </c>
      <c r="S52" s="75">
        <f>IFERROR(_xlfn.XLOOKUP(Table4[[#This Row],[Subnummer]],Table3[Sub],#REF!),0)</f>
        <v>0</v>
      </c>
      <c r="T52" s="75">
        <f>IFERROR(_xlfn.XLOOKUP(Table4[[#This Row],[Subnummer]],Table3[Sub],#REF!),0)</f>
        <v>0</v>
      </c>
      <c r="U52" s="75">
        <f>IFERROR(_xlfn.XLOOKUP(Table4[[#This Row],[Subnummer]],Table3[Sub],#REF!),0)</f>
        <v>0</v>
      </c>
      <c r="V52" s="75">
        <f>IFERROR(_xlfn.XLOOKUP(Table4[[#This Row],[Subnummer]],Table3[Sub],#REF!),0)</f>
        <v>0</v>
      </c>
      <c r="W52" s="75">
        <f>IFERROR(_xlfn.XLOOKUP(Table4[[#This Row],[Subnummer]],Table3[Sub],#REF!),0)</f>
        <v>0</v>
      </c>
      <c r="X52" s="75">
        <f>IFERROR(_xlfn.XLOOKUP(Table4[[#This Row],[Subnummer]],Table3[Sub],#REF!),0)</f>
        <v>0</v>
      </c>
      <c r="Y52" s="75">
        <f>IFERROR(_xlfn.XLOOKUP(Table4[[#This Row],[Subnummer]],Table3[Sub],#REF!),0)</f>
        <v>0</v>
      </c>
      <c r="Z52" s="76">
        <f t="shared" si="12"/>
        <v>0</v>
      </c>
      <c r="AA52" s="76">
        <f t="shared" si="13"/>
        <v>0</v>
      </c>
      <c r="AB52" s="76">
        <f t="shared" si="14"/>
        <v>0</v>
      </c>
      <c r="AC52" s="76">
        <f t="shared" si="15"/>
        <v>0</v>
      </c>
      <c r="AD52" s="76">
        <f t="shared" si="16"/>
        <v>0</v>
      </c>
      <c r="AE52" s="76">
        <f t="shared" si="17"/>
        <v>0</v>
      </c>
      <c r="AF52" s="76">
        <f t="shared" si="18"/>
        <v>0</v>
      </c>
      <c r="AG52" s="76">
        <f t="shared" si="19"/>
        <v>0</v>
      </c>
      <c r="AH52" s="76">
        <f t="shared" si="20"/>
        <v>0</v>
      </c>
      <c r="AI52" s="76">
        <f t="shared" si="21"/>
        <v>0</v>
      </c>
      <c r="AJ52" s="70">
        <f t="shared" si="11"/>
        <v>0</v>
      </c>
      <c r="AK52" s="16" t="str" cm="1">
        <f t="array" ref="AK52">_xlfn.IFS(AJ52=0,"Nihil",AJ52&gt;0,"Suppletie",AJ52&lt;0,"Restitutie")</f>
        <v>Nihil</v>
      </c>
    </row>
    <row r="53" spans="1:37" x14ac:dyDescent="0.3">
      <c r="A53" s="16" t="str">
        <f>IFERROR(_xlfn.XLOOKUP(E53,Table3[Sub],Table3[Verzekerde]),"-")</f>
        <v>-</v>
      </c>
      <c r="C53" s="69" t="str">
        <f>IFERROR(_xlfn.XLOOKUP(Table4[[#This Row],[Subnummer]],Table3[Sub],Table3[Certificaat]),"-")</f>
        <v>-</v>
      </c>
      <c r="D53" s="16" t="str">
        <f>IFERROR(_xlfn.XLOOKUP(E53,Specificatie!C$9:C$291,Specificatie!Q$9:Q$291),"")</f>
        <v/>
      </c>
      <c r="E53" s="103">
        <v>0</v>
      </c>
      <c r="F53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53" s="70">
        <v>0</v>
      </c>
      <c r="H53" s="71">
        <f>Table4[[#This Row],[Nieuwe waarde]]-Table4[[#This Row],[Oude waarde]]</f>
        <v>0</v>
      </c>
      <c r="I53" s="72">
        <v>46266</v>
      </c>
      <c r="J53" s="72">
        <v>46388</v>
      </c>
      <c r="K53" s="16">
        <f>Table4[[#This Row],[Vervaldatum]]-Table4[[#This Row],[Mutatiedatum]]</f>
        <v>122</v>
      </c>
      <c r="L53" s="16">
        <v>366</v>
      </c>
      <c r="M53" s="16" t="s">
        <v>86</v>
      </c>
      <c r="N53" s="107" t="s">
        <v>87</v>
      </c>
      <c r="O53" s="73" cm="1">
        <f t="array" ref="O53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53" s="75">
        <f>IFERROR(_xlfn.XLOOKUP(Table4[[#This Row],[Subnummer]],Table3[Sub],#REF!),0)</f>
        <v>0</v>
      </c>
      <c r="Q53" s="75">
        <f>IFERROR(_xlfn.XLOOKUP(Table4[[#This Row],[Subnummer]],Table3[Sub],#REF!),0)</f>
        <v>0</v>
      </c>
      <c r="R53" s="75">
        <f>IFERROR(_xlfn.XLOOKUP(Table4[[#This Row],[Subnummer]],Table3[Sub],#REF!),0)</f>
        <v>0</v>
      </c>
      <c r="S53" s="75">
        <f>IFERROR(_xlfn.XLOOKUP(Table4[[#This Row],[Subnummer]],Table3[Sub],#REF!),0)</f>
        <v>0</v>
      </c>
      <c r="T53" s="75">
        <f>IFERROR(_xlfn.XLOOKUP(Table4[[#This Row],[Subnummer]],Table3[Sub],#REF!),0)</f>
        <v>0</v>
      </c>
      <c r="U53" s="75">
        <f>IFERROR(_xlfn.XLOOKUP(Table4[[#This Row],[Subnummer]],Table3[Sub],#REF!),0)</f>
        <v>0</v>
      </c>
      <c r="V53" s="75">
        <f>IFERROR(_xlfn.XLOOKUP(Table4[[#This Row],[Subnummer]],Table3[Sub],#REF!),0)</f>
        <v>0</v>
      </c>
      <c r="W53" s="75">
        <f>IFERROR(_xlfn.XLOOKUP(Table4[[#This Row],[Subnummer]],Table3[Sub],#REF!),0)</f>
        <v>0</v>
      </c>
      <c r="X53" s="75">
        <f>IFERROR(_xlfn.XLOOKUP(Table4[[#This Row],[Subnummer]],Table3[Sub],#REF!),0)</f>
        <v>0</v>
      </c>
      <c r="Y53" s="75">
        <f>IFERROR(_xlfn.XLOOKUP(Table4[[#This Row],[Subnummer]],Table3[Sub],#REF!),0)</f>
        <v>0</v>
      </c>
      <c r="Z53" s="76">
        <f t="shared" si="12"/>
        <v>0</v>
      </c>
      <c r="AA53" s="76">
        <f t="shared" si="13"/>
        <v>0</v>
      </c>
      <c r="AB53" s="76">
        <f t="shared" si="14"/>
        <v>0</v>
      </c>
      <c r="AC53" s="76">
        <f t="shared" si="15"/>
        <v>0</v>
      </c>
      <c r="AD53" s="76">
        <f t="shared" si="16"/>
        <v>0</v>
      </c>
      <c r="AE53" s="76">
        <f t="shared" si="17"/>
        <v>0</v>
      </c>
      <c r="AF53" s="76">
        <f t="shared" si="18"/>
        <v>0</v>
      </c>
      <c r="AG53" s="76">
        <f t="shared" si="19"/>
        <v>0</v>
      </c>
      <c r="AH53" s="76">
        <f t="shared" si="20"/>
        <v>0</v>
      </c>
      <c r="AI53" s="76">
        <f t="shared" si="21"/>
        <v>0</v>
      </c>
      <c r="AJ53" s="70">
        <f t="shared" si="11"/>
        <v>0</v>
      </c>
      <c r="AK53" s="16" t="str" cm="1">
        <f t="array" ref="AK53">_xlfn.IFS(AJ53=0,"Nihil",AJ53&gt;0,"Suppletie",AJ53&lt;0,"Restitutie")</f>
        <v>Nihil</v>
      </c>
    </row>
    <row r="54" spans="1:37" x14ac:dyDescent="0.3">
      <c r="A54" s="16" t="str">
        <f>IFERROR(_xlfn.XLOOKUP(E54,Table3[Sub],Table3[Verzekerde]),"-")</f>
        <v>-</v>
      </c>
      <c r="C54" s="69" t="str">
        <f>IFERROR(_xlfn.XLOOKUP(Table4[[#This Row],[Subnummer]],Table3[Sub],Table3[Certificaat]),"-")</f>
        <v>-</v>
      </c>
      <c r="D54" s="16" t="str">
        <f>IFERROR(_xlfn.XLOOKUP(E54,Specificatie!C$9:C$291,Specificatie!Q$9:Q$291),"")</f>
        <v/>
      </c>
      <c r="E54" s="103">
        <v>0</v>
      </c>
      <c r="F54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54" s="70">
        <v>0</v>
      </c>
      <c r="H54" s="71">
        <f>Table4[[#This Row],[Nieuwe waarde]]-Table4[[#This Row],[Oude waarde]]</f>
        <v>0</v>
      </c>
      <c r="I54" s="72">
        <v>46266</v>
      </c>
      <c r="J54" s="72">
        <v>46388</v>
      </c>
      <c r="K54" s="16">
        <f>Table4[[#This Row],[Vervaldatum]]-Table4[[#This Row],[Mutatiedatum]]</f>
        <v>122</v>
      </c>
      <c r="L54" s="16">
        <v>366</v>
      </c>
      <c r="M54" s="16" t="s">
        <v>86</v>
      </c>
      <c r="N54" s="107" t="s">
        <v>87</v>
      </c>
      <c r="O54" s="73" cm="1">
        <f t="array" ref="O54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54" s="75">
        <f>IFERROR(_xlfn.XLOOKUP(Table4[[#This Row],[Subnummer]],Table3[Sub],#REF!),0)</f>
        <v>0</v>
      </c>
      <c r="Q54" s="75">
        <f>IFERROR(_xlfn.XLOOKUP(Table4[[#This Row],[Subnummer]],Table3[Sub],#REF!),0)</f>
        <v>0</v>
      </c>
      <c r="R54" s="75">
        <f>IFERROR(_xlfn.XLOOKUP(Table4[[#This Row],[Subnummer]],Table3[Sub],#REF!),0)</f>
        <v>0</v>
      </c>
      <c r="S54" s="75">
        <f>IFERROR(_xlfn.XLOOKUP(Table4[[#This Row],[Subnummer]],Table3[Sub],#REF!),0)</f>
        <v>0</v>
      </c>
      <c r="T54" s="75">
        <f>IFERROR(_xlfn.XLOOKUP(Table4[[#This Row],[Subnummer]],Table3[Sub],#REF!),0)</f>
        <v>0</v>
      </c>
      <c r="U54" s="75">
        <f>IFERROR(_xlfn.XLOOKUP(Table4[[#This Row],[Subnummer]],Table3[Sub],#REF!),0)</f>
        <v>0</v>
      </c>
      <c r="V54" s="75">
        <f>IFERROR(_xlfn.XLOOKUP(Table4[[#This Row],[Subnummer]],Table3[Sub],#REF!),0)</f>
        <v>0</v>
      </c>
      <c r="W54" s="75">
        <f>IFERROR(_xlfn.XLOOKUP(Table4[[#This Row],[Subnummer]],Table3[Sub],#REF!),0)</f>
        <v>0</v>
      </c>
      <c r="X54" s="75">
        <f>IFERROR(_xlfn.XLOOKUP(Table4[[#This Row],[Subnummer]],Table3[Sub],#REF!),0)</f>
        <v>0</v>
      </c>
      <c r="Y54" s="75">
        <f>IFERROR(_xlfn.XLOOKUP(Table4[[#This Row],[Subnummer]],Table3[Sub],#REF!),0)</f>
        <v>0</v>
      </c>
      <c r="Z54" s="76">
        <f t="shared" si="12"/>
        <v>0</v>
      </c>
      <c r="AA54" s="76">
        <f t="shared" si="13"/>
        <v>0</v>
      </c>
      <c r="AB54" s="76">
        <f t="shared" si="14"/>
        <v>0</v>
      </c>
      <c r="AC54" s="76">
        <f t="shared" si="15"/>
        <v>0</v>
      </c>
      <c r="AD54" s="76">
        <f t="shared" si="16"/>
        <v>0</v>
      </c>
      <c r="AE54" s="76">
        <f t="shared" si="17"/>
        <v>0</v>
      </c>
      <c r="AF54" s="76">
        <f t="shared" si="18"/>
        <v>0</v>
      </c>
      <c r="AG54" s="76">
        <f t="shared" si="19"/>
        <v>0</v>
      </c>
      <c r="AH54" s="76">
        <f t="shared" si="20"/>
        <v>0</v>
      </c>
      <c r="AI54" s="76">
        <f t="shared" si="21"/>
        <v>0</v>
      </c>
      <c r="AJ54" s="70">
        <f t="shared" si="11"/>
        <v>0</v>
      </c>
      <c r="AK54" s="16" t="str" cm="1">
        <f t="array" ref="AK54">_xlfn.IFS(AJ54=0,"Nihil",AJ54&gt;0,"Suppletie",AJ54&lt;0,"Restitutie")</f>
        <v>Nihil</v>
      </c>
    </row>
    <row r="55" spans="1:37" x14ac:dyDescent="0.3">
      <c r="A55" s="16" t="str">
        <f>IFERROR(_xlfn.XLOOKUP(E55,Table3[Sub],Table3[Verzekerde]),"-")</f>
        <v>-</v>
      </c>
      <c r="C55" s="69" t="str">
        <f>IFERROR(_xlfn.XLOOKUP(Table4[[#This Row],[Subnummer]],Table3[Sub],Table3[Certificaat]),"-")</f>
        <v>-</v>
      </c>
      <c r="D55" s="16" t="str">
        <f>IFERROR(_xlfn.XLOOKUP(E55,Specificatie!C$9:C$291,Specificatie!Q$9:Q$291),"")</f>
        <v/>
      </c>
      <c r="E55" s="103">
        <v>0</v>
      </c>
      <c r="F55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55" s="70">
        <v>0</v>
      </c>
      <c r="H55" s="71">
        <f>Table4[[#This Row],[Nieuwe waarde]]-Table4[[#This Row],[Oude waarde]]</f>
        <v>0</v>
      </c>
      <c r="I55" s="72">
        <v>46266</v>
      </c>
      <c r="J55" s="72">
        <v>46388</v>
      </c>
      <c r="K55" s="16">
        <f>Table4[[#This Row],[Vervaldatum]]-Table4[[#This Row],[Mutatiedatum]]</f>
        <v>122</v>
      </c>
      <c r="L55" s="16">
        <v>366</v>
      </c>
      <c r="M55" s="16" t="s">
        <v>86</v>
      </c>
      <c r="N55" s="107" t="s">
        <v>87</v>
      </c>
      <c r="O55" s="73" cm="1">
        <f t="array" ref="O55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55" s="75">
        <f>IFERROR(_xlfn.XLOOKUP(Table4[[#This Row],[Subnummer]],Table3[Sub],#REF!),0)</f>
        <v>0</v>
      </c>
      <c r="Q55" s="75">
        <f>IFERROR(_xlfn.XLOOKUP(Table4[[#This Row],[Subnummer]],Table3[Sub],#REF!),0)</f>
        <v>0</v>
      </c>
      <c r="R55" s="75">
        <f>IFERROR(_xlfn.XLOOKUP(Table4[[#This Row],[Subnummer]],Table3[Sub],#REF!),0)</f>
        <v>0</v>
      </c>
      <c r="S55" s="75">
        <f>IFERROR(_xlfn.XLOOKUP(Table4[[#This Row],[Subnummer]],Table3[Sub],#REF!),0)</f>
        <v>0</v>
      </c>
      <c r="T55" s="75">
        <f>IFERROR(_xlfn.XLOOKUP(Table4[[#This Row],[Subnummer]],Table3[Sub],#REF!),0)</f>
        <v>0</v>
      </c>
      <c r="U55" s="75">
        <f>IFERROR(_xlfn.XLOOKUP(Table4[[#This Row],[Subnummer]],Table3[Sub],#REF!),0)</f>
        <v>0</v>
      </c>
      <c r="V55" s="75">
        <f>IFERROR(_xlfn.XLOOKUP(Table4[[#This Row],[Subnummer]],Table3[Sub],#REF!),0)</f>
        <v>0</v>
      </c>
      <c r="W55" s="75">
        <f>IFERROR(_xlfn.XLOOKUP(Table4[[#This Row],[Subnummer]],Table3[Sub],#REF!),0)</f>
        <v>0</v>
      </c>
      <c r="X55" s="75">
        <f>IFERROR(_xlfn.XLOOKUP(Table4[[#This Row],[Subnummer]],Table3[Sub],#REF!),0)</f>
        <v>0</v>
      </c>
      <c r="Y55" s="75">
        <f>IFERROR(_xlfn.XLOOKUP(Table4[[#This Row],[Subnummer]],Table3[Sub],#REF!),0)</f>
        <v>0</v>
      </c>
      <c r="Z55" s="76">
        <f t="shared" si="12"/>
        <v>0</v>
      </c>
      <c r="AA55" s="76">
        <f t="shared" si="13"/>
        <v>0</v>
      </c>
      <c r="AB55" s="76">
        <f t="shared" si="14"/>
        <v>0</v>
      </c>
      <c r="AC55" s="76">
        <f t="shared" si="15"/>
        <v>0</v>
      </c>
      <c r="AD55" s="76">
        <f t="shared" si="16"/>
        <v>0</v>
      </c>
      <c r="AE55" s="76">
        <f t="shared" si="17"/>
        <v>0</v>
      </c>
      <c r="AF55" s="76">
        <f t="shared" si="18"/>
        <v>0</v>
      </c>
      <c r="AG55" s="76">
        <f t="shared" si="19"/>
        <v>0</v>
      </c>
      <c r="AH55" s="76">
        <f t="shared" si="20"/>
        <v>0</v>
      </c>
      <c r="AI55" s="76">
        <f t="shared" si="21"/>
        <v>0</v>
      </c>
      <c r="AJ55" s="70">
        <f t="shared" si="11"/>
        <v>0</v>
      </c>
      <c r="AK55" s="16" t="str" cm="1">
        <f t="array" ref="AK55">_xlfn.IFS(AJ55=0,"Nihil",AJ55&gt;0,"Suppletie",AJ55&lt;0,"Restitutie")</f>
        <v>Nihil</v>
      </c>
    </row>
    <row r="56" spans="1:37" x14ac:dyDescent="0.3">
      <c r="A56" s="16" t="str">
        <f>IFERROR(_xlfn.XLOOKUP(E56,Table3[Sub],Table3[Verzekerde]),"-")</f>
        <v>-</v>
      </c>
      <c r="C56" s="69" t="str">
        <f>IFERROR(_xlfn.XLOOKUP(Table4[[#This Row],[Subnummer]],Table3[Sub],Table3[Certificaat]),"-")</f>
        <v>-</v>
      </c>
      <c r="D56" s="16" t="str">
        <f>IFERROR(_xlfn.XLOOKUP(E56,Specificatie!C$9:C$291,Specificatie!Q$9:Q$291),"")</f>
        <v/>
      </c>
      <c r="E56" s="103">
        <v>0</v>
      </c>
      <c r="F56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56" s="70">
        <v>0</v>
      </c>
      <c r="H56" s="71">
        <f>Table4[[#This Row],[Nieuwe waarde]]-Table4[[#This Row],[Oude waarde]]</f>
        <v>0</v>
      </c>
      <c r="I56" s="72">
        <v>46266</v>
      </c>
      <c r="J56" s="72">
        <v>46388</v>
      </c>
      <c r="K56" s="16">
        <f>Table4[[#This Row],[Vervaldatum]]-Table4[[#This Row],[Mutatiedatum]]</f>
        <v>122</v>
      </c>
      <c r="L56" s="16">
        <v>366</v>
      </c>
      <c r="M56" s="16" t="s">
        <v>86</v>
      </c>
      <c r="N56" s="107" t="s">
        <v>87</v>
      </c>
      <c r="O56" s="73" cm="1">
        <f t="array" ref="O56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56" s="75">
        <f>IFERROR(_xlfn.XLOOKUP(Table4[[#This Row],[Subnummer]],Table3[Sub],#REF!),0)</f>
        <v>0</v>
      </c>
      <c r="Q56" s="75">
        <f>IFERROR(_xlfn.XLOOKUP(Table4[[#This Row],[Subnummer]],Table3[Sub],#REF!),0)</f>
        <v>0</v>
      </c>
      <c r="R56" s="75">
        <f>IFERROR(_xlfn.XLOOKUP(Table4[[#This Row],[Subnummer]],Table3[Sub],#REF!),0)</f>
        <v>0</v>
      </c>
      <c r="S56" s="75">
        <f>IFERROR(_xlfn.XLOOKUP(Table4[[#This Row],[Subnummer]],Table3[Sub],#REF!),0)</f>
        <v>0</v>
      </c>
      <c r="T56" s="75">
        <f>IFERROR(_xlfn.XLOOKUP(Table4[[#This Row],[Subnummer]],Table3[Sub],#REF!),0)</f>
        <v>0</v>
      </c>
      <c r="U56" s="75">
        <f>IFERROR(_xlfn.XLOOKUP(Table4[[#This Row],[Subnummer]],Table3[Sub],#REF!),0)</f>
        <v>0</v>
      </c>
      <c r="V56" s="75">
        <f>IFERROR(_xlfn.XLOOKUP(Table4[[#This Row],[Subnummer]],Table3[Sub],#REF!),0)</f>
        <v>0</v>
      </c>
      <c r="W56" s="75">
        <f>IFERROR(_xlfn.XLOOKUP(Table4[[#This Row],[Subnummer]],Table3[Sub],#REF!),0)</f>
        <v>0</v>
      </c>
      <c r="X56" s="75">
        <f>IFERROR(_xlfn.XLOOKUP(Table4[[#This Row],[Subnummer]],Table3[Sub],#REF!),0)</f>
        <v>0</v>
      </c>
      <c r="Y56" s="75">
        <f>IFERROR(_xlfn.XLOOKUP(Table4[[#This Row],[Subnummer]],Table3[Sub],#REF!),0)</f>
        <v>0</v>
      </c>
      <c r="Z56" s="76">
        <f t="shared" si="12"/>
        <v>0</v>
      </c>
      <c r="AA56" s="76">
        <f t="shared" si="13"/>
        <v>0</v>
      </c>
      <c r="AB56" s="76">
        <f t="shared" si="14"/>
        <v>0</v>
      </c>
      <c r="AC56" s="76">
        <f t="shared" si="15"/>
        <v>0</v>
      </c>
      <c r="AD56" s="76">
        <f t="shared" si="16"/>
        <v>0</v>
      </c>
      <c r="AE56" s="76">
        <f t="shared" si="17"/>
        <v>0</v>
      </c>
      <c r="AF56" s="76">
        <f t="shared" si="18"/>
        <v>0</v>
      </c>
      <c r="AG56" s="76">
        <f t="shared" si="19"/>
        <v>0</v>
      </c>
      <c r="AH56" s="76">
        <f t="shared" si="20"/>
        <v>0</v>
      </c>
      <c r="AI56" s="76">
        <f t="shared" si="21"/>
        <v>0</v>
      </c>
      <c r="AJ56" s="70">
        <f t="shared" si="11"/>
        <v>0</v>
      </c>
      <c r="AK56" s="16" t="str" cm="1">
        <f t="array" ref="AK56">_xlfn.IFS(AJ56=0,"Nihil",AJ56&gt;0,"Suppletie",AJ56&lt;0,"Restitutie")</f>
        <v>Nihil</v>
      </c>
    </row>
    <row r="57" spans="1:37" x14ac:dyDescent="0.3">
      <c r="A57" s="16" t="str">
        <f>IFERROR(_xlfn.XLOOKUP(E57,Table3[Sub],Table3[Verzekerde]),"-")</f>
        <v>-</v>
      </c>
      <c r="C57" s="69" t="str">
        <f>IFERROR(_xlfn.XLOOKUP(Table4[[#This Row],[Subnummer]],Table3[Sub],Table3[Certificaat]),"-")</f>
        <v>-</v>
      </c>
      <c r="D57" s="16" t="str">
        <f>IFERROR(_xlfn.XLOOKUP(E57,Specificatie!C$9:C$291,Specificatie!Q$9:Q$291),"")</f>
        <v/>
      </c>
      <c r="E57" s="103">
        <v>0</v>
      </c>
      <c r="F57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57" s="70">
        <v>0</v>
      </c>
      <c r="H57" s="71">
        <f>Table4[[#This Row],[Nieuwe waarde]]-Table4[[#This Row],[Oude waarde]]</f>
        <v>0</v>
      </c>
      <c r="I57" s="72">
        <v>46266</v>
      </c>
      <c r="J57" s="72">
        <v>46388</v>
      </c>
      <c r="K57" s="16">
        <f>Table4[[#This Row],[Vervaldatum]]-Table4[[#This Row],[Mutatiedatum]]</f>
        <v>122</v>
      </c>
      <c r="L57" s="16">
        <v>366</v>
      </c>
      <c r="M57" s="16" t="s">
        <v>86</v>
      </c>
      <c r="N57" s="107" t="s">
        <v>87</v>
      </c>
      <c r="O57" s="73" cm="1">
        <f t="array" ref="O57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57" s="75">
        <f>IFERROR(_xlfn.XLOOKUP(Table4[[#This Row],[Subnummer]],Table3[Sub],#REF!),0)</f>
        <v>0</v>
      </c>
      <c r="Q57" s="75">
        <f>IFERROR(_xlfn.XLOOKUP(Table4[[#This Row],[Subnummer]],Table3[Sub],#REF!),0)</f>
        <v>0</v>
      </c>
      <c r="R57" s="75">
        <f>IFERROR(_xlfn.XLOOKUP(Table4[[#This Row],[Subnummer]],Table3[Sub],#REF!),0)</f>
        <v>0</v>
      </c>
      <c r="S57" s="75">
        <f>IFERROR(_xlfn.XLOOKUP(Table4[[#This Row],[Subnummer]],Table3[Sub],#REF!),0)</f>
        <v>0</v>
      </c>
      <c r="T57" s="75">
        <f>IFERROR(_xlfn.XLOOKUP(Table4[[#This Row],[Subnummer]],Table3[Sub],#REF!),0)</f>
        <v>0</v>
      </c>
      <c r="U57" s="75">
        <f>IFERROR(_xlfn.XLOOKUP(Table4[[#This Row],[Subnummer]],Table3[Sub],#REF!),0)</f>
        <v>0</v>
      </c>
      <c r="V57" s="75">
        <f>IFERROR(_xlfn.XLOOKUP(Table4[[#This Row],[Subnummer]],Table3[Sub],#REF!),0)</f>
        <v>0</v>
      </c>
      <c r="W57" s="75">
        <f>IFERROR(_xlfn.XLOOKUP(Table4[[#This Row],[Subnummer]],Table3[Sub],#REF!),0)</f>
        <v>0</v>
      </c>
      <c r="X57" s="75">
        <f>IFERROR(_xlfn.XLOOKUP(Table4[[#This Row],[Subnummer]],Table3[Sub],#REF!),0)</f>
        <v>0</v>
      </c>
      <c r="Y57" s="75">
        <f>IFERROR(_xlfn.XLOOKUP(Table4[[#This Row],[Subnummer]],Table3[Sub],#REF!),0)</f>
        <v>0</v>
      </c>
      <c r="Z57" s="76">
        <f t="shared" si="12"/>
        <v>0</v>
      </c>
      <c r="AA57" s="76">
        <f t="shared" si="13"/>
        <v>0</v>
      </c>
      <c r="AB57" s="76">
        <f t="shared" si="14"/>
        <v>0</v>
      </c>
      <c r="AC57" s="76">
        <f t="shared" si="15"/>
        <v>0</v>
      </c>
      <c r="AD57" s="76">
        <f t="shared" si="16"/>
        <v>0</v>
      </c>
      <c r="AE57" s="76">
        <f t="shared" si="17"/>
        <v>0</v>
      </c>
      <c r="AF57" s="76">
        <f t="shared" si="18"/>
        <v>0</v>
      </c>
      <c r="AG57" s="76">
        <f t="shared" si="19"/>
        <v>0</v>
      </c>
      <c r="AH57" s="76">
        <f t="shared" si="20"/>
        <v>0</v>
      </c>
      <c r="AI57" s="76">
        <f t="shared" si="21"/>
        <v>0</v>
      </c>
      <c r="AJ57" s="70">
        <f t="shared" si="11"/>
        <v>0</v>
      </c>
      <c r="AK57" s="16" t="str" cm="1">
        <f t="array" ref="AK57">_xlfn.IFS(AJ57=0,"Nihil",AJ57&gt;0,"Suppletie",AJ57&lt;0,"Restitutie")</f>
        <v>Nihil</v>
      </c>
    </row>
    <row r="58" spans="1:37" x14ac:dyDescent="0.3">
      <c r="A58" s="16" t="str">
        <f>IFERROR(_xlfn.XLOOKUP(E58,Table3[Sub],Table3[Verzekerde]),"-")</f>
        <v>-</v>
      </c>
      <c r="C58" s="69" t="str">
        <f>IFERROR(_xlfn.XLOOKUP(Table4[[#This Row],[Subnummer]],Table3[Sub],Table3[Certificaat]),"-")</f>
        <v>-</v>
      </c>
      <c r="D58" s="16" t="str">
        <f>IFERROR(_xlfn.XLOOKUP(E58,Specificatie!C$9:C$291,Specificatie!Q$9:Q$291),"")</f>
        <v/>
      </c>
      <c r="E58" s="103">
        <v>0</v>
      </c>
      <c r="F58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58" s="70">
        <v>0</v>
      </c>
      <c r="H58" s="71">
        <f>Table4[[#This Row],[Nieuwe waarde]]-Table4[[#This Row],[Oude waarde]]</f>
        <v>0</v>
      </c>
      <c r="I58" s="72">
        <v>46266</v>
      </c>
      <c r="J58" s="72">
        <v>46388</v>
      </c>
      <c r="K58" s="16">
        <f>Table4[[#This Row],[Vervaldatum]]-Table4[[#This Row],[Mutatiedatum]]</f>
        <v>122</v>
      </c>
      <c r="L58" s="16">
        <v>366</v>
      </c>
      <c r="M58" s="16" t="s">
        <v>86</v>
      </c>
      <c r="N58" s="107" t="s">
        <v>87</v>
      </c>
      <c r="O58" s="73" cm="1">
        <f t="array" ref="O58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58" s="75">
        <f>IFERROR(_xlfn.XLOOKUP(Table4[[#This Row],[Subnummer]],Table3[Sub],#REF!),0)</f>
        <v>0</v>
      </c>
      <c r="Q58" s="75">
        <f>IFERROR(_xlfn.XLOOKUP(Table4[[#This Row],[Subnummer]],Table3[Sub],#REF!),0)</f>
        <v>0</v>
      </c>
      <c r="R58" s="75">
        <f>IFERROR(_xlfn.XLOOKUP(Table4[[#This Row],[Subnummer]],Table3[Sub],#REF!),0)</f>
        <v>0</v>
      </c>
      <c r="S58" s="75">
        <f>IFERROR(_xlfn.XLOOKUP(Table4[[#This Row],[Subnummer]],Table3[Sub],#REF!),0)</f>
        <v>0</v>
      </c>
      <c r="T58" s="75">
        <f>IFERROR(_xlfn.XLOOKUP(Table4[[#This Row],[Subnummer]],Table3[Sub],#REF!),0)</f>
        <v>0</v>
      </c>
      <c r="U58" s="75">
        <f>IFERROR(_xlfn.XLOOKUP(Table4[[#This Row],[Subnummer]],Table3[Sub],#REF!),0)</f>
        <v>0</v>
      </c>
      <c r="V58" s="75">
        <f>IFERROR(_xlfn.XLOOKUP(Table4[[#This Row],[Subnummer]],Table3[Sub],#REF!),0)</f>
        <v>0</v>
      </c>
      <c r="W58" s="75">
        <f>IFERROR(_xlfn.XLOOKUP(Table4[[#This Row],[Subnummer]],Table3[Sub],#REF!),0)</f>
        <v>0</v>
      </c>
      <c r="X58" s="75">
        <f>IFERROR(_xlfn.XLOOKUP(Table4[[#This Row],[Subnummer]],Table3[Sub],#REF!),0)</f>
        <v>0</v>
      </c>
      <c r="Y58" s="75">
        <f>IFERROR(_xlfn.XLOOKUP(Table4[[#This Row],[Subnummer]],Table3[Sub],#REF!),0)</f>
        <v>0</v>
      </c>
      <c r="Z58" s="76">
        <f t="shared" si="12"/>
        <v>0</v>
      </c>
      <c r="AA58" s="76">
        <f t="shared" si="13"/>
        <v>0</v>
      </c>
      <c r="AB58" s="76">
        <f t="shared" si="14"/>
        <v>0</v>
      </c>
      <c r="AC58" s="76">
        <f t="shared" si="15"/>
        <v>0</v>
      </c>
      <c r="AD58" s="76">
        <f t="shared" si="16"/>
        <v>0</v>
      </c>
      <c r="AE58" s="76">
        <f t="shared" si="17"/>
        <v>0</v>
      </c>
      <c r="AF58" s="76">
        <f t="shared" si="18"/>
        <v>0</v>
      </c>
      <c r="AG58" s="76">
        <f t="shared" si="19"/>
        <v>0</v>
      </c>
      <c r="AH58" s="76">
        <f t="shared" si="20"/>
        <v>0</v>
      </c>
      <c r="AI58" s="76">
        <f t="shared" si="21"/>
        <v>0</v>
      </c>
      <c r="AJ58" s="70">
        <f t="shared" si="11"/>
        <v>0</v>
      </c>
      <c r="AK58" s="16" t="str" cm="1">
        <f t="array" ref="AK58">_xlfn.IFS(AJ58=0,"Nihil",AJ58&gt;0,"Suppletie",AJ58&lt;0,"Restitutie")</f>
        <v>Nihil</v>
      </c>
    </row>
    <row r="59" spans="1:37" x14ac:dyDescent="0.3">
      <c r="A59" s="16" t="str">
        <f>IFERROR(_xlfn.XLOOKUP(E59,Table3[Sub],Table3[Verzekerde]),"-")</f>
        <v>-</v>
      </c>
      <c r="C59" s="69" t="str">
        <f>IFERROR(_xlfn.XLOOKUP(Table4[[#This Row],[Subnummer]],Table3[Sub],Table3[Certificaat]),"-")</f>
        <v>-</v>
      </c>
      <c r="D59" s="16" t="str">
        <f>IFERROR(_xlfn.XLOOKUP(E59,Specificatie!C$9:C$291,Specificatie!Q$9:Q$291),"")</f>
        <v/>
      </c>
      <c r="E59" s="103">
        <v>0</v>
      </c>
      <c r="F59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59" s="70">
        <v>0</v>
      </c>
      <c r="H59" s="71">
        <f>Table4[[#This Row],[Nieuwe waarde]]-Table4[[#This Row],[Oude waarde]]</f>
        <v>0</v>
      </c>
      <c r="I59" s="72">
        <v>46266</v>
      </c>
      <c r="J59" s="72">
        <v>46388</v>
      </c>
      <c r="K59" s="16">
        <f>Table4[[#This Row],[Vervaldatum]]-Table4[[#This Row],[Mutatiedatum]]</f>
        <v>122</v>
      </c>
      <c r="L59" s="16">
        <v>366</v>
      </c>
      <c r="M59" s="16" t="s">
        <v>86</v>
      </c>
      <c r="N59" s="107" t="s">
        <v>87</v>
      </c>
      <c r="O59" s="73" cm="1">
        <f t="array" ref="O59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59" s="75">
        <f>IFERROR(_xlfn.XLOOKUP(Table4[[#This Row],[Subnummer]],Table3[Sub],#REF!),0)</f>
        <v>0</v>
      </c>
      <c r="Q59" s="75">
        <f>IFERROR(_xlfn.XLOOKUP(Table4[[#This Row],[Subnummer]],Table3[Sub],#REF!),0)</f>
        <v>0</v>
      </c>
      <c r="R59" s="75">
        <f>IFERROR(_xlfn.XLOOKUP(Table4[[#This Row],[Subnummer]],Table3[Sub],#REF!),0)</f>
        <v>0</v>
      </c>
      <c r="S59" s="75">
        <f>IFERROR(_xlfn.XLOOKUP(Table4[[#This Row],[Subnummer]],Table3[Sub],#REF!),0)</f>
        <v>0</v>
      </c>
      <c r="T59" s="75">
        <f>IFERROR(_xlfn.XLOOKUP(Table4[[#This Row],[Subnummer]],Table3[Sub],#REF!),0)</f>
        <v>0</v>
      </c>
      <c r="U59" s="75">
        <f>IFERROR(_xlfn.XLOOKUP(Table4[[#This Row],[Subnummer]],Table3[Sub],#REF!),0)</f>
        <v>0</v>
      </c>
      <c r="V59" s="75">
        <f>IFERROR(_xlfn.XLOOKUP(Table4[[#This Row],[Subnummer]],Table3[Sub],#REF!),0)</f>
        <v>0</v>
      </c>
      <c r="W59" s="75">
        <f>IFERROR(_xlfn.XLOOKUP(Table4[[#This Row],[Subnummer]],Table3[Sub],#REF!),0)</f>
        <v>0</v>
      </c>
      <c r="X59" s="75">
        <f>IFERROR(_xlfn.XLOOKUP(Table4[[#This Row],[Subnummer]],Table3[Sub],#REF!),0)</f>
        <v>0</v>
      </c>
      <c r="Y59" s="75">
        <f>IFERROR(_xlfn.XLOOKUP(Table4[[#This Row],[Subnummer]],Table3[Sub],#REF!),0)</f>
        <v>0</v>
      </c>
      <c r="Z59" s="76">
        <f t="shared" si="12"/>
        <v>0</v>
      </c>
      <c r="AA59" s="76">
        <f t="shared" si="13"/>
        <v>0</v>
      </c>
      <c r="AB59" s="76">
        <f t="shared" si="14"/>
        <v>0</v>
      </c>
      <c r="AC59" s="76">
        <f t="shared" si="15"/>
        <v>0</v>
      </c>
      <c r="AD59" s="76">
        <f t="shared" si="16"/>
        <v>0</v>
      </c>
      <c r="AE59" s="76">
        <f t="shared" si="17"/>
        <v>0</v>
      </c>
      <c r="AF59" s="76">
        <f t="shared" si="18"/>
        <v>0</v>
      </c>
      <c r="AG59" s="76">
        <f t="shared" si="19"/>
        <v>0</v>
      </c>
      <c r="AH59" s="76">
        <f t="shared" si="20"/>
        <v>0</v>
      </c>
      <c r="AI59" s="76">
        <f t="shared" si="21"/>
        <v>0</v>
      </c>
      <c r="AJ59" s="70">
        <f t="shared" si="11"/>
        <v>0</v>
      </c>
      <c r="AK59" s="16" t="str" cm="1">
        <f t="array" ref="AK59">_xlfn.IFS(AJ59=0,"Nihil",AJ59&gt;0,"Suppletie",AJ59&lt;0,"Restitutie")</f>
        <v>Nihil</v>
      </c>
    </row>
    <row r="60" spans="1:37" x14ac:dyDescent="0.3">
      <c r="A60" s="16" t="str">
        <f>IFERROR(_xlfn.XLOOKUP(E60,Table3[Sub],Table3[Verzekerde]),"-")</f>
        <v>-</v>
      </c>
      <c r="C60" s="69" t="str">
        <f>IFERROR(_xlfn.XLOOKUP(Table4[[#This Row],[Subnummer]],Table3[Sub],Table3[Certificaat]),"-")</f>
        <v>-</v>
      </c>
      <c r="D60" s="16" t="str">
        <f>IFERROR(_xlfn.XLOOKUP(E60,Specificatie!C$9:C$291,Specificatie!Q$9:Q$291),"")</f>
        <v/>
      </c>
      <c r="E60" s="103">
        <v>0</v>
      </c>
      <c r="F60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60" s="70">
        <v>0</v>
      </c>
      <c r="H60" s="71">
        <f>Table4[[#This Row],[Nieuwe waarde]]-Table4[[#This Row],[Oude waarde]]</f>
        <v>0</v>
      </c>
      <c r="I60" s="72">
        <v>46266</v>
      </c>
      <c r="J60" s="72">
        <v>46388</v>
      </c>
      <c r="K60" s="16">
        <f>Table4[[#This Row],[Vervaldatum]]-Table4[[#This Row],[Mutatiedatum]]</f>
        <v>122</v>
      </c>
      <c r="L60" s="16">
        <v>366</v>
      </c>
      <c r="M60" s="16" t="s">
        <v>86</v>
      </c>
      <c r="N60" s="107" t="s">
        <v>87</v>
      </c>
      <c r="O60" s="73" cm="1">
        <f t="array" ref="O60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60" s="75">
        <f>IFERROR(_xlfn.XLOOKUP(Table4[[#This Row],[Subnummer]],Table3[Sub],#REF!),0)</f>
        <v>0</v>
      </c>
      <c r="Q60" s="75">
        <f>IFERROR(_xlfn.XLOOKUP(Table4[[#This Row],[Subnummer]],Table3[Sub],#REF!),0)</f>
        <v>0</v>
      </c>
      <c r="R60" s="75">
        <f>IFERROR(_xlfn.XLOOKUP(Table4[[#This Row],[Subnummer]],Table3[Sub],#REF!),0)</f>
        <v>0</v>
      </c>
      <c r="S60" s="75">
        <f>IFERROR(_xlfn.XLOOKUP(Table4[[#This Row],[Subnummer]],Table3[Sub],#REF!),0)</f>
        <v>0</v>
      </c>
      <c r="T60" s="75">
        <f>IFERROR(_xlfn.XLOOKUP(Table4[[#This Row],[Subnummer]],Table3[Sub],#REF!),0)</f>
        <v>0</v>
      </c>
      <c r="U60" s="75">
        <f>IFERROR(_xlfn.XLOOKUP(Table4[[#This Row],[Subnummer]],Table3[Sub],#REF!),0)</f>
        <v>0</v>
      </c>
      <c r="V60" s="75">
        <f>IFERROR(_xlfn.XLOOKUP(Table4[[#This Row],[Subnummer]],Table3[Sub],#REF!),0)</f>
        <v>0</v>
      </c>
      <c r="W60" s="75">
        <f>IFERROR(_xlfn.XLOOKUP(Table4[[#This Row],[Subnummer]],Table3[Sub],#REF!),0)</f>
        <v>0</v>
      </c>
      <c r="X60" s="75">
        <f>IFERROR(_xlfn.XLOOKUP(Table4[[#This Row],[Subnummer]],Table3[Sub],#REF!),0)</f>
        <v>0</v>
      </c>
      <c r="Y60" s="75">
        <f>IFERROR(_xlfn.XLOOKUP(Table4[[#This Row],[Subnummer]],Table3[Sub],#REF!),0)</f>
        <v>0</v>
      </c>
      <c r="Z60" s="76">
        <f t="shared" si="12"/>
        <v>0</v>
      </c>
      <c r="AA60" s="76">
        <f t="shared" si="13"/>
        <v>0</v>
      </c>
      <c r="AB60" s="76">
        <f t="shared" si="14"/>
        <v>0</v>
      </c>
      <c r="AC60" s="76">
        <f t="shared" si="15"/>
        <v>0</v>
      </c>
      <c r="AD60" s="76">
        <f t="shared" si="16"/>
        <v>0</v>
      </c>
      <c r="AE60" s="76">
        <f t="shared" si="17"/>
        <v>0</v>
      </c>
      <c r="AF60" s="76">
        <f t="shared" si="18"/>
        <v>0</v>
      </c>
      <c r="AG60" s="76">
        <f t="shared" si="19"/>
        <v>0</v>
      </c>
      <c r="AH60" s="76">
        <f t="shared" si="20"/>
        <v>0</v>
      </c>
      <c r="AI60" s="76">
        <f t="shared" si="21"/>
        <v>0</v>
      </c>
      <c r="AJ60" s="70">
        <f t="shared" si="11"/>
        <v>0</v>
      </c>
      <c r="AK60" s="16" t="str" cm="1">
        <f t="array" ref="AK60">_xlfn.IFS(AJ60=0,"Nihil",AJ60&gt;0,"Suppletie",AJ60&lt;0,"Restitutie")</f>
        <v>Nihil</v>
      </c>
    </row>
    <row r="61" spans="1:37" x14ac:dyDescent="0.3">
      <c r="A61" s="16" t="str">
        <f>IFERROR(_xlfn.XLOOKUP(E61,Table3[Sub],Table3[Verzekerde]),"-")</f>
        <v>-</v>
      </c>
      <c r="C61" s="69" t="str">
        <f>IFERROR(_xlfn.XLOOKUP(Table4[[#This Row],[Subnummer]],Table3[Sub],Table3[Certificaat]),"-")</f>
        <v>-</v>
      </c>
      <c r="D61" s="16" t="str">
        <f>IFERROR(_xlfn.XLOOKUP(E61,Specificatie!C$9:C$291,Specificatie!Q$9:Q$291),"")</f>
        <v/>
      </c>
      <c r="E61" s="103">
        <v>0</v>
      </c>
      <c r="F61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61" s="70">
        <v>0</v>
      </c>
      <c r="H61" s="71">
        <f>Table4[[#This Row],[Nieuwe waarde]]-Table4[[#This Row],[Oude waarde]]</f>
        <v>0</v>
      </c>
      <c r="I61" s="72">
        <v>46266</v>
      </c>
      <c r="J61" s="72">
        <v>46388</v>
      </c>
      <c r="K61" s="16">
        <f>Table4[[#This Row],[Vervaldatum]]-Table4[[#This Row],[Mutatiedatum]]</f>
        <v>122</v>
      </c>
      <c r="L61" s="16">
        <v>366</v>
      </c>
      <c r="M61" s="16" t="s">
        <v>86</v>
      </c>
      <c r="N61" s="107" t="s">
        <v>87</v>
      </c>
      <c r="O61" s="73" cm="1">
        <f t="array" ref="O61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61" s="75">
        <f>IFERROR(_xlfn.XLOOKUP(Table4[[#This Row],[Subnummer]],Table3[Sub],#REF!),0)</f>
        <v>0</v>
      </c>
      <c r="Q61" s="75">
        <f>IFERROR(_xlfn.XLOOKUP(Table4[[#This Row],[Subnummer]],Table3[Sub],#REF!),0)</f>
        <v>0</v>
      </c>
      <c r="R61" s="75">
        <f>IFERROR(_xlfn.XLOOKUP(Table4[[#This Row],[Subnummer]],Table3[Sub],#REF!),0)</f>
        <v>0</v>
      </c>
      <c r="S61" s="75">
        <f>IFERROR(_xlfn.XLOOKUP(Table4[[#This Row],[Subnummer]],Table3[Sub],#REF!),0)</f>
        <v>0</v>
      </c>
      <c r="T61" s="75">
        <f>IFERROR(_xlfn.XLOOKUP(Table4[[#This Row],[Subnummer]],Table3[Sub],#REF!),0)</f>
        <v>0</v>
      </c>
      <c r="U61" s="75">
        <f>IFERROR(_xlfn.XLOOKUP(Table4[[#This Row],[Subnummer]],Table3[Sub],#REF!),0)</f>
        <v>0</v>
      </c>
      <c r="V61" s="75">
        <f>IFERROR(_xlfn.XLOOKUP(Table4[[#This Row],[Subnummer]],Table3[Sub],#REF!),0)</f>
        <v>0</v>
      </c>
      <c r="W61" s="75">
        <f>IFERROR(_xlfn.XLOOKUP(Table4[[#This Row],[Subnummer]],Table3[Sub],#REF!),0)</f>
        <v>0</v>
      </c>
      <c r="X61" s="75">
        <f>IFERROR(_xlfn.XLOOKUP(Table4[[#This Row],[Subnummer]],Table3[Sub],#REF!),0)</f>
        <v>0</v>
      </c>
      <c r="Y61" s="75">
        <f>IFERROR(_xlfn.XLOOKUP(Table4[[#This Row],[Subnummer]],Table3[Sub],#REF!),0)</f>
        <v>0</v>
      </c>
      <c r="Z61" s="76">
        <f t="shared" si="12"/>
        <v>0</v>
      </c>
      <c r="AA61" s="76">
        <f t="shared" si="13"/>
        <v>0</v>
      </c>
      <c r="AB61" s="76">
        <f t="shared" si="14"/>
        <v>0</v>
      </c>
      <c r="AC61" s="76">
        <f t="shared" si="15"/>
        <v>0</v>
      </c>
      <c r="AD61" s="76">
        <f t="shared" si="16"/>
        <v>0</v>
      </c>
      <c r="AE61" s="76">
        <f t="shared" si="17"/>
        <v>0</v>
      </c>
      <c r="AF61" s="76">
        <f t="shared" si="18"/>
        <v>0</v>
      </c>
      <c r="AG61" s="76">
        <f t="shared" si="19"/>
        <v>0</v>
      </c>
      <c r="AH61" s="76">
        <f t="shared" si="20"/>
        <v>0</v>
      </c>
      <c r="AI61" s="76">
        <f t="shared" si="21"/>
        <v>0</v>
      </c>
      <c r="AJ61" s="70">
        <f t="shared" si="11"/>
        <v>0</v>
      </c>
      <c r="AK61" s="16" t="str" cm="1">
        <f t="array" ref="AK61">_xlfn.IFS(AJ61=0,"Nihil",AJ61&gt;0,"Suppletie",AJ61&lt;0,"Restitutie")</f>
        <v>Nihil</v>
      </c>
    </row>
    <row r="62" spans="1:37" x14ac:dyDescent="0.3">
      <c r="A62" s="16" t="str">
        <f>IFERROR(_xlfn.XLOOKUP(E62,Table3[Sub],Table3[Verzekerde]),"-")</f>
        <v>-</v>
      </c>
      <c r="C62" s="69" t="str">
        <f>IFERROR(_xlfn.XLOOKUP(Table4[[#This Row],[Subnummer]],Table3[Sub],Table3[Certificaat]),"-")</f>
        <v>-</v>
      </c>
      <c r="D62" s="16" t="str">
        <f>IFERROR(_xlfn.XLOOKUP(E62,Specificatie!C$9:C$291,Specificatie!Q$9:Q$291),"")</f>
        <v/>
      </c>
      <c r="E62" s="103">
        <v>0</v>
      </c>
      <c r="F62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62" s="70">
        <v>0</v>
      </c>
      <c r="H62" s="71">
        <f>Table4[[#This Row],[Nieuwe waarde]]-Table4[[#This Row],[Oude waarde]]</f>
        <v>0</v>
      </c>
      <c r="I62" s="72">
        <v>46266</v>
      </c>
      <c r="J62" s="72">
        <v>46388</v>
      </c>
      <c r="K62" s="16">
        <f>Table4[[#This Row],[Vervaldatum]]-Table4[[#This Row],[Mutatiedatum]]</f>
        <v>122</v>
      </c>
      <c r="L62" s="16">
        <v>366</v>
      </c>
      <c r="M62" s="16" t="s">
        <v>86</v>
      </c>
      <c r="N62" s="107" t="s">
        <v>87</v>
      </c>
      <c r="O62" s="73" cm="1">
        <f t="array" ref="O62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62" s="75">
        <f>IFERROR(_xlfn.XLOOKUP(Table4[[#This Row],[Subnummer]],Table3[Sub],#REF!),0)</f>
        <v>0</v>
      </c>
      <c r="Q62" s="75">
        <f>IFERROR(_xlfn.XLOOKUP(Table4[[#This Row],[Subnummer]],Table3[Sub],#REF!),0)</f>
        <v>0</v>
      </c>
      <c r="R62" s="75">
        <f>IFERROR(_xlfn.XLOOKUP(Table4[[#This Row],[Subnummer]],Table3[Sub],#REF!),0)</f>
        <v>0</v>
      </c>
      <c r="S62" s="75">
        <f>IFERROR(_xlfn.XLOOKUP(Table4[[#This Row],[Subnummer]],Table3[Sub],#REF!),0)</f>
        <v>0</v>
      </c>
      <c r="T62" s="75">
        <f>IFERROR(_xlfn.XLOOKUP(Table4[[#This Row],[Subnummer]],Table3[Sub],#REF!),0)</f>
        <v>0</v>
      </c>
      <c r="U62" s="75">
        <f>IFERROR(_xlfn.XLOOKUP(Table4[[#This Row],[Subnummer]],Table3[Sub],#REF!),0)</f>
        <v>0</v>
      </c>
      <c r="V62" s="75">
        <f>IFERROR(_xlfn.XLOOKUP(Table4[[#This Row],[Subnummer]],Table3[Sub],#REF!),0)</f>
        <v>0</v>
      </c>
      <c r="W62" s="75">
        <f>IFERROR(_xlfn.XLOOKUP(Table4[[#This Row],[Subnummer]],Table3[Sub],#REF!),0)</f>
        <v>0</v>
      </c>
      <c r="X62" s="75">
        <f>IFERROR(_xlfn.XLOOKUP(Table4[[#This Row],[Subnummer]],Table3[Sub],#REF!),0)</f>
        <v>0</v>
      </c>
      <c r="Y62" s="75">
        <f>IFERROR(_xlfn.XLOOKUP(Table4[[#This Row],[Subnummer]],Table3[Sub],#REF!),0)</f>
        <v>0</v>
      </c>
      <c r="Z62" s="76">
        <f t="shared" si="12"/>
        <v>0</v>
      </c>
      <c r="AA62" s="76">
        <f t="shared" si="13"/>
        <v>0</v>
      </c>
      <c r="AB62" s="76">
        <f t="shared" si="14"/>
        <v>0</v>
      </c>
      <c r="AC62" s="76">
        <f t="shared" si="15"/>
        <v>0</v>
      </c>
      <c r="AD62" s="76">
        <f t="shared" si="16"/>
        <v>0</v>
      </c>
      <c r="AE62" s="76">
        <f t="shared" si="17"/>
        <v>0</v>
      </c>
      <c r="AF62" s="76">
        <f t="shared" si="18"/>
        <v>0</v>
      </c>
      <c r="AG62" s="76">
        <f t="shared" si="19"/>
        <v>0</v>
      </c>
      <c r="AH62" s="76">
        <f t="shared" si="20"/>
        <v>0</v>
      </c>
      <c r="AI62" s="76">
        <f t="shared" si="21"/>
        <v>0</v>
      </c>
      <c r="AJ62" s="70">
        <f t="shared" si="11"/>
        <v>0</v>
      </c>
      <c r="AK62" s="16" t="str" cm="1">
        <f t="array" ref="AK62">_xlfn.IFS(AJ62=0,"Nihil",AJ62&gt;0,"Suppletie",AJ62&lt;0,"Restitutie")</f>
        <v>Nihil</v>
      </c>
    </row>
    <row r="63" spans="1:37" x14ac:dyDescent="0.3">
      <c r="A63" s="16" t="str">
        <f>IFERROR(_xlfn.XLOOKUP(E63,Table3[Sub],Table3[Verzekerde]),"-")</f>
        <v>-</v>
      </c>
      <c r="C63" s="69" t="str">
        <f>IFERROR(_xlfn.XLOOKUP(Table4[[#This Row],[Subnummer]],Table3[Sub],Table3[Certificaat]),"-")</f>
        <v>-</v>
      </c>
      <c r="D63" s="16" t="str">
        <f>IFERROR(_xlfn.XLOOKUP(E63,Specificatie!C$9:C$291,Specificatie!Q$9:Q$291),"")</f>
        <v/>
      </c>
      <c r="E63" s="103">
        <v>0</v>
      </c>
      <c r="F63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63" s="70">
        <v>0</v>
      </c>
      <c r="H63" s="71">
        <f>Table4[[#This Row],[Nieuwe waarde]]-Table4[[#This Row],[Oude waarde]]</f>
        <v>0</v>
      </c>
      <c r="I63" s="72">
        <v>46266</v>
      </c>
      <c r="J63" s="72">
        <v>46388</v>
      </c>
      <c r="K63" s="16">
        <f>Table4[[#This Row],[Vervaldatum]]-Table4[[#This Row],[Mutatiedatum]]</f>
        <v>122</v>
      </c>
      <c r="L63" s="16">
        <v>366</v>
      </c>
      <c r="M63" s="16" t="s">
        <v>86</v>
      </c>
      <c r="N63" s="107" t="s">
        <v>87</v>
      </c>
      <c r="O63" s="73" cm="1">
        <f t="array" ref="O63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63" s="75">
        <f>IFERROR(_xlfn.XLOOKUP(Table4[[#This Row],[Subnummer]],Table3[Sub],#REF!),0)</f>
        <v>0</v>
      </c>
      <c r="Q63" s="75">
        <f>IFERROR(_xlfn.XLOOKUP(Table4[[#This Row],[Subnummer]],Table3[Sub],#REF!),0)</f>
        <v>0</v>
      </c>
      <c r="R63" s="75">
        <f>IFERROR(_xlfn.XLOOKUP(Table4[[#This Row],[Subnummer]],Table3[Sub],#REF!),0)</f>
        <v>0</v>
      </c>
      <c r="S63" s="75">
        <f>IFERROR(_xlfn.XLOOKUP(Table4[[#This Row],[Subnummer]],Table3[Sub],#REF!),0)</f>
        <v>0</v>
      </c>
      <c r="T63" s="75">
        <f>IFERROR(_xlfn.XLOOKUP(Table4[[#This Row],[Subnummer]],Table3[Sub],#REF!),0)</f>
        <v>0</v>
      </c>
      <c r="U63" s="75">
        <f>IFERROR(_xlfn.XLOOKUP(Table4[[#This Row],[Subnummer]],Table3[Sub],#REF!),0)</f>
        <v>0</v>
      </c>
      <c r="V63" s="75">
        <f>IFERROR(_xlfn.XLOOKUP(Table4[[#This Row],[Subnummer]],Table3[Sub],#REF!),0)</f>
        <v>0</v>
      </c>
      <c r="W63" s="75">
        <f>IFERROR(_xlfn.XLOOKUP(Table4[[#This Row],[Subnummer]],Table3[Sub],#REF!),0)</f>
        <v>0</v>
      </c>
      <c r="X63" s="75">
        <f>IFERROR(_xlfn.XLOOKUP(Table4[[#This Row],[Subnummer]],Table3[Sub],#REF!),0)</f>
        <v>0</v>
      </c>
      <c r="Y63" s="75">
        <f>IFERROR(_xlfn.XLOOKUP(Table4[[#This Row],[Subnummer]],Table3[Sub],#REF!),0)</f>
        <v>0</v>
      </c>
      <c r="Z63" s="76">
        <f t="shared" si="12"/>
        <v>0</v>
      </c>
      <c r="AA63" s="76">
        <f t="shared" si="13"/>
        <v>0</v>
      </c>
      <c r="AB63" s="76">
        <f t="shared" si="14"/>
        <v>0</v>
      </c>
      <c r="AC63" s="76">
        <f t="shared" si="15"/>
        <v>0</v>
      </c>
      <c r="AD63" s="76">
        <f t="shared" si="16"/>
        <v>0</v>
      </c>
      <c r="AE63" s="76">
        <f t="shared" si="17"/>
        <v>0</v>
      </c>
      <c r="AF63" s="76">
        <f t="shared" si="18"/>
        <v>0</v>
      </c>
      <c r="AG63" s="76">
        <f t="shared" si="19"/>
        <v>0</v>
      </c>
      <c r="AH63" s="76">
        <f t="shared" si="20"/>
        <v>0</v>
      </c>
      <c r="AI63" s="76">
        <f t="shared" si="21"/>
        <v>0</v>
      </c>
      <c r="AJ63" s="70">
        <f t="shared" si="11"/>
        <v>0</v>
      </c>
      <c r="AK63" s="16" t="str" cm="1">
        <f t="array" ref="AK63">_xlfn.IFS(AJ63=0,"Nihil",AJ63&gt;0,"Suppletie",AJ63&lt;0,"Restitutie")</f>
        <v>Nihil</v>
      </c>
    </row>
    <row r="64" spans="1:37" x14ac:dyDescent="0.3">
      <c r="A64" s="16" t="str">
        <f>IFERROR(_xlfn.XLOOKUP(E64,Table3[Sub],Table3[Verzekerde]),"-")</f>
        <v>-</v>
      </c>
      <c r="C64" s="69" t="str">
        <f>IFERROR(_xlfn.XLOOKUP(Table4[[#This Row],[Subnummer]],Table3[Sub],Table3[Certificaat]),"-")</f>
        <v>-</v>
      </c>
      <c r="D64" s="16" t="str">
        <f>IFERROR(_xlfn.XLOOKUP(E64,Specificatie!C$9:C$291,Specificatie!Q$9:Q$291),"")</f>
        <v/>
      </c>
      <c r="E64" s="103">
        <v>0</v>
      </c>
      <c r="F64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64" s="70">
        <v>0</v>
      </c>
      <c r="H64" s="71">
        <f>Table4[[#This Row],[Nieuwe waarde]]-Table4[[#This Row],[Oude waarde]]</f>
        <v>0</v>
      </c>
      <c r="I64" s="72">
        <v>46266</v>
      </c>
      <c r="J64" s="72">
        <v>46388</v>
      </c>
      <c r="K64" s="16">
        <f>Table4[[#This Row],[Vervaldatum]]-Table4[[#This Row],[Mutatiedatum]]</f>
        <v>122</v>
      </c>
      <c r="L64" s="16">
        <v>366</v>
      </c>
      <c r="M64" s="16" t="s">
        <v>86</v>
      </c>
      <c r="N64" s="107" t="s">
        <v>87</v>
      </c>
      <c r="O64" s="73" cm="1">
        <f t="array" ref="O64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64" s="75">
        <f>IFERROR(_xlfn.XLOOKUP(Table4[[#This Row],[Subnummer]],Table3[Sub],#REF!),0)</f>
        <v>0</v>
      </c>
      <c r="Q64" s="75">
        <f>IFERROR(_xlfn.XLOOKUP(Table4[[#This Row],[Subnummer]],Table3[Sub],#REF!),0)</f>
        <v>0</v>
      </c>
      <c r="R64" s="75">
        <f>IFERROR(_xlfn.XLOOKUP(Table4[[#This Row],[Subnummer]],Table3[Sub],#REF!),0)</f>
        <v>0</v>
      </c>
      <c r="S64" s="75">
        <f>IFERROR(_xlfn.XLOOKUP(Table4[[#This Row],[Subnummer]],Table3[Sub],#REF!),0)</f>
        <v>0</v>
      </c>
      <c r="T64" s="75">
        <f>IFERROR(_xlfn.XLOOKUP(Table4[[#This Row],[Subnummer]],Table3[Sub],#REF!),0)</f>
        <v>0</v>
      </c>
      <c r="U64" s="75">
        <f>IFERROR(_xlfn.XLOOKUP(Table4[[#This Row],[Subnummer]],Table3[Sub],#REF!),0)</f>
        <v>0</v>
      </c>
      <c r="V64" s="75">
        <f>IFERROR(_xlfn.XLOOKUP(Table4[[#This Row],[Subnummer]],Table3[Sub],#REF!),0)</f>
        <v>0</v>
      </c>
      <c r="W64" s="75">
        <f>IFERROR(_xlfn.XLOOKUP(Table4[[#This Row],[Subnummer]],Table3[Sub],#REF!),0)</f>
        <v>0</v>
      </c>
      <c r="X64" s="75">
        <f>IFERROR(_xlfn.XLOOKUP(Table4[[#This Row],[Subnummer]],Table3[Sub],#REF!),0)</f>
        <v>0</v>
      </c>
      <c r="Y64" s="75">
        <f>IFERROR(_xlfn.XLOOKUP(Table4[[#This Row],[Subnummer]],Table3[Sub],#REF!),0)</f>
        <v>0</v>
      </c>
      <c r="Z64" s="76">
        <f t="shared" si="12"/>
        <v>0</v>
      </c>
      <c r="AA64" s="76">
        <f t="shared" si="13"/>
        <v>0</v>
      </c>
      <c r="AB64" s="76">
        <f t="shared" si="14"/>
        <v>0</v>
      </c>
      <c r="AC64" s="76">
        <f t="shared" si="15"/>
        <v>0</v>
      </c>
      <c r="AD64" s="76">
        <f t="shared" si="16"/>
        <v>0</v>
      </c>
      <c r="AE64" s="76">
        <f t="shared" si="17"/>
        <v>0</v>
      </c>
      <c r="AF64" s="76">
        <f t="shared" si="18"/>
        <v>0</v>
      </c>
      <c r="AG64" s="76">
        <f t="shared" si="19"/>
        <v>0</v>
      </c>
      <c r="AH64" s="76">
        <f t="shared" si="20"/>
        <v>0</v>
      </c>
      <c r="AI64" s="76">
        <f t="shared" si="21"/>
        <v>0</v>
      </c>
      <c r="AJ64" s="70">
        <f t="shared" si="11"/>
        <v>0</v>
      </c>
      <c r="AK64" s="16" t="str" cm="1">
        <f t="array" ref="AK64">_xlfn.IFS(AJ64=0,"Nihil",AJ64&gt;0,"Suppletie",AJ64&lt;0,"Restitutie")</f>
        <v>Nihil</v>
      </c>
    </row>
    <row r="65" spans="1:37" x14ac:dyDescent="0.3">
      <c r="A65" s="16" t="str">
        <f>IFERROR(_xlfn.XLOOKUP(E65,Table3[Sub],Table3[Verzekerde]),"-")</f>
        <v>-</v>
      </c>
      <c r="C65" s="69" t="str">
        <f>IFERROR(_xlfn.XLOOKUP(Table4[[#This Row],[Subnummer]],Table3[Sub],Table3[Certificaat]),"-")</f>
        <v>-</v>
      </c>
      <c r="D65" s="16" t="str">
        <f>IFERROR(_xlfn.XLOOKUP(E65,Specificatie!C$9:C$291,Specificatie!Q$9:Q$291),"")</f>
        <v/>
      </c>
      <c r="E65" s="103">
        <v>0</v>
      </c>
      <c r="F65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65" s="70">
        <v>0</v>
      </c>
      <c r="H65" s="71">
        <f>Table4[[#This Row],[Nieuwe waarde]]-Table4[[#This Row],[Oude waarde]]</f>
        <v>0</v>
      </c>
      <c r="I65" s="72">
        <v>46266</v>
      </c>
      <c r="J65" s="72">
        <v>46388</v>
      </c>
      <c r="K65" s="16">
        <f>Table4[[#This Row],[Vervaldatum]]-Table4[[#This Row],[Mutatiedatum]]</f>
        <v>122</v>
      </c>
      <c r="L65" s="16">
        <v>366</v>
      </c>
      <c r="M65" s="16" t="s">
        <v>86</v>
      </c>
      <c r="N65" s="107" t="s">
        <v>87</v>
      </c>
      <c r="O65" s="73" cm="1">
        <f t="array" ref="O65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65" s="75">
        <f>IFERROR(_xlfn.XLOOKUP(Table4[[#This Row],[Subnummer]],Table3[Sub],#REF!),0)</f>
        <v>0</v>
      </c>
      <c r="Q65" s="75">
        <f>IFERROR(_xlfn.XLOOKUP(Table4[[#This Row],[Subnummer]],Table3[Sub],#REF!),0)</f>
        <v>0</v>
      </c>
      <c r="R65" s="75">
        <f>IFERROR(_xlfn.XLOOKUP(Table4[[#This Row],[Subnummer]],Table3[Sub],#REF!),0)</f>
        <v>0</v>
      </c>
      <c r="S65" s="75">
        <f>IFERROR(_xlfn.XLOOKUP(Table4[[#This Row],[Subnummer]],Table3[Sub],#REF!),0)</f>
        <v>0</v>
      </c>
      <c r="T65" s="75">
        <f>IFERROR(_xlfn.XLOOKUP(Table4[[#This Row],[Subnummer]],Table3[Sub],#REF!),0)</f>
        <v>0</v>
      </c>
      <c r="U65" s="75">
        <f>IFERROR(_xlfn.XLOOKUP(Table4[[#This Row],[Subnummer]],Table3[Sub],#REF!),0)</f>
        <v>0</v>
      </c>
      <c r="V65" s="75">
        <f>IFERROR(_xlfn.XLOOKUP(Table4[[#This Row],[Subnummer]],Table3[Sub],#REF!),0)</f>
        <v>0</v>
      </c>
      <c r="W65" s="75">
        <f>IFERROR(_xlfn.XLOOKUP(Table4[[#This Row],[Subnummer]],Table3[Sub],#REF!),0)</f>
        <v>0</v>
      </c>
      <c r="X65" s="75">
        <f>IFERROR(_xlfn.XLOOKUP(Table4[[#This Row],[Subnummer]],Table3[Sub],#REF!),0)</f>
        <v>0</v>
      </c>
      <c r="Y65" s="75">
        <f>IFERROR(_xlfn.XLOOKUP(Table4[[#This Row],[Subnummer]],Table3[Sub],#REF!),0)</f>
        <v>0</v>
      </c>
      <c r="Z65" s="76">
        <f t="shared" si="12"/>
        <v>0</v>
      </c>
      <c r="AA65" s="76">
        <f t="shared" si="13"/>
        <v>0</v>
      </c>
      <c r="AB65" s="76">
        <f t="shared" si="14"/>
        <v>0</v>
      </c>
      <c r="AC65" s="76">
        <f t="shared" si="15"/>
        <v>0</v>
      </c>
      <c r="AD65" s="76">
        <f t="shared" si="16"/>
        <v>0</v>
      </c>
      <c r="AE65" s="76">
        <f t="shared" si="17"/>
        <v>0</v>
      </c>
      <c r="AF65" s="76">
        <f t="shared" si="18"/>
        <v>0</v>
      </c>
      <c r="AG65" s="76">
        <f t="shared" si="19"/>
        <v>0</v>
      </c>
      <c r="AH65" s="76">
        <f t="shared" si="20"/>
        <v>0</v>
      </c>
      <c r="AI65" s="76">
        <f t="shared" si="21"/>
        <v>0</v>
      </c>
      <c r="AJ65" s="70">
        <f t="shared" si="11"/>
        <v>0</v>
      </c>
      <c r="AK65" s="16" t="str" cm="1">
        <f t="array" ref="AK65">_xlfn.IFS(AJ65=0,"Nihil",AJ65&gt;0,"Suppletie",AJ65&lt;0,"Restitutie")</f>
        <v>Nihil</v>
      </c>
    </row>
    <row r="66" spans="1:37" x14ac:dyDescent="0.3">
      <c r="A66" s="16" t="str">
        <f>IFERROR(_xlfn.XLOOKUP(E66,Table3[Sub],Table3[Verzekerde]),"-")</f>
        <v>-</v>
      </c>
      <c r="C66" s="69" t="str">
        <f>IFERROR(_xlfn.XLOOKUP(Table4[[#This Row],[Subnummer]],Table3[Sub],Table3[Certificaat]),"-")</f>
        <v>-</v>
      </c>
      <c r="D66" s="16" t="str">
        <f>IFERROR(_xlfn.XLOOKUP(E66,Specificatie!C$9:C$291,Specificatie!Q$9:Q$291),"")</f>
        <v/>
      </c>
      <c r="E66" s="103">
        <v>0</v>
      </c>
      <c r="F66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66" s="70">
        <v>0</v>
      </c>
      <c r="H66" s="71">
        <f>Table4[[#This Row],[Nieuwe waarde]]-Table4[[#This Row],[Oude waarde]]</f>
        <v>0</v>
      </c>
      <c r="I66" s="72">
        <v>46266</v>
      </c>
      <c r="J66" s="72">
        <v>46388</v>
      </c>
      <c r="K66" s="16">
        <f>Table4[[#This Row],[Vervaldatum]]-Table4[[#This Row],[Mutatiedatum]]</f>
        <v>122</v>
      </c>
      <c r="L66" s="16">
        <v>366</v>
      </c>
      <c r="M66" s="16" t="s">
        <v>86</v>
      </c>
      <c r="N66" s="107" t="s">
        <v>87</v>
      </c>
      <c r="O66" s="73" cm="1">
        <f t="array" ref="O66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66" s="75">
        <f>IFERROR(_xlfn.XLOOKUP(Table4[[#This Row],[Subnummer]],Table3[Sub],#REF!),0)</f>
        <v>0</v>
      </c>
      <c r="Q66" s="75">
        <f>IFERROR(_xlfn.XLOOKUP(Table4[[#This Row],[Subnummer]],Table3[Sub],#REF!),0)</f>
        <v>0</v>
      </c>
      <c r="R66" s="75">
        <f>IFERROR(_xlfn.XLOOKUP(Table4[[#This Row],[Subnummer]],Table3[Sub],#REF!),0)</f>
        <v>0</v>
      </c>
      <c r="S66" s="75">
        <f>IFERROR(_xlfn.XLOOKUP(Table4[[#This Row],[Subnummer]],Table3[Sub],#REF!),0)</f>
        <v>0</v>
      </c>
      <c r="T66" s="75">
        <f>IFERROR(_xlfn.XLOOKUP(Table4[[#This Row],[Subnummer]],Table3[Sub],#REF!),0)</f>
        <v>0</v>
      </c>
      <c r="U66" s="75">
        <f>IFERROR(_xlfn.XLOOKUP(Table4[[#This Row],[Subnummer]],Table3[Sub],#REF!),0)</f>
        <v>0</v>
      </c>
      <c r="V66" s="75">
        <f>IFERROR(_xlfn.XLOOKUP(Table4[[#This Row],[Subnummer]],Table3[Sub],#REF!),0)</f>
        <v>0</v>
      </c>
      <c r="W66" s="75">
        <f>IFERROR(_xlfn.XLOOKUP(Table4[[#This Row],[Subnummer]],Table3[Sub],#REF!),0)</f>
        <v>0</v>
      </c>
      <c r="X66" s="75">
        <f>IFERROR(_xlfn.XLOOKUP(Table4[[#This Row],[Subnummer]],Table3[Sub],#REF!),0)</f>
        <v>0</v>
      </c>
      <c r="Y66" s="75">
        <f>IFERROR(_xlfn.XLOOKUP(Table4[[#This Row],[Subnummer]],Table3[Sub],#REF!),0)</f>
        <v>0</v>
      </c>
      <c r="Z66" s="76">
        <f t="shared" si="12"/>
        <v>0</v>
      </c>
      <c r="AA66" s="76">
        <f t="shared" si="13"/>
        <v>0</v>
      </c>
      <c r="AB66" s="76">
        <f t="shared" si="14"/>
        <v>0</v>
      </c>
      <c r="AC66" s="76">
        <f t="shared" si="15"/>
        <v>0</v>
      </c>
      <c r="AD66" s="76">
        <f t="shared" si="16"/>
        <v>0</v>
      </c>
      <c r="AE66" s="76">
        <f t="shared" si="17"/>
        <v>0</v>
      </c>
      <c r="AF66" s="76">
        <f t="shared" si="18"/>
        <v>0</v>
      </c>
      <c r="AG66" s="76">
        <f t="shared" si="19"/>
        <v>0</v>
      </c>
      <c r="AH66" s="76">
        <f t="shared" si="20"/>
        <v>0</v>
      </c>
      <c r="AI66" s="76">
        <f t="shared" si="21"/>
        <v>0</v>
      </c>
      <c r="AJ66" s="70">
        <f t="shared" si="11"/>
        <v>0</v>
      </c>
      <c r="AK66" s="16" t="str" cm="1">
        <f t="array" ref="AK66">_xlfn.IFS(AJ66=0,"Nihil",AJ66&gt;0,"Suppletie",AJ66&lt;0,"Restitutie")</f>
        <v>Nihil</v>
      </c>
    </row>
    <row r="67" spans="1:37" x14ac:dyDescent="0.3">
      <c r="A67" s="16" t="str">
        <f>IFERROR(_xlfn.XLOOKUP(E67,Table3[Sub],Table3[Verzekerde]),"-")</f>
        <v>-</v>
      </c>
      <c r="C67" s="69" t="str">
        <f>IFERROR(_xlfn.XLOOKUP(Table4[[#This Row],[Subnummer]],Table3[Sub],Table3[Certificaat]),"-")</f>
        <v>-</v>
      </c>
      <c r="D67" s="16" t="str">
        <f>IFERROR(_xlfn.XLOOKUP(E67,Specificatie!C$9:C$291,Specificatie!Q$9:Q$291),"")</f>
        <v/>
      </c>
      <c r="E67" s="103">
        <v>0</v>
      </c>
      <c r="F67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67" s="70">
        <v>0</v>
      </c>
      <c r="H67" s="71">
        <f>Table4[[#This Row],[Nieuwe waarde]]-Table4[[#This Row],[Oude waarde]]</f>
        <v>0</v>
      </c>
      <c r="I67" s="72">
        <v>46266</v>
      </c>
      <c r="J67" s="72">
        <v>46388</v>
      </c>
      <c r="K67" s="16">
        <f>Table4[[#This Row],[Vervaldatum]]-Table4[[#This Row],[Mutatiedatum]]</f>
        <v>122</v>
      </c>
      <c r="L67" s="16">
        <v>366</v>
      </c>
      <c r="M67" s="16" t="s">
        <v>86</v>
      </c>
      <c r="N67" s="107" t="s">
        <v>87</v>
      </c>
      <c r="O67" s="73" cm="1">
        <f t="array" ref="O67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67" s="75">
        <f>IFERROR(_xlfn.XLOOKUP(Table4[[#This Row],[Subnummer]],Table3[Sub],#REF!),0)</f>
        <v>0</v>
      </c>
      <c r="Q67" s="75">
        <f>IFERROR(_xlfn.XLOOKUP(Table4[[#This Row],[Subnummer]],Table3[Sub],#REF!),0)</f>
        <v>0</v>
      </c>
      <c r="R67" s="75">
        <f>IFERROR(_xlfn.XLOOKUP(Table4[[#This Row],[Subnummer]],Table3[Sub],#REF!),0)</f>
        <v>0</v>
      </c>
      <c r="S67" s="75">
        <f>IFERROR(_xlfn.XLOOKUP(Table4[[#This Row],[Subnummer]],Table3[Sub],#REF!),0)</f>
        <v>0</v>
      </c>
      <c r="T67" s="75">
        <f>IFERROR(_xlfn.XLOOKUP(Table4[[#This Row],[Subnummer]],Table3[Sub],#REF!),0)</f>
        <v>0</v>
      </c>
      <c r="U67" s="75">
        <f>IFERROR(_xlfn.XLOOKUP(Table4[[#This Row],[Subnummer]],Table3[Sub],#REF!),0)</f>
        <v>0</v>
      </c>
      <c r="V67" s="75">
        <f>IFERROR(_xlfn.XLOOKUP(Table4[[#This Row],[Subnummer]],Table3[Sub],#REF!),0)</f>
        <v>0</v>
      </c>
      <c r="W67" s="75">
        <f>IFERROR(_xlfn.XLOOKUP(Table4[[#This Row],[Subnummer]],Table3[Sub],#REF!),0)</f>
        <v>0</v>
      </c>
      <c r="X67" s="75">
        <f>IFERROR(_xlfn.XLOOKUP(Table4[[#This Row],[Subnummer]],Table3[Sub],#REF!),0)</f>
        <v>0</v>
      </c>
      <c r="Y67" s="75">
        <f>IFERROR(_xlfn.XLOOKUP(Table4[[#This Row],[Subnummer]],Table3[Sub],#REF!),0)</f>
        <v>0</v>
      </c>
      <c r="Z67" s="76">
        <f t="shared" si="12"/>
        <v>0</v>
      </c>
      <c r="AA67" s="76">
        <f t="shared" si="13"/>
        <v>0</v>
      </c>
      <c r="AB67" s="76">
        <f t="shared" si="14"/>
        <v>0</v>
      </c>
      <c r="AC67" s="76">
        <f t="shared" si="15"/>
        <v>0</v>
      </c>
      <c r="AD67" s="76">
        <f t="shared" si="16"/>
        <v>0</v>
      </c>
      <c r="AE67" s="76">
        <f t="shared" si="17"/>
        <v>0</v>
      </c>
      <c r="AF67" s="76">
        <f t="shared" si="18"/>
        <v>0</v>
      </c>
      <c r="AG67" s="76">
        <f t="shared" si="19"/>
        <v>0</v>
      </c>
      <c r="AH67" s="76">
        <f t="shared" si="20"/>
        <v>0</v>
      </c>
      <c r="AI67" s="76">
        <f t="shared" si="21"/>
        <v>0</v>
      </c>
      <c r="AJ67" s="70">
        <f t="shared" si="11"/>
        <v>0</v>
      </c>
      <c r="AK67" s="16" t="str" cm="1">
        <f t="array" ref="AK67">_xlfn.IFS(AJ67=0,"Nihil",AJ67&gt;0,"Suppletie",AJ67&lt;0,"Restitutie")</f>
        <v>Nihil</v>
      </c>
    </row>
    <row r="68" spans="1:37" x14ac:dyDescent="0.3">
      <c r="A68" s="16" t="str">
        <f>IFERROR(_xlfn.XLOOKUP(E68,Table3[Sub],Table3[Verzekerde]),"-")</f>
        <v>-</v>
      </c>
      <c r="C68" s="69" t="str">
        <f>IFERROR(_xlfn.XLOOKUP(Table4[[#This Row],[Subnummer]],Table3[Sub],Table3[Certificaat]),"-")</f>
        <v>-</v>
      </c>
      <c r="D68" s="16" t="str">
        <f>IFERROR(_xlfn.XLOOKUP(E68,Specificatie!C$9:C$291,Specificatie!Q$9:Q$291),"")</f>
        <v/>
      </c>
      <c r="E68" s="103">
        <v>0</v>
      </c>
      <c r="F68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68" s="70">
        <v>0</v>
      </c>
      <c r="H68" s="71">
        <f>Table4[[#This Row],[Nieuwe waarde]]-Table4[[#This Row],[Oude waarde]]</f>
        <v>0</v>
      </c>
      <c r="I68" s="72">
        <v>46266</v>
      </c>
      <c r="J68" s="72">
        <v>46388</v>
      </c>
      <c r="K68" s="16">
        <f>Table4[[#This Row],[Vervaldatum]]-Table4[[#This Row],[Mutatiedatum]]</f>
        <v>122</v>
      </c>
      <c r="L68" s="16">
        <v>366</v>
      </c>
      <c r="M68" s="16" t="s">
        <v>86</v>
      </c>
      <c r="N68" s="107" t="s">
        <v>87</v>
      </c>
      <c r="O68" s="73" cm="1">
        <f t="array" ref="O68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68" s="75">
        <f>IFERROR(_xlfn.XLOOKUP(Table4[[#This Row],[Subnummer]],Table3[Sub],#REF!),0)</f>
        <v>0</v>
      </c>
      <c r="Q68" s="75">
        <f>IFERROR(_xlfn.XLOOKUP(Table4[[#This Row],[Subnummer]],Table3[Sub],#REF!),0)</f>
        <v>0</v>
      </c>
      <c r="R68" s="75">
        <f>IFERROR(_xlfn.XLOOKUP(Table4[[#This Row],[Subnummer]],Table3[Sub],#REF!),0)</f>
        <v>0</v>
      </c>
      <c r="S68" s="75">
        <f>IFERROR(_xlfn.XLOOKUP(Table4[[#This Row],[Subnummer]],Table3[Sub],#REF!),0)</f>
        <v>0</v>
      </c>
      <c r="T68" s="75">
        <f>IFERROR(_xlfn.XLOOKUP(Table4[[#This Row],[Subnummer]],Table3[Sub],#REF!),0)</f>
        <v>0</v>
      </c>
      <c r="U68" s="75">
        <f>IFERROR(_xlfn.XLOOKUP(Table4[[#This Row],[Subnummer]],Table3[Sub],#REF!),0)</f>
        <v>0</v>
      </c>
      <c r="V68" s="75">
        <f>IFERROR(_xlfn.XLOOKUP(Table4[[#This Row],[Subnummer]],Table3[Sub],#REF!),0)</f>
        <v>0</v>
      </c>
      <c r="W68" s="75">
        <f>IFERROR(_xlfn.XLOOKUP(Table4[[#This Row],[Subnummer]],Table3[Sub],#REF!),0)</f>
        <v>0</v>
      </c>
      <c r="X68" s="75">
        <f>IFERROR(_xlfn.XLOOKUP(Table4[[#This Row],[Subnummer]],Table3[Sub],#REF!),0)</f>
        <v>0</v>
      </c>
      <c r="Y68" s="75">
        <f>IFERROR(_xlfn.XLOOKUP(Table4[[#This Row],[Subnummer]],Table3[Sub],#REF!),0)</f>
        <v>0</v>
      </c>
      <c r="Z68" s="76">
        <f t="shared" si="12"/>
        <v>0</v>
      </c>
      <c r="AA68" s="76">
        <f t="shared" si="13"/>
        <v>0</v>
      </c>
      <c r="AB68" s="76">
        <f t="shared" si="14"/>
        <v>0</v>
      </c>
      <c r="AC68" s="76">
        <f t="shared" si="15"/>
        <v>0</v>
      </c>
      <c r="AD68" s="76">
        <f t="shared" si="16"/>
        <v>0</v>
      </c>
      <c r="AE68" s="76">
        <f t="shared" si="17"/>
        <v>0</v>
      </c>
      <c r="AF68" s="76">
        <f t="shared" si="18"/>
        <v>0</v>
      </c>
      <c r="AG68" s="76">
        <f t="shared" si="19"/>
        <v>0</v>
      </c>
      <c r="AH68" s="76">
        <f t="shared" si="20"/>
        <v>0</v>
      </c>
      <c r="AI68" s="76">
        <f t="shared" si="21"/>
        <v>0</v>
      </c>
      <c r="AJ68" s="70">
        <f t="shared" si="11"/>
        <v>0</v>
      </c>
      <c r="AK68" s="16" t="str" cm="1">
        <f t="array" ref="AK68">_xlfn.IFS(AJ68=0,"Nihil",AJ68&gt;0,"Suppletie",AJ68&lt;0,"Restitutie")</f>
        <v>Nihil</v>
      </c>
    </row>
    <row r="69" spans="1:37" x14ac:dyDescent="0.3">
      <c r="A69" s="16" t="str">
        <f>IFERROR(_xlfn.XLOOKUP(E69,Table3[Sub],Table3[Verzekerde]),"-")</f>
        <v>-</v>
      </c>
      <c r="C69" s="69" t="str">
        <f>IFERROR(_xlfn.XLOOKUP(Table4[[#This Row],[Subnummer]],Table3[Sub],Table3[Certificaat]),"-")</f>
        <v>-</v>
      </c>
      <c r="D69" s="16" t="str">
        <f>IFERROR(_xlfn.XLOOKUP(E69,Specificatie!C$9:C$291,Specificatie!Q$9:Q$291),"")</f>
        <v/>
      </c>
      <c r="E69" s="103">
        <v>0</v>
      </c>
      <c r="F69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69" s="70">
        <v>0</v>
      </c>
      <c r="H69" s="71">
        <f>Table4[[#This Row],[Nieuwe waarde]]-Table4[[#This Row],[Oude waarde]]</f>
        <v>0</v>
      </c>
      <c r="I69" s="72">
        <v>46266</v>
      </c>
      <c r="J69" s="72">
        <v>46388</v>
      </c>
      <c r="K69" s="16">
        <f>Table4[[#This Row],[Vervaldatum]]-Table4[[#This Row],[Mutatiedatum]]</f>
        <v>122</v>
      </c>
      <c r="L69" s="16">
        <v>366</v>
      </c>
      <c r="M69" s="16" t="s">
        <v>86</v>
      </c>
      <c r="N69" s="107" t="s">
        <v>87</v>
      </c>
      <c r="O69" s="73" cm="1">
        <f t="array" ref="O69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69" s="75">
        <f>IFERROR(_xlfn.XLOOKUP(Table4[[#This Row],[Subnummer]],Table3[Sub],#REF!),0)</f>
        <v>0</v>
      </c>
      <c r="Q69" s="75">
        <f>IFERROR(_xlfn.XLOOKUP(Table4[[#This Row],[Subnummer]],Table3[Sub],#REF!),0)</f>
        <v>0</v>
      </c>
      <c r="R69" s="75">
        <f>IFERROR(_xlfn.XLOOKUP(Table4[[#This Row],[Subnummer]],Table3[Sub],#REF!),0)</f>
        <v>0</v>
      </c>
      <c r="S69" s="75">
        <f>IFERROR(_xlfn.XLOOKUP(Table4[[#This Row],[Subnummer]],Table3[Sub],#REF!),0)</f>
        <v>0</v>
      </c>
      <c r="T69" s="75">
        <f>IFERROR(_xlfn.XLOOKUP(Table4[[#This Row],[Subnummer]],Table3[Sub],#REF!),0)</f>
        <v>0</v>
      </c>
      <c r="U69" s="75">
        <f>IFERROR(_xlfn.XLOOKUP(Table4[[#This Row],[Subnummer]],Table3[Sub],#REF!),0)</f>
        <v>0</v>
      </c>
      <c r="V69" s="75">
        <f>IFERROR(_xlfn.XLOOKUP(Table4[[#This Row],[Subnummer]],Table3[Sub],#REF!),0)</f>
        <v>0</v>
      </c>
      <c r="W69" s="75">
        <f>IFERROR(_xlfn.XLOOKUP(Table4[[#This Row],[Subnummer]],Table3[Sub],#REF!),0)</f>
        <v>0</v>
      </c>
      <c r="X69" s="75">
        <f>IFERROR(_xlfn.XLOOKUP(Table4[[#This Row],[Subnummer]],Table3[Sub],#REF!),0)</f>
        <v>0</v>
      </c>
      <c r="Y69" s="75">
        <f>IFERROR(_xlfn.XLOOKUP(Table4[[#This Row],[Subnummer]],Table3[Sub],#REF!),0)</f>
        <v>0</v>
      </c>
      <c r="Z69" s="76">
        <f t="shared" si="12"/>
        <v>0</v>
      </c>
      <c r="AA69" s="76">
        <f t="shared" si="13"/>
        <v>0</v>
      </c>
      <c r="AB69" s="76">
        <f t="shared" si="14"/>
        <v>0</v>
      </c>
      <c r="AC69" s="76">
        <f t="shared" si="15"/>
        <v>0</v>
      </c>
      <c r="AD69" s="76">
        <f t="shared" si="16"/>
        <v>0</v>
      </c>
      <c r="AE69" s="76">
        <f t="shared" si="17"/>
        <v>0</v>
      </c>
      <c r="AF69" s="76">
        <f t="shared" si="18"/>
        <v>0</v>
      </c>
      <c r="AG69" s="76">
        <f t="shared" si="19"/>
        <v>0</v>
      </c>
      <c r="AH69" s="76">
        <f t="shared" si="20"/>
        <v>0</v>
      </c>
      <c r="AI69" s="76">
        <f t="shared" si="21"/>
        <v>0</v>
      </c>
      <c r="AJ69" s="70">
        <f t="shared" si="11"/>
        <v>0</v>
      </c>
      <c r="AK69" s="16" t="str" cm="1">
        <f t="array" ref="AK69">_xlfn.IFS(AJ69=0,"Nihil",AJ69&gt;0,"Suppletie",AJ69&lt;0,"Restitutie")</f>
        <v>Nihil</v>
      </c>
    </row>
    <row r="70" spans="1:37" x14ac:dyDescent="0.3">
      <c r="A70" s="16" t="str">
        <f>IFERROR(_xlfn.XLOOKUP(E70,Table3[Sub],Table3[Verzekerde]),"-")</f>
        <v>-</v>
      </c>
      <c r="C70" s="69" t="str">
        <f>IFERROR(_xlfn.XLOOKUP(Table4[[#This Row],[Subnummer]],Table3[Sub],Table3[Certificaat]),"-")</f>
        <v>-</v>
      </c>
      <c r="D70" s="16" t="str">
        <f>IFERROR(_xlfn.XLOOKUP(E70,Specificatie!C$9:C$291,Specificatie!Q$9:Q$291),"")</f>
        <v/>
      </c>
      <c r="E70" s="103">
        <v>0</v>
      </c>
      <c r="F70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70" s="70">
        <v>0</v>
      </c>
      <c r="H70" s="71">
        <f>Table4[[#This Row],[Nieuwe waarde]]-Table4[[#This Row],[Oude waarde]]</f>
        <v>0</v>
      </c>
      <c r="I70" s="72">
        <v>46266</v>
      </c>
      <c r="J70" s="72">
        <v>46388</v>
      </c>
      <c r="K70" s="16">
        <f>Table4[[#This Row],[Vervaldatum]]-Table4[[#This Row],[Mutatiedatum]]</f>
        <v>122</v>
      </c>
      <c r="L70" s="16">
        <v>366</v>
      </c>
      <c r="M70" s="16" t="s">
        <v>86</v>
      </c>
      <c r="N70" s="107" t="s">
        <v>87</v>
      </c>
      <c r="O70" s="73" cm="1">
        <f t="array" ref="O70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70" s="75">
        <f>IFERROR(_xlfn.XLOOKUP(Table4[[#This Row],[Subnummer]],Table3[Sub],#REF!),0)</f>
        <v>0</v>
      </c>
      <c r="Q70" s="75">
        <f>IFERROR(_xlfn.XLOOKUP(Table4[[#This Row],[Subnummer]],Table3[Sub],#REF!),0)</f>
        <v>0</v>
      </c>
      <c r="R70" s="75">
        <f>IFERROR(_xlfn.XLOOKUP(Table4[[#This Row],[Subnummer]],Table3[Sub],#REF!),0)</f>
        <v>0</v>
      </c>
      <c r="S70" s="75">
        <f>IFERROR(_xlfn.XLOOKUP(Table4[[#This Row],[Subnummer]],Table3[Sub],#REF!),0)</f>
        <v>0</v>
      </c>
      <c r="T70" s="75">
        <f>IFERROR(_xlfn.XLOOKUP(Table4[[#This Row],[Subnummer]],Table3[Sub],#REF!),0)</f>
        <v>0</v>
      </c>
      <c r="U70" s="75">
        <f>IFERROR(_xlfn.XLOOKUP(Table4[[#This Row],[Subnummer]],Table3[Sub],#REF!),0)</f>
        <v>0</v>
      </c>
      <c r="V70" s="75">
        <f>IFERROR(_xlfn.XLOOKUP(Table4[[#This Row],[Subnummer]],Table3[Sub],#REF!),0)</f>
        <v>0</v>
      </c>
      <c r="W70" s="75">
        <f>IFERROR(_xlfn.XLOOKUP(Table4[[#This Row],[Subnummer]],Table3[Sub],#REF!),0)</f>
        <v>0</v>
      </c>
      <c r="X70" s="75">
        <f>IFERROR(_xlfn.XLOOKUP(Table4[[#This Row],[Subnummer]],Table3[Sub],#REF!),0)</f>
        <v>0</v>
      </c>
      <c r="Y70" s="75">
        <f>IFERROR(_xlfn.XLOOKUP(Table4[[#This Row],[Subnummer]],Table3[Sub],#REF!),0)</f>
        <v>0</v>
      </c>
      <c r="Z70" s="76">
        <f t="shared" si="12"/>
        <v>0</v>
      </c>
      <c r="AA70" s="76">
        <f t="shared" si="13"/>
        <v>0</v>
      </c>
      <c r="AB70" s="76">
        <f t="shared" si="14"/>
        <v>0</v>
      </c>
      <c r="AC70" s="76">
        <f t="shared" si="15"/>
        <v>0</v>
      </c>
      <c r="AD70" s="76">
        <f t="shared" si="16"/>
        <v>0</v>
      </c>
      <c r="AE70" s="76">
        <f t="shared" si="17"/>
        <v>0</v>
      </c>
      <c r="AF70" s="76">
        <f t="shared" si="18"/>
        <v>0</v>
      </c>
      <c r="AG70" s="76">
        <f t="shared" si="19"/>
        <v>0</v>
      </c>
      <c r="AH70" s="76">
        <f t="shared" si="20"/>
        <v>0</v>
      </c>
      <c r="AI70" s="76">
        <f t="shared" si="21"/>
        <v>0</v>
      </c>
      <c r="AJ70" s="70">
        <f t="shared" si="11"/>
        <v>0</v>
      </c>
      <c r="AK70" s="16" t="str" cm="1">
        <f t="array" ref="AK70">_xlfn.IFS(AJ70=0,"Nihil",AJ70&gt;0,"Suppletie",AJ70&lt;0,"Restitutie")</f>
        <v>Nihil</v>
      </c>
    </row>
    <row r="71" spans="1:37" x14ac:dyDescent="0.3">
      <c r="A71" s="16" t="str">
        <f>IFERROR(_xlfn.XLOOKUP(E71,Table3[Sub],Table3[Verzekerde]),"-")</f>
        <v>-</v>
      </c>
      <c r="C71" s="69" t="str">
        <f>IFERROR(_xlfn.XLOOKUP(Table4[[#This Row],[Subnummer]],Table3[Sub],Table3[Certificaat]),"-")</f>
        <v>-</v>
      </c>
      <c r="D71" s="16" t="str">
        <f>IFERROR(_xlfn.XLOOKUP(E71,Specificatie!C$9:C$291,Specificatie!Q$9:Q$291),"")</f>
        <v/>
      </c>
      <c r="E71" s="103">
        <v>0</v>
      </c>
      <c r="F71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71" s="70">
        <v>0</v>
      </c>
      <c r="H71" s="71">
        <f>Table4[[#This Row],[Nieuwe waarde]]-Table4[[#This Row],[Oude waarde]]</f>
        <v>0</v>
      </c>
      <c r="I71" s="72">
        <v>46266</v>
      </c>
      <c r="J71" s="72">
        <v>46388</v>
      </c>
      <c r="K71" s="16">
        <f>Table4[[#This Row],[Vervaldatum]]-Table4[[#This Row],[Mutatiedatum]]</f>
        <v>122</v>
      </c>
      <c r="L71" s="16">
        <v>366</v>
      </c>
      <c r="M71" s="16" t="s">
        <v>86</v>
      </c>
      <c r="N71" s="107" t="s">
        <v>87</v>
      </c>
      <c r="O71" s="73" cm="1">
        <f t="array" ref="O71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71" s="75">
        <f>IFERROR(_xlfn.XLOOKUP(Table4[[#This Row],[Subnummer]],Table3[Sub],#REF!),0)</f>
        <v>0</v>
      </c>
      <c r="Q71" s="75">
        <f>IFERROR(_xlfn.XLOOKUP(Table4[[#This Row],[Subnummer]],Table3[Sub],#REF!),0)</f>
        <v>0</v>
      </c>
      <c r="R71" s="75">
        <f>IFERROR(_xlfn.XLOOKUP(Table4[[#This Row],[Subnummer]],Table3[Sub],#REF!),0)</f>
        <v>0</v>
      </c>
      <c r="S71" s="75">
        <f>IFERROR(_xlfn.XLOOKUP(Table4[[#This Row],[Subnummer]],Table3[Sub],#REF!),0)</f>
        <v>0</v>
      </c>
      <c r="T71" s="75">
        <f>IFERROR(_xlfn.XLOOKUP(Table4[[#This Row],[Subnummer]],Table3[Sub],#REF!),0)</f>
        <v>0</v>
      </c>
      <c r="U71" s="75">
        <f>IFERROR(_xlfn.XLOOKUP(Table4[[#This Row],[Subnummer]],Table3[Sub],#REF!),0)</f>
        <v>0</v>
      </c>
      <c r="V71" s="75">
        <f>IFERROR(_xlfn.XLOOKUP(Table4[[#This Row],[Subnummer]],Table3[Sub],#REF!),0)</f>
        <v>0</v>
      </c>
      <c r="W71" s="75">
        <f>IFERROR(_xlfn.XLOOKUP(Table4[[#This Row],[Subnummer]],Table3[Sub],#REF!),0)</f>
        <v>0</v>
      </c>
      <c r="X71" s="75">
        <f>IFERROR(_xlfn.XLOOKUP(Table4[[#This Row],[Subnummer]],Table3[Sub],#REF!),0)</f>
        <v>0</v>
      </c>
      <c r="Y71" s="75">
        <f>IFERROR(_xlfn.XLOOKUP(Table4[[#This Row],[Subnummer]],Table3[Sub],#REF!),0)</f>
        <v>0</v>
      </c>
      <c r="Z71" s="76">
        <f t="shared" si="12"/>
        <v>0</v>
      </c>
      <c r="AA71" s="76">
        <f t="shared" si="13"/>
        <v>0</v>
      </c>
      <c r="AB71" s="76">
        <f t="shared" si="14"/>
        <v>0</v>
      </c>
      <c r="AC71" s="76">
        <f t="shared" si="15"/>
        <v>0</v>
      </c>
      <c r="AD71" s="76">
        <f t="shared" si="16"/>
        <v>0</v>
      </c>
      <c r="AE71" s="76">
        <f t="shared" si="17"/>
        <v>0</v>
      </c>
      <c r="AF71" s="76">
        <f t="shared" si="18"/>
        <v>0</v>
      </c>
      <c r="AG71" s="76">
        <f t="shared" si="19"/>
        <v>0</v>
      </c>
      <c r="AH71" s="76">
        <f t="shared" si="20"/>
        <v>0</v>
      </c>
      <c r="AI71" s="76">
        <f t="shared" si="21"/>
        <v>0</v>
      </c>
      <c r="AJ71" s="70">
        <f t="shared" si="11"/>
        <v>0</v>
      </c>
      <c r="AK71" s="16" t="str" cm="1">
        <f t="array" ref="AK71">_xlfn.IFS(AJ71=0,"Nihil",AJ71&gt;0,"Suppletie",AJ71&lt;0,"Restitutie")</f>
        <v>Nihil</v>
      </c>
    </row>
    <row r="72" spans="1:37" x14ac:dyDescent="0.3">
      <c r="A72" s="16" t="str">
        <f>IFERROR(_xlfn.XLOOKUP(E72,Table3[Sub],Table3[Verzekerde]),"-")</f>
        <v>-</v>
      </c>
      <c r="C72" s="69" t="str">
        <f>IFERROR(_xlfn.XLOOKUP(Table4[[#This Row],[Subnummer]],Table3[Sub],Table3[Certificaat]),"-")</f>
        <v>-</v>
      </c>
      <c r="D72" s="16" t="str">
        <f>IFERROR(_xlfn.XLOOKUP(E72,Specificatie!C$9:C$291,Specificatie!Q$9:Q$291),"")</f>
        <v/>
      </c>
      <c r="E72" s="103">
        <v>0</v>
      </c>
      <c r="F72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72" s="70">
        <v>0</v>
      </c>
      <c r="H72" s="71">
        <f>Table4[[#This Row],[Nieuwe waarde]]-Table4[[#This Row],[Oude waarde]]</f>
        <v>0</v>
      </c>
      <c r="I72" s="72">
        <v>46266</v>
      </c>
      <c r="J72" s="72">
        <v>46388</v>
      </c>
      <c r="K72" s="16">
        <f>Table4[[#This Row],[Vervaldatum]]-Table4[[#This Row],[Mutatiedatum]]</f>
        <v>122</v>
      </c>
      <c r="L72" s="16">
        <v>366</v>
      </c>
      <c r="M72" s="16" t="s">
        <v>86</v>
      </c>
      <c r="N72" s="107" t="s">
        <v>87</v>
      </c>
      <c r="O72" s="73" cm="1">
        <f t="array" ref="O72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72" s="75">
        <f>IFERROR(_xlfn.XLOOKUP(Table4[[#This Row],[Subnummer]],Table3[Sub],#REF!),0)</f>
        <v>0</v>
      </c>
      <c r="Q72" s="75">
        <f>IFERROR(_xlfn.XLOOKUP(Table4[[#This Row],[Subnummer]],Table3[Sub],#REF!),0)</f>
        <v>0</v>
      </c>
      <c r="R72" s="75">
        <f>IFERROR(_xlfn.XLOOKUP(Table4[[#This Row],[Subnummer]],Table3[Sub],#REF!),0)</f>
        <v>0</v>
      </c>
      <c r="S72" s="75">
        <f>IFERROR(_xlfn.XLOOKUP(Table4[[#This Row],[Subnummer]],Table3[Sub],#REF!),0)</f>
        <v>0</v>
      </c>
      <c r="T72" s="75">
        <f>IFERROR(_xlfn.XLOOKUP(Table4[[#This Row],[Subnummer]],Table3[Sub],#REF!),0)</f>
        <v>0</v>
      </c>
      <c r="U72" s="75">
        <f>IFERROR(_xlfn.XLOOKUP(Table4[[#This Row],[Subnummer]],Table3[Sub],#REF!),0)</f>
        <v>0</v>
      </c>
      <c r="V72" s="75">
        <f>IFERROR(_xlfn.XLOOKUP(Table4[[#This Row],[Subnummer]],Table3[Sub],#REF!),0)</f>
        <v>0</v>
      </c>
      <c r="W72" s="75">
        <f>IFERROR(_xlfn.XLOOKUP(Table4[[#This Row],[Subnummer]],Table3[Sub],#REF!),0)</f>
        <v>0</v>
      </c>
      <c r="X72" s="75">
        <f>IFERROR(_xlfn.XLOOKUP(Table4[[#This Row],[Subnummer]],Table3[Sub],#REF!),0)</f>
        <v>0</v>
      </c>
      <c r="Y72" s="75">
        <f>IFERROR(_xlfn.XLOOKUP(Table4[[#This Row],[Subnummer]],Table3[Sub],#REF!),0)</f>
        <v>0</v>
      </c>
      <c r="Z72" s="76">
        <f t="shared" si="12"/>
        <v>0</v>
      </c>
      <c r="AA72" s="76">
        <f t="shared" si="13"/>
        <v>0</v>
      </c>
      <c r="AB72" s="76">
        <f t="shared" si="14"/>
        <v>0</v>
      </c>
      <c r="AC72" s="76">
        <f t="shared" si="15"/>
        <v>0</v>
      </c>
      <c r="AD72" s="76">
        <f t="shared" si="16"/>
        <v>0</v>
      </c>
      <c r="AE72" s="76">
        <f t="shared" si="17"/>
        <v>0</v>
      </c>
      <c r="AF72" s="76">
        <f t="shared" si="18"/>
        <v>0</v>
      </c>
      <c r="AG72" s="76">
        <f t="shared" si="19"/>
        <v>0</v>
      </c>
      <c r="AH72" s="76">
        <f t="shared" si="20"/>
        <v>0</v>
      </c>
      <c r="AI72" s="76">
        <f t="shared" si="21"/>
        <v>0</v>
      </c>
      <c r="AJ72" s="70">
        <f t="shared" si="11"/>
        <v>0</v>
      </c>
      <c r="AK72" s="16" t="str" cm="1">
        <f t="array" ref="AK72">_xlfn.IFS(AJ72=0,"Nihil",AJ72&gt;0,"Suppletie",AJ72&lt;0,"Restitutie")</f>
        <v>Nihil</v>
      </c>
    </row>
    <row r="73" spans="1:37" x14ac:dyDescent="0.3">
      <c r="A73" s="16" t="str">
        <f>IFERROR(_xlfn.XLOOKUP(E73,Table3[Sub],Table3[Verzekerde]),"-")</f>
        <v>-</v>
      </c>
      <c r="C73" s="69" t="str">
        <f>IFERROR(_xlfn.XLOOKUP(Table4[[#This Row],[Subnummer]],Table3[Sub],Table3[Certificaat]),"-")</f>
        <v>-</v>
      </c>
      <c r="D73" s="16" t="str">
        <f>IFERROR(_xlfn.XLOOKUP(E73,Specificatie!C$9:C$291,Specificatie!Q$9:Q$291),"")</f>
        <v/>
      </c>
      <c r="E73" s="103">
        <v>0</v>
      </c>
      <c r="F73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73" s="70">
        <v>0</v>
      </c>
      <c r="H73" s="71">
        <f>Table4[[#This Row],[Nieuwe waarde]]-Table4[[#This Row],[Oude waarde]]</f>
        <v>0</v>
      </c>
      <c r="I73" s="72">
        <v>46266</v>
      </c>
      <c r="J73" s="72">
        <v>46388</v>
      </c>
      <c r="K73" s="16">
        <f>Table4[[#This Row],[Vervaldatum]]-Table4[[#This Row],[Mutatiedatum]]</f>
        <v>122</v>
      </c>
      <c r="L73" s="16">
        <v>366</v>
      </c>
      <c r="M73" s="16" t="s">
        <v>86</v>
      </c>
      <c r="N73" s="107" t="s">
        <v>87</v>
      </c>
      <c r="O73" s="73" cm="1">
        <f t="array" ref="O73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73" s="75">
        <f>IFERROR(_xlfn.XLOOKUP(Table4[[#This Row],[Subnummer]],Table3[Sub],#REF!),0)</f>
        <v>0</v>
      </c>
      <c r="Q73" s="75">
        <f>IFERROR(_xlfn.XLOOKUP(Table4[[#This Row],[Subnummer]],Table3[Sub],#REF!),0)</f>
        <v>0</v>
      </c>
      <c r="R73" s="75">
        <f>IFERROR(_xlfn.XLOOKUP(Table4[[#This Row],[Subnummer]],Table3[Sub],#REF!),0)</f>
        <v>0</v>
      </c>
      <c r="S73" s="75">
        <f>IFERROR(_xlfn.XLOOKUP(Table4[[#This Row],[Subnummer]],Table3[Sub],#REF!),0)</f>
        <v>0</v>
      </c>
      <c r="T73" s="75">
        <f>IFERROR(_xlfn.XLOOKUP(Table4[[#This Row],[Subnummer]],Table3[Sub],#REF!),0)</f>
        <v>0</v>
      </c>
      <c r="U73" s="75">
        <f>IFERROR(_xlfn.XLOOKUP(Table4[[#This Row],[Subnummer]],Table3[Sub],#REF!),0)</f>
        <v>0</v>
      </c>
      <c r="V73" s="75">
        <f>IFERROR(_xlfn.XLOOKUP(Table4[[#This Row],[Subnummer]],Table3[Sub],#REF!),0)</f>
        <v>0</v>
      </c>
      <c r="W73" s="75">
        <f>IFERROR(_xlfn.XLOOKUP(Table4[[#This Row],[Subnummer]],Table3[Sub],#REF!),0)</f>
        <v>0</v>
      </c>
      <c r="X73" s="75">
        <f>IFERROR(_xlfn.XLOOKUP(Table4[[#This Row],[Subnummer]],Table3[Sub],#REF!),0)</f>
        <v>0</v>
      </c>
      <c r="Y73" s="75">
        <f>IFERROR(_xlfn.XLOOKUP(Table4[[#This Row],[Subnummer]],Table3[Sub],#REF!),0)</f>
        <v>0</v>
      </c>
      <c r="Z73" s="76">
        <f t="shared" si="12"/>
        <v>0</v>
      </c>
      <c r="AA73" s="76">
        <f t="shared" si="13"/>
        <v>0</v>
      </c>
      <c r="AB73" s="76">
        <f t="shared" si="14"/>
        <v>0</v>
      </c>
      <c r="AC73" s="76">
        <f t="shared" si="15"/>
        <v>0</v>
      </c>
      <c r="AD73" s="76">
        <f t="shared" si="16"/>
        <v>0</v>
      </c>
      <c r="AE73" s="76">
        <f t="shared" si="17"/>
        <v>0</v>
      </c>
      <c r="AF73" s="76">
        <f t="shared" si="18"/>
        <v>0</v>
      </c>
      <c r="AG73" s="76">
        <f t="shared" si="19"/>
        <v>0</v>
      </c>
      <c r="AH73" s="76">
        <f t="shared" si="20"/>
        <v>0</v>
      </c>
      <c r="AI73" s="76">
        <f t="shared" si="21"/>
        <v>0</v>
      </c>
      <c r="AJ73" s="70">
        <f t="shared" si="11"/>
        <v>0</v>
      </c>
      <c r="AK73" s="16" t="str" cm="1">
        <f t="array" ref="AK73">_xlfn.IFS(AJ73=0,"Nihil",AJ73&gt;0,"Suppletie",AJ73&lt;0,"Restitutie")</f>
        <v>Nihil</v>
      </c>
    </row>
    <row r="74" spans="1:37" x14ac:dyDescent="0.3">
      <c r="A74" s="16" t="str">
        <f>IFERROR(_xlfn.XLOOKUP(E74,Table3[Sub],Table3[Verzekerde]),"-")</f>
        <v>-</v>
      </c>
      <c r="C74" s="69" t="str">
        <f>IFERROR(_xlfn.XLOOKUP(Table4[[#This Row],[Subnummer]],Table3[Sub],Table3[Certificaat]),"-")</f>
        <v>-</v>
      </c>
      <c r="D74" s="16" t="str">
        <f>IFERROR(_xlfn.XLOOKUP(E74,Specificatie!C$9:C$291,Specificatie!Q$9:Q$291),"")</f>
        <v/>
      </c>
      <c r="E74" s="103">
        <v>0</v>
      </c>
      <c r="F74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74" s="70">
        <v>0</v>
      </c>
      <c r="H74" s="71">
        <f>Table4[[#This Row],[Nieuwe waarde]]-Table4[[#This Row],[Oude waarde]]</f>
        <v>0</v>
      </c>
      <c r="I74" s="72">
        <v>46266</v>
      </c>
      <c r="J74" s="72">
        <v>46388</v>
      </c>
      <c r="K74" s="16">
        <f>Table4[[#This Row],[Vervaldatum]]-Table4[[#This Row],[Mutatiedatum]]</f>
        <v>122</v>
      </c>
      <c r="L74" s="16">
        <v>366</v>
      </c>
      <c r="M74" s="16" t="s">
        <v>86</v>
      </c>
      <c r="N74" s="107" t="s">
        <v>87</v>
      </c>
      <c r="O74" s="73" cm="1">
        <f t="array" ref="O74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74" s="75">
        <f>IFERROR(_xlfn.XLOOKUP(Table4[[#This Row],[Subnummer]],Table3[Sub],#REF!),0)</f>
        <v>0</v>
      </c>
      <c r="Q74" s="75">
        <f>IFERROR(_xlfn.XLOOKUP(Table4[[#This Row],[Subnummer]],Table3[Sub],#REF!),0)</f>
        <v>0</v>
      </c>
      <c r="R74" s="75">
        <f>IFERROR(_xlfn.XLOOKUP(Table4[[#This Row],[Subnummer]],Table3[Sub],#REF!),0)</f>
        <v>0</v>
      </c>
      <c r="S74" s="75">
        <f>IFERROR(_xlfn.XLOOKUP(Table4[[#This Row],[Subnummer]],Table3[Sub],#REF!),0)</f>
        <v>0</v>
      </c>
      <c r="T74" s="75">
        <f>IFERROR(_xlfn.XLOOKUP(Table4[[#This Row],[Subnummer]],Table3[Sub],#REF!),0)</f>
        <v>0</v>
      </c>
      <c r="U74" s="75">
        <f>IFERROR(_xlfn.XLOOKUP(Table4[[#This Row],[Subnummer]],Table3[Sub],#REF!),0)</f>
        <v>0</v>
      </c>
      <c r="V74" s="75">
        <f>IFERROR(_xlfn.XLOOKUP(Table4[[#This Row],[Subnummer]],Table3[Sub],#REF!),0)</f>
        <v>0</v>
      </c>
      <c r="W74" s="75">
        <f>IFERROR(_xlfn.XLOOKUP(Table4[[#This Row],[Subnummer]],Table3[Sub],#REF!),0)</f>
        <v>0</v>
      </c>
      <c r="X74" s="75">
        <f>IFERROR(_xlfn.XLOOKUP(Table4[[#This Row],[Subnummer]],Table3[Sub],#REF!),0)</f>
        <v>0</v>
      </c>
      <c r="Y74" s="75">
        <f>IFERROR(_xlfn.XLOOKUP(Table4[[#This Row],[Subnummer]],Table3[Sub],#REF!),0)</f>
        <v>0</v>
      </c>
      <c r="Z74" s="76">
        <f t="shared" ref="Z74:Z98" si="22">IFERROR(ROUND($O74*P74/1000*_xlfn.XLOOKUP(Z$8,Verzekeraar,verz_aandeel),2),0)</f>
        <v>0</v>
      </c>
      <c r="AA74" s="76">
        <f t="shared" ref="AA74:AA98" si="23">IFERROR(ROUND($O74*Q74/1000*_xlfn.XLOOKUP(AA$8,Verzekeraar,verz_aandeel),2),0)</f>
        <v>0</v>
      </c>
      <c r="AB74" s="76">
        <f t="shared" ref="AB74:AB98" si="24">IFERROR(ROUND($O74*R74/1000*_xlfn.XLOOKUP(AB$8,Verzekeraar,verz_aandeel),2),0)</f>
        <v>0</v>
      </c>
      <c r="AC74" s="76">
        <f t="shared" ref="AC74:AC98" si="25">IFERROR(ROUND($O74*S74/1000*_xlfn.XLOOKUP(AC$8,Verzekeraar,verz_aandeel),2),0)</f>
        <v>0</v>
      </c>
      <c r="AD74" s="76">
        <f t="shared" ref="AD74:AD98" si="26">IFERROR(ROUND($O74*T74/1000*_xlfn.XLOOKUP(AD$8,Verzekeraar,verz_aandeel),2),0)</f>
        <v>0</v>
      </c>
      <c r="AE74" s="76">
        <f t="shared" ref="AE74:AE98" si="27">IFERROR(ROUND($O74*U74/1000*_xlfn.XLOOKUP(AE$8,Verzekeraar,verz_aandeel),2),0)</f>
        <v>0</v>
      </c>
      <c r="AF74" s="76">
        <f t="shared" ref="AF74:AF98" si="28">IFERROR(ROUND($O74*V74/1000*_xlfn.XLOOKUP(AF$8,Verzekeraar,verz_aandeel),2),0)</f>
        <v>0</v>
      </c>
      <c r="AG74" s="76">
        <f t="shared" ref="AG74:AG98" si="29">IFERROR(ROUND($O74*W74/1000*_xlfn.XLOOKUP(AG$8,Verzekeraar,verz_aandeel),2),0)</f>
        <v>0</v>
      </c>
      <c r="AH74" s="76">
        <f t="shared" ref="AH74:AH98" si="30">IFERROR(ROUND($O74*X74/1000*_xlfn.XLOOKUP(AH$8,Verzekeraar,verz_aandeel),2),0)</f>
        <v>0</v>
      </c>
      <c r="AI74" s="76">
        <f t="shared" ref="AI74:AI98" si="31">IFERROR(ROUND($O74*Y74/1000*_xlfn.XLOOKUP(AI$8,Verzekeraar,verz_aandeel),2),0)</f>
        <v>0</v>
      </c>
      <c r="AJ74" s="70">
        <f t="shared" si="11"/>
        <v>0</v>
      </c>
      <c r="AK74" s="16" t="str" cm="1">
        <f t="array" ref="AK74">_xlfn.IFS(AJ74=0,"Nihil",AJ74&gt;0,"Suppletie",AJ74&lt;0,"Restitutie")</f>
        <v>Nihil</v>
      </c>
    </row>
    <row r="75" spans="1:37" x14ac:dyDescent="0.3">
      <c r="A75" s="16" t="str">
        <f>IFERROR(_xlfn.XLOOKUP(E75,Table3[Sub],Table3[Verzekerde]),"-")</f>
        <v>-</v>
      </c>
      <c r="C75" s="69" t="str">
        <f>IFERROR(_xlfn.XLOOKUP(Table4[[#This Row],[Subnummer]],Table3[Sub],Table3[Certificaat]),"-")</f>
        <v>-</v>
      </c>
      <c r="D75" s="16" t="str">
        <f>IFERROR(_xlfn.XLOOKUP(E75,Specificatie!C$9:C$291,Specificatie!Q$9:Q$291),"")</f>
        <v/>
      </c>
      <c r="E75" s="103">
        <v>0</v>
      </c>
      <c r="F75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75" s="70">
        <v>0</v>
      </c>
      <c r="H75" s="71">
        <f>Table4[[#This Row],[Nieuwe waarde]]-Table4[[#This Row],[Oude waarde]]</f>
        <v>0</v>
      </c>
      <c r="I75" s="72">
        <v>46266</v>
      </c>
      <c r="J75" s="72">
        <v>46388</v>
      </c>
      <c r="K75" s="16">
        <f>Table4[[#This Row],[Vervaldatum]]-Table4[[#This Row],[Mutatiedatum]]</f>
        <v>122</v>
      </c>
      <c r="L75" s="16">
        <v>366</v>
      </c>
      <c r="M75" s="16" t="s">
        <v>86</v>
      </c>
      <c r="N75" s="107" t="s">
        <v>87</v>
      </c>
      <c r="O75" s="73" cm="1">
        <f t="array" ref="O75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75" s="75">
        <f>IFERROR(_xlfn.XLOOKUP(Table4[[#This Row],[Subnummer]],Table3[Sub],#REF!),0)</f>
        <v>0</v>
      </c>
      <c r="Q75" s="75">
        <f>IFERROR(_xlfn.XLOOKUP(Table4[[#This Row],[Subnummer]],Table3[Sub],#REF!),0)</f>
        <v>0</v>
      </c>
      <c r="R75" s="75">
        <f>IFERROR(_xlfn.XLOOKUP(Table4[[#This Row],[Subnummer]],Table3[Sub],#REF!),0)</f>
        <v>0</v>
      </c>
      <c r="S75" s="75">
        <f>IFERROR(_xlfn.XLOOKUP(Table4[[#This Row],[Subnummer]],Table3[Sub],#REF!),0)</f>
        <v>0</v>
      </c>
      <c r="T75" s="75">
        <f>IFERROR(_xlfn.XLOOKUP(Table4[[#This Row],[Subnummer]],Table3[Sub],#REF!),0)</f>
        <v>0</v>
      </c>
      <c r="U75" s="75">
        <f>IFERROR(_xlfn.XLOOKUP(Table4[[#This Row],[Subnummer]],Table3[Sub],#REF!),0)</f>
        <v>0</v>
      </c>
      <c r="V75" s="75">
        <f>IFERROR(_xlfn.XLOOKUP(Table4[[#This Row],[Subnummer]],Table3[Sub],#REF!),0)</f>
        <v>0</v>
      </c>
      <c r="W75" s="75">
        <f>IFERROR(_xlfn.XLOOKUP(Table4[[#This Row],[Subnummer]],Table3[Sub],#REF!),0)</f>
        <v>0</v>
      </c>
      <c r="X75" s="75">
        <f>IFERROR(_xlfn.XLOOKUP(Table4[[#This Row],[Subnummer]],Table3[Sub],#REF!),0)</f>
        <v>0</v>
      </c>
      <c r="Y75" s="75">
        <f>IFERROR(_xlfn.XLOOKUP(Table4[[#This Row],[Subnummer]],Table3[Sub],#REF!),0)</f>
        <v>0</v>
      </c>
      <c r="Z75" s="76">
        <f t="shared" si="22"/>
        <v>0</v>
      </c>
      <c r="AA75" s="76">
        <f t="shared" si="23"/>
        <v>0</v>
      </c>
      <c r="AB75" s="76">
        <f t="shared" si="24"/>
        <v>0</v>
      </c>
      <c r="AC75" s="76">
        <f t="shared" si="25"/>
        <v>0</v>
      </c>
      <c r="AD75" s="76">
        <f t="shared" si="26"/>
        <v>0</v>
      </c>
      <c r="AE75" s="76">
        <f t="shared" si="27"/>
        <v>0</v>
      </c>
      <c r="AF75" s="76">
        <f t="shared" si="28"/>
        <v>0</v>
      </c>
      <c r="AG75" s="76">
        <f t="shared" si="29"/>
        <v>0</v>
      </c>
      <c r="AH75" s="76">
        <f t="shared" si="30"/>
        <v>0</v>
      </c>
      <c r="AI75" s="76">
        <f t="shared" si="31"/>
        <v>0</v>
      </c>
      <c r="AJ75" s="70">
        <f t="shared" si="11"/>
        <v>0</v>
      </c>
      <c r="AK75" s="16" t="str" cm="1">
        <f t="array" ref="AK75">_xlfn.IFS(AJ75=0,"Nihil",AJ75&gt;0,"Suppletie",AJ75&lt;0,"Restitutie")</f>
        <v>Nihil</v>
      </c>
    </row>
    <row r="76" spans="1:37" x14ac:dyDescent="0.3">
      <c r="A76" s="16" t="str">
        <f>IFERROR(_xlfn.XLOOKUP(E76,Table3[Sub],Table3[Verzekerde]),"-")</f>
        <v>-</v>
      </c>
      <c r="C76" s="69" t="str">
        <f>IFERROR(_xlfn.XLOOKUP(Table4[[#This Row],[Subnummer]],Table3[Sub],Table3[Certificaat]),"-")</f>
        <v>-</v>
      </c>
      <c r="D76" s="16" t="str">
        <f>IFERROR(_xlfn.XLOOKUP(E76,Specificatie!C$9:C$291,Specificatie!Q$9:Q$291),"")</f>
        <v/>
      </c>
      <c r="E76" s="103">
        <v>0</v>
      </c>
      <c r="F76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76" s="70">
        <v>0</v>
      </c>
      <c r="H76" s="71">
        <f>Table4[[#This Row],[Nieuwe waarde]]-Table4[[#This Row],[Oude waarde]]</f>
        <v>0</v>
      </c>
      <c r="I76" s="72">
        <v>46266</v>
      </c>
      <c r="J76" s="72">
        <v>46388</v>
      </c>
      <c r="K76" s="16">
        <f>Table4[[#This Row],[Vervaldatum]]-Table4[[#This Row],[Mutatiedatum]]</f>
        <v>122</v>
      </c>
      <c r="L76" s="16">
        <v>366</v>
      </c>
      <c r="M76" s="16" t="s">
        <v>86</v>
      </c>
      <c r="N76" s="107" t="s">
        <v>87</v>
      </c>
      <c r="O76" s="73" cm="1">
        <f t="array" ref="O76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76" s="75">
        <f>IFERROR(_xlfn.XLOOKUP(Table4[[#This Row],[Subnummer]],Table3[Sub],#REF!),0)</f>
        <v>0</v>
      </c>
      <c r="Q76" s="75">
        <f>IFERROR(_xlfn.XLOOKUP(Table4[[#This Row],[Subnummer]],Table3[Sub],#REF!),0)</f>
        <v>0</v>
      </c>
      <c r="R76" s="75">
        <f>IFERROR(_xlfn.XLOOKUP(Table4[[#This Row],[Subnummer]],Table3[Sub],#REF!),0)</f>
        <v>0</v>
      </c>
      <c r="S76" s="75">
        <f>IFERROR(_xlfn.XLOOKUP(Table4[[#This Row],[Subnummer]],Table3[Sub],#REF!),0)</f>
        <v>0</v>
      </c>
      <c r="T76" s="75">
        <f>IFERROR(_xlfn.XLOOKUP(Table4[[#This Row],[Subnummer]],Table3[Sub],#REF!),0)</f>
        <v>0</v>
      </c>
      <c r="U76" s="75">
        <f>IFERROR(_xlfn.XLOOKUP(Table4[[#This Row],[Subnummer]],Table3[Sub],#REF!),0)</f>
        <v>0</v>
      </c>
      <c r="V76" s="75">
        <f>IFERROR(_xlfn.XLOOKUP(Table4[[#This Row],[Subnummer]],Table3[Sub],#REF!),0)</f>
        <v>0</v>
      </c>
      <c r="W76" s="75">
        <f>IFERROR(_xlfn.XLOOKUP(Table4[[#This Row],[Subnummer]],Table3[Sub],#REF!),0)</f>
        <v>0</v>
      </c>
      <c r="X76" s="75">
        <f>IFERROR(_xlfn.XLOOKUP(Table4[[#This Row],[Subnummer]],Table3[Sub],#REF!),0)</f>
        <v>0</v>
      </c>
      <c r="Y76" s="75">
        <f>IFERROR(_xlfn.XLOOKUP(Table4[[#This Row],[Subnummer]],Table3[Sub],#REF!),0)</f>
        <v>0</v>
      </c>
      <c r="Z76" s="76">
        <f t="shared" si="22"/>
        <v>0</v>
      </c>
      <c r="AA76" s="76">
        <f t="shared" si="23"/>
        <v>0</v>
      </c>
      <c r="AB76" s="76">
        <f t="shared" si="24"/>
        <v>0</v>
      </c>
      <c r="AC76" s="76">
        <f t="shared" si="25"/>
        <v>0</v>
      </c>
      <c r="AD76" s="76">
        <f t="shared" si="26"/>
        <v>0</v>
      </c>
      <c r="AE76" s="76">
        <f t="shared" si="27"/>
        <v>0</v>
      </c>
      <c r="AF76" s="76">
        <f t="shared" si="28"/>
        <v>0</v>
      </c>
      <c r="AG76" s="76">
        <f t="shared" si="29"/>
        <v>0</v>
      </c>
      <c r="AH76" s="76">
        <f t="shared" si="30"/>
        <v>0</v>
      </c>
      <c r="AI76" s="76">
        <f t="shared" si="31"/>
        <v>0</v>
      </c>
      <c r="AJ76" s="70">
        <f t="shared" si="11"/>
        <v>0</v>
      </c>
      <c r="AK76" s="16" t="str" cm="1">
        <f t="array" ref="AK76">_xlfn.IFS(AJ76=0,"Nihil",AJ76&gt;0,"Suppletie",AJ76&lt;0,"Restitutie")</f>
        <v>Nihil</v>
      </c>
    </row>
    <row r="77" spans="1:37" x14ac:dyDescent="0.3">
      <c r="A77" s="16" t="str">
        <f>IFERROR(_xlfn.XLOOKUP(E77,Table3[Sub],Table3[Verzekerde]),"-")</f>
        <v>-</v>
      </c>
      <c r="C77" s="69" t="str">
        <f>IFERROR(_xlfn.XLOOKUP(Table4[[#This Row],[Subnummer]],Table3[Sub],Table3[Certificaat]),"-")</f>
        <v>-</v>
      </c>
      <c r="D77" s="16" t="str">
        <f>IFERROR(_xlfn.XLOOKUP(E77,Specificatie!C$9:C$291,Specificatie!Q$9:Q$291),"")</f>
        <v/>
      </c>
      <c r="E77" s="103">
        <v>0</v>
      </c>
      <c r="F77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77" s="70">
        <v>0</v>
      </c>
      <c r="H77" s="71">
        <f>Table4[[#This Row],[Nieuwe waarde]]-Table4[[#This Row],[Oude waarde]]</f>
        <v>0</v>
      </c>
      <c r="I77" s="72">
        <v>46266</v>
      </c>
      <c r="J77" s="72">
        <v>46388</v>
      </c>
      <c r="K77" s="16">
        <f>Table4[[#This Row],[Vervaldatum]]-Table4[[#This Row],[Mutatiedatum]]</f>
        <v>122</v>
      </c>
      <c r="L77" s="16">
        <v>366</v>
      </c>
      <c r="M77" s="16" t="s">
        <v>86</v>
      </c>
      <c r="N77" s="107" t="s">
        <v>87</v>
      </c>
      <c r="O77" s="73" cm="1">
        <f t="array" ref="O77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77" s="75">
        <f>IFERROR(_xlfn.XLOOKUP(Table4[[#This Row],[Subnummer]],Table3[Sub],#REF!),0)</f>
        <v>0</v>
      </c>
      <c r="Q77" s="75">
        <f>IFERROR(_xlfn.XLOOKUP(Table4[[#This Row],[Subnummer]],Table3[Sub],#REF!),0)</f>
        <v>0</v>
      </c>
      <c r="R77" s="75">
        <f>IFERROR(_xlfn.XLOOKUP(Table4[[#This Row],[Subnummer]],Table3[Sub],#REF!),0)</f>
        <v>0</v>
      </c>
      <c r="S77" s="75">
        <f>IFERROR(_xlfn.XLOOKUP(Table4[[#This Row],[Subnummer]],Table3[Sub],#REF!),0)</f>
        <v>0</v>
      </c>
      <c r="T77" s="75">
        <f>IFERROR(_xlfn.XLOOKUP(Table4[[#This Row],[Subnummer]],Table3[Sub],#REF!),0)</f>
        <v>0</v>
      </c>
      <c r="U77" s="75">
        <f>IFERROR(_xlfn.XLOOKUP(Table4[[#This Row],[Subnummer]],Table3[Sub],#REF!),0)</f>
        <v>0</v>
      </c>
      <c r="V77" s="75">
        <f>IFERROR(_xlfn.XLOOKUP(Table4[[#This Row],[Subnummer]],Table3[Sub],#REF!),0)</f>
        <v>0</v>
      </c>
      <c r="W77" s="75">
        <f>IFERROR(_xlfn.XLOOKUP(Table4[[#This Row],[Subnummer]],Table3[Sub],#REF!),0)</f>
        <v>0</v>
      </c>
      <c r="X77" s="75">
        <f>IFERROR(_xlfn.XLOOKUP(Table4[[#This Row],[Subnummer]],Table3[Sub],#REF!),0)</f>
        <v>0</v>
      </c>
      <c r="Y77" s="75">
        <f>IFERROR(_xlfn.XLOOKUP(Table4[[#This Row],[Subnummer]],Table3[Sub],#REF!),0)</f>
        <v>0</v>
      </c>
      <c r="Z77" s="76">
        <f t="shared" si="22"/>
        <v>0</v>
      </c>
      <c r="AA77" s="76">
        <f t="shared" si="23"/>
        <v>0</v>
      </c>
      <c r="AB77" s="76">
        <f t="shared" si="24"/>
        <v>0</v>
      </c>
      <c r="AC77" s="76">
        <f t="shared" si="25"/>
        <v>0</v>
      </c>
      <c r="AD77" s="76">
        <f t="shared" si="26"/>
        <v>0</v>
      </c>
      <c r="AE77" s="76">
        <f t="shared" si="27"/>
        <v>0</v>
      </c>
      <c r="AF77" s="76">
        <f t="shared" si="28"/>
        <v>0</v>
      </c>
      <c r="AG77" s="76">
        <f t="shared" si="29"/>
        <v>0</v>
      </c>
      <c r="AH77" s="76">
        <f t="shared" si="30"/>
        <v>0</v>
      </c>
      <c r="AI77" s="76">
        <f t="shared" si="31"/>
        <v>0</v>
      </c>
      <c r="AJ77" s="70">
        <f t="shared" si="11"/>
        <v>0</v>
      </c>
      <c r="AK77" s="16" t="str" cm="1">
        <f t="array" ref="AK77">_xlfn.IFS(AJ77=0,"Nihil",AJ77&gt;0,"Suppletie",AJ77&lt;0,"Restitutie")</f>
        <v>Nihil</v>
      </c>
    </row>
    <row r="78" spans="1:37" x14ac:dyDescent="0.3">
      <c r="A78" s="16" t="str">
        <f>IFERROR(_xlfn.XLOOKUP(E78,Table3[Sub],Table3[Verzekerde]),"-")</f>
        <v>-</v>
      </c>
      <c r="C78" s="69" t="str">
        <f>IFERROR(_xlfn.XLOOKUP(Table4[[#This Row],[Subnummer]],Table3[Sub],Table3[Certificaat]),"-")</f>
        <v>-</v>
      </c>
      <c r="D78" s="16" t="str">
        <f>IFERROR(_xlfn.XLOOKUP(E78,Specificatie!C$9:C$291,Specificatie!Q$9:Q$291),"")</f>
        <v/>
      </c>
      <c r="E78" s="103">
        <v>0</v>
      </c>
      <c r="F78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78" s="70">
        <v>0</v>
      </c>
      <c r="H78" s="71">
        <f>Table4[[#This Row],[Nieuwe waarde]]-Table4[[#This Row],[Oude waarde]]</f>
        <v>0</v>
      </c>
      <c r="I78" s="72">
        <v>46266</v>
      </c>
      <c r="J78" s="72">
        <v>46388</v>
      </c>
      <c r="K78" s="16">
        <f>Table4[[#This Row],[Vervaldatum]]-Table4[[#This Row],[Mutatiedatum]]</f>
        <v>122</v>
      </c>
      <c r="L78" s="16">
        <v>366</v>
      </c>
      <c r="M78" s="16" t="s">
        <v>86</v>
      </c>
      <c r="N78" s="107" t="s">
        <v>87</v>
      </c>
      <c r="O78" s="73" cm="1">
        <f t="array" ref="O78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78" s="75">
        <f>IFERROR(_xlfn.XLOOKUP(Table4[[#This Row],[Subnummer]],Table3[Sub],#REF!),0)</f>
        <v>0</v>
      </c>
      <c r="Q78" s="75">
        <f>IFERROR(_xlfn.XLOOKUP(Table4[[#This Row],[Subnummer]],Table3[Sub],#REF!),0)</f>
        <v>0</v>
      </c>
      <c r="R78" s="75">
        <f>IFERROR(_xlfn.XLOOKUP(Table4[[#This Row],[Subnummer]],Table3[Sub],#REF!),0)</f>
        <v>0</v>
      </c>
      <c r="S78" s="75">
        <f>IFERROR(_xlfn.XLOOKUP(Table4[[#This Row],[Subnummer]],Table3[Sub],#REF!),0)</f>
        <v>0</v>
      </c>
      <c r="T78" s="75">
        <f>IFERROR(_xlfn.XLOOKUP(Table4[[#This Row],[Subnummer]],Table3[Sub],#REF!),0)</f>
        <v>0</v>
      </c>
      <c r="U78" s="75">
        <f>IFERROR(_xlfn.XLOOKUP(Table4[[#This Row],[Subnummer]],Table3[Sub],#REF!),0)</f>
        <v>0</v>
      </c>
      <c r="V78" s="75">
        <f>IFERROR(_xlfn.XLOOKUP(Table4[[#This Row],[Subnummer]],Table3[Sub],#REF!),0)</f>
        <v>0</v>
      </c>
      <c r="W78" s="75">
        <f>IFERROR(_xlfn.XLOOKUP(Table4[[#This Row],[Subnummer]],Table3[Sub],#REF!),0)</f>
        <v>0</v>
      </c>
      <c r="X78" s="75">
        <f>IFERROR(_xlfn.XLOOKUP(Table4[[#This Row],[Subnummer]],Table3[Sub],#REF!),0)</f>
        <v>0</v>
      </c>
      <c r="Y78" s="75">
        <f>IFERROR(_xlfn.XLOOKUP(Table4[[#This Row],[Subnummer]],Table3[Sub],#REF!),0)</f>
        <v>0</v>
      </c>
      <c r="Z78" s="76">
        <f t="shared" si="22"/>
        <v>0</v>
      </c>
      <c r="AA78" s="76">
        <f t="shared" si="23"/>
        <v>0</v>
      </c>
      <c r="AB78" s="76">
        <f t="shared" si="24"/>
        <v>0</v>
      </c>
      <c r="AC78" s="76">
        <f t="shared" si="25"/>
        <v>0</v>
      </c>
      <c r="AD78" s="76">
        <f t="shared" si="26"/>
        <v>0</v>
      </c>
      <c r="AE78" s="76">
        <f t="shared" si="27"/>
        <v>0</v>
      </c>
      <c r="AF78" s="76">
        <f t="shared" si="28"/>
        <v>0</v>
      </c>
      <c r="AG78" s="76">
        <f t="shared" si="29"/>
        <v>0</v>
      </c>
      <c r="AH78" s="76">
        <f t="shared" si="30"/>
        <v>0</v>
      </c>
      <c r="AI78" s="76">
        <f t="shared" si="31"/>
        <v>0</v>
      </c>
      <c r="AJ78" s="70">
        <f t="shared" si="11"/>
        <v>0</v>
      </c>
      <c r="AK78" s="16" t="str" cm="1">
        <f t="array" ref="AK78">_xlfn.IFS(AJ78=0,"Nihil",AJ78&gt;0,"Suppletie",AJ78&lt;0,"Restitutie")</f>
        <v>Nihil</v>
      </c>
    </row>
    <row r="79" spans="1:37" x14ac:dyDescent="0.3">
      <c r="A79" s="16" t="str">
        <f>IFERROR(_xlfn.XLOOKUP(E79,Table3[Sub],Table3[Verzekerde]),"-")</f>
        <v>-</v>
      </c>
      <c r="C79" s="69" t="str">
        <f>IFERROR(_xlfn.XLOOKUP(Table4[[#This Row],[Subnummer]],Table3[Sub],Table3[Certificaat]),"-")</f>
        <v>-</v>
      </c>
      <c r="D79" s="16" t="str">
        <f>IFERROR(_xlfn.XLOOKUP(E79,Specificatie!C$9:C$291,Specificatie!Q$9:Q$291),"")</f>
        <v/>
      </c>
      <c r="E79" s="103">
        <v>0</v>
      </c>
      <c r="F79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79" s="70">
        <v>0</v>
      </c>
      <c r="H79" s="71">
        <f>Table4[[#This Row],[Nieuwe waarde]]-Table4[[#This Row],[Oude waarde]]</f>
        <v>0</v>
      </c>
      <c r="I79" s="72">
        <v>46266</v>
      </c>
      <c r="J79" s="72">
        <v>46388</v>
      </c>
      <c r="K79" s="16">
        <f>Table4[[#This Row],[Vervaldatum]]-Table4[[#This Row],[Mutatiedatum]]</f>
        <v>122</v>
      </c>
      <c r="L79" s="16">
        <v>366</v>
      </c>
      <c r="M79" s="16" t="s">
        <v>86</v>
      </c>
      <c r="N79" s="107" t="s">
        <v>87</v>
      </c>
      <c r="O79" s="73" cm="1">
        <f t="array" ref="O79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79" s="75">
        <f>IFERROR(_xlfn.XLOOKUP(Table4[[#This Row],[Subnummer]],Table3[Sub],#REF!),0)</f>
        <v>0</v>
      </c>
      <c r="Q79" s="75">
        <f>IFERROR(_xlfn.XLOOKUP(Table4[[#This Row],[Subnummer]],Table3[Sub],#REF!),0)</f>
        <v>0</v>
      </c>
      <c r="R79" s="75">
        <f>IFERROR(_xlfn.XLOOKUP(Table4[[#This Row],[Subnummer]],Table3[Sub],#REF!),0)</f>
        <v>0</v>
      </c>
      <c r="S79" s="75">
        <f>IFERROR(_xlfn.XLOOKUP(Table4[[#This Row],[Subnummer]],Table3[Sub],#REF!),0)</f>
        <v>0</v>
      </c>
      <c r="T79" s="75">
        <f>IFERROR(_xlfn.XLOOKUP(Table4[[#This Row],[Subnummer]],Table3[Sub],#REF!),0)</f>
        <v>0</v>
      </c>
      <c r="U79" s="75">
        <f>IFERROR(_xlfn.XLOOKUP(Table4[[#This Row],[Subnummer]],Table3[Sub],#REF!),0)</f>
        <v>0</v>
      </c>
      <c r="V79" s="75">
        <f>IFERROR(_xlfn.XLOOKUP(Table4[[#This Row],[Subnummer]],Table3[Sub],#REF!),0)</f>
        <v>0</v>
      </c>
      <c r="W79" s="75">
        <f>IFERROR(_xlfn.XLOOKUP(Table4[[#This Row],[Subnummer]],Table3[Sub],#REF!),0)</f>
        <v>0</v>
      </c>
      <c r="X79" s="75">
        <f>IFERROR(_xlfn.XLOOKUP(Table4[[#This Row],[Subnummer]],Table3[Sub],#REF!),0)</f>
        <v>0</v>
      </c>
      <c r="Y79" s="75">
        <f>IFERROR(_xlfn.XLOOKUP(Table4[[#This Row],[Subnummer]],Table3[Sub],#REF!),0)</f>
        <v>0</v>
      </c>
      <c r="Z79" s="76">
        <f t="shared" si="22"/>
        <v>0</v>
      </c>
      <c r="AA79" s="76">
        <f t="shared" si="23"/>
        <v>0</v>
      </c>
      <c r="AB79" s="76">
        <f t="shared" si="24"/>
        <v>0</v>
      </c>
      <c r="AC79" s="76">
        <f t="shared" si="25"/>
        <v>0</v>
      </c>
      <c r="AD79" s="76">
        <f t="shared" si="26"/>
        <v>0</v>
      </c>
      <c r="AE79" s="76">
        <f t="shared" si="27"/>
        <v>0</v>
      </c>
      <c r="AF79" s="76">
        <f t="shared" si="28"/>
        <v>0</v>
      </c>
      <c r="AG79" s="76">
        <f t="shared" si="29"/>
        <v>0</v>
      </c>
      <c r="AH79" s="76">
        <f t="shared" si="30"/>
        <v>0</v>
      </c>
      <c r="AI79" s="76">
        <f t="shared" si="31"/>
        <v>0</v>
      </c>
      <c r="AJ79" s="70">
        <f t="shared" si="11"/>
        <v>0</v>
      </c>
      <c r="AK79" s="16" t="str" cm="1">
        <f t="array" ref="AK79">_xlfn.IFS(AJ79=0,"Nihil",AJ79&gt;0,"Suppletie",AJ79&lt;0,"Restitutie")</f>
        <v>Nihil</v>
      </c>
    </row>
    <row r="80" spans="1:37" x14ac:dyDescent="0.3">
      <c r="A80" s="16" t="str">
        <f>IFERROR(_xlfn.XLOOKUP(E80,Table3[Sub],Table3[Verzekerde]),"-")</f>
        <v>-</v>
      </c>
      <c r="C80" s="69" t="str">
        <f>IFERROR(_xlfn.XLOOKUP(Table4[[#This Row],[Subnummer]],Table3[Sub],Table3[Certificaat]),"-")</f>
        <v>-</v>
      </c>
      <c r="D80" s="16" t="str">
        <f>IFERROR(_xlfn.XLOOKUP(E80,Specificatie!C$9:C$291,Specificatie!Q$9:Q$291),"")</f>
        <v/>
      </c>
      <c r="E80" s="103">
        <v>0</v>
      </c>
      <c r="F80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80" s="70">
        <v>0</v>
      </c>
      <c r="H80" s="71">
        <f>Table4[[#This Row],[Nieuwe waarde]]-Table4[[#This Row],[Oude waarde]]</f>
        <v>0</v>
      </c>
      <c r="I80" s="72">
        <v>46266</v>
      </c>
      <c r="J80" s="72">
        <v>46388</v>
      </c>
      <c r="K80" s="16">
        <f>Table4[[#This Row],[Vervaldatum]]-Table4[[#This Row],[Mutatiedatum]]</f>
        <v>122</v>
      </c>
      <c r="L80" s="16">
        <v>366</v>
      </c>
      <c r="M80" s="16" t="s">
        <v>86</v>
      </c>
      <c r="N80" s="107" t="s">
        <v>87</v>
      </c>
      <c r="O80" s="73" cm="1">
        <f t="array" ref="O80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80" s="75">
        <f>IFERROR(_xlfn.XLOOKUP(Table4[[#This Row],[Subnummer]],Table3[Sub],#REF!),0)</f>
        <v>0</v>
      </c>
      <c r="Q80" s="75">
        <f>IFERROR(_xlfn.XLOOKUP(Table4[[#This Row],[Subnummer]],Table3[Sub],#REF!),0)</f>
        <v>0</v>
      </c>
      <c r="R80" s="75">
        <f>IFERROR(_xlfn.XLOOKUP(Table4[[#This Row],[Subnummer]],Table3[Sub],#REF!),0)</f>
        <v>0</v>
      </c>
      <c r="S80" s="75">
        <f>IFERROR(_xlfn.XLOOKUP(Table4[[#This Row],[Subnummer]],Table3[Sub],#REF!),0)</f>
        <v>0</v>
      </c>
      <c r="T80" s="75">
        <f>IFERROR(_xlfn.XLOOKUP(Table4[[#This Row],[Subnummer]],Table3[Sub],#REF!),0)</f>
        <v>0</v>
      </c>
      <c r="U80" s="75">
        <f>IFERROR(_xlfn.XLOOKUP(Table4[[#This Row],[Subnummer]],Table3[Sub],#REF!),0)</f>
        <v>0</v>
      </c>
      <c r="V80" s="75">
        <f>IFERROR(_xlfn.XLOOKUP(Table4[[#This Row],[Subnummer]],Table3[Sub],#REF!),0)</f>
        <v>0</v>
      </c>
      <c r="W80" s="75">
        <f>IFERROR(_xlfn.XLOOKUP(Table4[[#This Row],[Subnummer]],Table3[Sub],#REF!),0)</f>
        <v>0</v>
      </c>
      <c r="X80" s="75">
        <f>IFERROR(_xlfn.XLOOKUP(Table4[[#This Row],[Subnummer]],Table3[Sub],#REF!),0)</f>
        <v>0</v>
      </c>
      <c r="Y80" s="75">
        <f>IFERROR(_xlfn.XLOOKUP(Table4[[#This Row],[Subnummer]],Table3[Sub],#REF!),0)</f>
        <v>0</v>
      </c>
      <c r="Z80" s="76">
        <f t="shared" si="22"/>
        <v>0</v>
      </c>
      <c r="AA80" s="76">
        <f t="shared" si="23"/>
        <v>0</v>
      </c>
      <c r="AB80" s="76">
        <f t="shared" si="24"/>
        <v>0</v>
      </c>
      <c r="AC80" s="76">
        <f t="shared" si="25"/>
        <v>0</v>
      </c>
      <c r="AD80" s="76">
        <f t="shared" si="26"/>
        <v>0</v>
      </c>
      <c r="AE80" s="76">
        <f t="shared" si="27"/>
        <v>0</v>
      </c>
      <c r="AF80" s="76">
        <f t="shared" si="28"/>
        <v>0</v>
      </c>
      <c r="AG80" s="76">
        <f t="shared" si="29"/>
        <v>0</v>
      </c>
      <c r="AH80" s="76">
        <f t="shared" si="30"/>
        <v>0</v>
      </c>
      <c r="AI80" s="76">
        <f t="shared" si="31"/>
        <v>0</v>
      </c>
      <c r="AJ80" s="70">
        <f t="shared" si="11"/>
        <v>0</v>
      </c>
      <c r="AK80" s="16" t="str" cm="1">
        <f t="array" ref="AK80">_xlfn.IFS(AJ80=0,"Nihil",AJ80&gt;0,"Suppletie",AJ80&lt;0,"Restitutie")</f>
        <v>Nihil</v>
      </c>
    </row>
    <row r="81" spans="1:37" x14ac:dyDescent="0.3">
      <c r="A81" s="16" t="str">
        <f>IFERROR(_xlfn.XLOOKUP(E81,Table3[Sub],Table3[Verzekerde]),"-")</f>
        <v>-</v>
      </c>
      <c r="C81" s="69" t="str">
        <f>IFERROR(_xlfn.XLOOKUP(Table4[[#This Row],[Subnummer]],Table3[Sub],Table3[Certificaat]),"-")</f>
        <v>-</v>
      </c>
      <c r="D81" s="16" t="str">
        <f>IFERROR(_xlfn.XLOOKUP(E81,Specificatie!C$9:C$291,Specificatie!Q$9:Q$291),"")</f>
        <v/>
      </c>
      <c r="E81" s="103">
        <v>0</v>
      </c>
      <c r="F81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81" s="70">
        <v>0</v>
      </c>
      <c r="H81" s="71">
        <f>Table4[[#This Row],[Nieuwe waarde]]-Table4[[#This Row],[Oude waarde]]</f>
        <v>0</v>
      </c>
      <c r="I81" s="72">
        <v>46266</v>
      </c>
      <c r="J81" s="72">
        <v>46388</v>
      </c>
      <c r="K81" s="16">
        <f>Table4[[#This Row],[Vervaldatum]]-Table4[[#This Row],[Mutatiedatum]]</f>
        <v>122</v>
      </c>
      <c r="L81" s="16">
        <v>366</v>
      </c>
      <c r="M81" s="16" t="s">
        <v>86</v>
      </c>
      <c r="N81" s="107" t="s">
        <v>87</v>
      </c>
      <c r="O81" s="73" cm="1">
        <f t="array" ref="O81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81" s="75">
        <f>IFERROR(_xlfn.XLOOKUP(Table4[[#This Row],[Subnummer]],Table3[Sub],#REF!),0)</f>
        <v>0</v>
      </c>
      <c r="Q81" s="75">
        <f>IFERROR(_xlfn.XLOOKUP(Table4[[#This Row],[Subnummer]],Table3[Sub],#REF!),0)</f>
        <v>0</v>
      </c>
      <c r="R81" s="75">
        <f>IFERROR(_xlfn.XLOOKUP(Table4[[#This Row],[Subnummer]],Table3[Sub],#REF!),0)</f>
        <v>0</v>
      </c>
      <c r="S81" s="75">
        <f>IFERROR(_xlfn.XLOOKUP(Table4[[#This Row],[Subnummer]],Table3[Sub],#REF!),0)</f>
        <v>0</v>
      </c>
      <c r="T81" s="75">
        <f>IFERROR(_xlfn.XLOOKUP(Table4[[#This Row],[Subnummer]],Table3[Sub],#REF!),0)</f>
        <v>0</v>
      </c>
      <c r="U81" s="75">
        <f>IFERROR(_xlfn.XLOOKUP(Table4[[#This Row],[Subnummer]],Table3[Sub],#REF!),0)</f>
        <v>0</v>
      </c>
      <c r="V81" s="75">
        <f>IFERROR(_xlfn.XLOOKUP(Table4[[#This Row],[Subnummer]],Table3[Sub],#REF!),0)</f>
        <v>0</v>
      </c>
      <c r="W81" s="75">
        <f>IFERROR(_xlfn.XLOOKUP(Table4[[#This Row],[Subnummer]],Table3[Sub],#REF!),0)</f>
        <v>0</v>
      </c>
      <c r="X81" s="75">
        <f>IFERROR(_xlfn.XLOOKUP(Table4[[#This Row],[Subnummer]],Table3[Sub],#REF!),0)</f>
        <v>0</v>
      </c>
      <c r="Y81" s="75">
        <f>IFERROR(_xlfn.XLOOKUP(Table4[[#This Row],[Subnummer]],Table3[Sub],#REF!),0)</f>
        <v>0</v>
      </c>
      <c r="Z81" s="76">
        <f t="shared" si="22"/>
        <v>0</v>
      </c>
      <c r="AA81" s="76">
        <f t="shared" si="23"/>
        <v>0</v>
      </c>
      <c r="AB81" s="76">
        <f t="shared" si="24"/>
        <v>0</v>
      </c>
      <c r="AC81" s="76">
        <f t="shared" si="25"/>
        <v>0</v>
      </c>
      <c r="AD81" s="76">
        <f t="shared" si="26"/>
        <v>0</v>
      </c>
      <c r="AE81" s="76">
        <f t="shared" si="27"/>
        <v>0</v>
      </c>
      <c r="AF81" s="76">
        <f t="shared" si="28"/>
        <v>0</v>
      </c>
      <c r="AG81" s="76">
        <f t="shared" si="29"/>
        <v>0</v>
      </c>
      <c r="AH81" s="76">
        <f t="shared" si="30"/>
        <v>0</v>
      </c>
      <c r="AI81" s="76">
        <f t="shared" si="31"/>
        <v>0</v>
      </c>
      <c r="AJ81" s="70">
        <f t="shared" si="11"/>
        <v>0</v>
      </c>
      <c r="AK81" s="16" t="str" cm="1">
        <f t="array" ref="AK81">_xlfn.IFS(AJ81=0,"Nihil",AJ81&gt;0,"Suppletie",AJ81&lt;0,"Restitutie")</f>
        <v>Nihil</v>
      </c>
    </row>
    <row r="82" spans="1:37" x14ac:dyDescent="0.3">
      <c r="A82" s="16" t="str">
        <f>IFERROR(_xlfn.XLOOKUP(E82,Table3[Sub],Table3[Verzekerde]),"-")</f>
        <v>-</v>
      </c>
      <c r="C82" s="69" t="str">
        <f>IFERROR(_xlfn.XLOOKUP(Table4[[#This Row],[Subnummer]],Table3[Sub],Table3[Certificaat]),"-")</f>
        <v>-</v>
      </c>
      <c r="D82" s="16" t="str">
        <f>IFERROR(_xlfn.XLOOKUP(E82,Specificatie!C$9:C$291,Specificatie!Q$9:Q$291),"")</f>
        <v/>
      </c>
      <c r="E82" s="103">
        <v>0</v>
      </c>
      <c r="F82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82" s="70">
        <v>0</v>
      </c>
      <c r="H82" s="71">
        <f>Table4[[#This Row],[Nieuwe waarde]]-Table4[[#This Row],[Oude waarde]]</f>
        <v>0</v>
      </c>
      <c r="I82" s="72">
        <v>46266</v>
      </c>
      <c r="J82" s="72">
        <v>46388</v>
      </c>
      <c r="K82" s="16">
        <f>Table4[[#This Row],[Vervaldatum]]-Table4[[#This Row],[Mutatiedatum]]</f>
        <v>122</v>
      </c>
      <c r="L82" s="16">
        <v>366</v>
      </c>
      <c r="M82" s="16" t="s">
        <v>86</v>
      </c>
      <c r="N82" s="107" t="s">
        <v>87</v>
      </c>
      <c r="O82" s="73" cm="1">
        <f t="array" ref="O82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82" s="75">
        <f>IFERROR(_xlfn.XLOOKUP(Table4[[#This Row],[Subnummer]],Table3[Sub],#REF!),0)</f>
        <v>0</v>
      </c>
      <c r="Q82" s="75">
        <f>IFERROR(_xlfn.XLOOKUP(Table4[[#This Row],[Subnummer]],Table3[Sub],#REF!),0)</f>
        <v>0</v>
      </c>
      <c r="R82" s="75">
        <f>IFERROR(_xlfn.XLOOKUP(Table4[[#This Row],[Subnummer]],Table3[Sub],#REF!),0)</f>
        <v>0</v>
      </c>
      <c r="S82" s="75">
        <f>IFERROR(_xlfn.XLOOKUP(Table4[[#This Row],[Subnummer]],Table3[Sub],#REF!),0)</f>
        <v>0</v>
      </c>
      <c r="T82" s="75">
        <f>IFERROR(_xlfn.XLOOKUP(Table4[[#This Row],[Subnummer]],Table3[Sub],#REF!),0)</f>
        <v>0</v>
      </c>
      <c r="U82" s="75">
        <f>IFERROR(_xlfn.XLOOKUP(Table4[[#This Row],[Subnummer]],Table3[Sub],#REF!),0)</f>
        <v>0</v>
      </c>
      <c r="V82" s="75">
        <f>IFERROR(_xlfn.XLOOKUP(Table4[[#This Row],[Subnummer]],Table3[Sub],#REF!),0)</f>
        <v>0</v>
      </c>
      <c r="W82" s="75">
        <f>IFERROR(_xlfn.XLOOKUP(Table4[[#This Row],[Subnummer]],Table3[Sub],#REF!),0)</f>
        <v>0</v>
      </c>
      <c r="X82" s="75">
        <f>IFERROR(_xlfn.XLOOKUP(Table4[[#This Row],[Subnummer]],Table3[Sub],#REF!),0)</f>
        <v>0</v>
      </c>
      <c r="Y82" s="75">
        <f>IFERROR(_xlfn.XLOOKUP(Table4[[#This Row],[Subnummer]],Table3[Sub],#REF!),0)</f>
        <v>0</v>
      </c>
      <c r="Z82" s="76">
        <f t="shared" si="22"/>
        <v>0</v>
      </c>
      <c r="AA82" s="76">
        <f t="shared" si="23"/>
        <v>0</v>
      </c>
      <c r="AB82" s="76">
        <f t="shared" si="24"/>
        <v>0</v>
      </c>
      <c r="AC82" s="76">
        <f t="shared" si="25"/>
        <v>0</v>
      </c>
      <c r="AD82" s="76">
        <f t="shared" si="26"/>
        <v>0</v>
      </c>
      <c r="AE82" s="76">
        <f t="shared" si="27"/>
        <v>0</v>
      </c>
      <c r="AF82" s="76">
        <f t="shared" si="28"/>
        <v>0</v>
      </c>
      <c r="AG82" s="76">
        <f t="shared" si="29"/>
        <v>0</v>
      </c>
      <c r="AH82" s="76">
        <f t="shared" si="30"/>
        <v>0</v>
      </c>
      <c r="AI82" s="76">
        <f t="shared" si="31"/>
        <v>0</v>
      </c>
      <c r="AJ82" s="70">
        <f t="shared" si="11"/>
        <v>0</v>
      </c>
      <c r="AK82" s="16" t="str" cm="1">
        <f t="array" ref="AK82">_xlfn.IFS(AJ82=0,"Nihil",AJ82&gt;0,"Suppletie",AJ82&lt;0,"Restitutie")</f>
        <v>Nihil</v>
      </c>
    </row>
    <row r="83" spans="1:37" x14ac:dyDescent="0.3">
      <c r="A83" s="16" t="str">
        <f>IFERROR(_xlfn.XLOOKUP(E83,Table3[Sub],Table3[Verzekerde]),"-")</f>
        <v>-</v>
      </c>
      <c r="C83" s="69" t="str">
        <f>IFERROR(_xlfn.XLOOKUP(Table4[[#This Row],[Subnummer]],Table3[Sub],Table3[Certificaat]),"-")</f>
        <v>-</v>
      </c>
      <c r="D83" s="16" t="str">
        <f>IFERROR(_xlfn.XLOOKUP(E83,Specificatie!C$9:C$291,Specificatie!Q$9:Q$291),"")</f>
        <v/>
      </c>
      <c r="E83" s="103">
        <v>0</v>
      </c>
      <c r="F83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83" s="70">
        <v>0</v>
      </c>
      <c r="H83" s="71">
        <f>Table4[[#This Row],[Nieuwe waarde]]-Table4[[#This Row],[Oude waarde]]</f>
        <v>0</v>
      </c>
      <c r="I83" s="72">
        <v>46266</v>
      </c>
      <c r="J83" s="72">
        <v>46388</v>
      </c>
      <c r="K83" s="16">
        <f>Table4[[#This Row],[Vervaldatum]]-Table4[[#This Row],[Mutatiedatum]]</f>
        <v>122</v>
      </c>
      <c r="L83" s="16">
        <v>366</v>
      </c>
      <c r="M83" s="16" t="s">
        <v>86</v>
      </c>
      <c r="N83" s="107" t="s">
        <v>87</v>
      </c>
      <c r="O83" s="73" cm="1">
        <f t="array" ref="O83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83" s="75">
        <f>IFERROR(_xlfn.XLOOKUP(Table4[[#This Row],[Subnummer]],Table3[Sub],#REF!),0)</f>
        <v>0</v>
      </c>
      <c r="Q83" s="75">
        <f>IFERROR(_xlfn.XLOOKUP(Table4[[#This Row],[Subnummer]],Table3[Sub],#REF!),0)</f>
        <v>0</v>
      </c>
      <c r="R83" s="75">
        <f>IFERROR(_xlfn.XLOOKUP(Table4[[#This Row],[Subnummer]],Table3[Sub],#REF!),0)</f>
        <v>0</v>
      </c>
      <c r="S83" s="75">
        <f>IFERROR(_xlfn.XLOOKUP(Table4[[#This Row],[Subnummer]],Table3[Sub],#REF!),0)</f>
        <v>0</v>
      </c>
      <c r="T83" s="75">
        <f>IFERROR(_xlfn.XLOOKUP(Table4[[#This Row],[Subnummer]],Table3[Sub],#REF!),0)</f>
        <v>0</v>
      </c>
      <c r="U83" s="75">
        <f>IFERROR(_xlfn.XLOOKUP(Table4[[#This Row],[Subnummer]],Table3[Sub],#REF!),0)</f>
        <v>0</v>
      </c>
      <c r="V83" s="75">
        <f>IFERROR(_xlfn.XLOOKUP(Table4[[#This Row],[Subnummer]],Table3[Sub],#REF!),0)</f>
        <v>0</v>
      </c>
      <c r="W83" s="75">
        <f>IFERROR(_xlfn.XLOOKUP(Table4[[#This Row],[Subnummer]],Table3[Sub],#REF!),0)</f>
        <v>0</v>
      </c>
      <c r="X83" s="75">
        <f>IFERROR(_xlfn.XLOOKUP(Table4[[#This Row],[Subnummer]],Table3[Sub],#REF!),0)</f>
        <v>0</v>
      </c>
      <c r="Y83" s="75">
        <f>IFERROR(_xlfn.XLOOKUP(Table4[[#This Row],[Subnummer]],Table3[Sub],#REF!),0)</f>
        <v>0</v>
      </c>
      <c r="Z83" s="76">
        <f t="shared" si="22"/>
        <v>0</v>
      </c>
      <c r="AA83" s="76">
        <f t="shared" si="23"/>
        <v>0</v>
      </c>
      <c r="AB83" s="76">
        <f t="shared" si="24"/>
        <v>0</v>
      </c>
      <c r="AC83" s="76">
        <f t="shared" si="25"/>
        <v>0</v>
      </c>
      <c r="AD83" s="76">
        <f t="shared" si="26"/>
        <v>0</v>
      </c>
      <c r="AE83" s="76">
        <f t="shared" si="27"/>
        <v>0</v>
      </c>
      <c r="AF83" s="76">
        <f t="shared" si="28"/>
        <v>0</v>
      </c>
      <c r="AG83" s="76">
        <f t="shared" si="29"/>
        <v>0</v>
      </c>
      <c r="AH83" s="76">
        <f t="shared" si="30"/>
        <v>0</v>
      </c>
      <c r="AI83" s="76">
        <f t="shared" si="31"/>
        <v>0</v>
      </c>
      <c r="AJ83" s="70">
        <f t="shared" ref="AJ83:AJ98" si="32">SUM(Z83:AI83)</f>
        <v>0</v>
      </c>
      <c r="AK83" s="16" t="str" cm="1">
        <f t="array" ref="AK83">_xlfn.IFS(AJ83=0,"Nihil",AJ83&gt;0,"Suppletie",AJ83&lt;0,"Restitutie")</f>
        <v>Nihil</v>
      </c>
    </row>
    <row r="84" spans="1:37" x14ac:dyDescent="0.3">
      <c r="A84" s="16" t="str">
        <f>IFERROR(_xlfn.XLOOKUP(E84,Table3[Sub],Table3[Verzekerde]),"-")</f>
        <v>-</v>
      </c>
      <c r="C84" s="69" t="str">
        <f>IFERROR(_xlfn.XLOOKUP(Table4[[#This Row],[Subnummer]],Table3[Sub],Table3[Certificaat]),"-")</f>
        <v>-</v>
      </c>
      <c r="D84" s="16" t="str">
        <f>IFERROR(_xlfn.XLOOKUP(E84,Specificatie!C$9:C$291,Specificatie!Q$9:Q$291),"")</f>
        <v/>
      </c>
      <c r="E84" s="103">
        <v>0</v>
      </c>
      <c r="F84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84" s="70">
        <v>0</v>
      </c>
      <c r="H84" s="71">
        <f>Table4[[#This Row],[Nieuwe waarde]]-Table4[[#This Row],[Oude waarde]]</f>
        <v>0</v>
      </c>
      <c r="I84" s="72">
        <v>46266</v>
      </c>
      <c r="J84" s="72">
        <v>46388</v>
      </c>
      <c r="K84" s="16">
        <f>Table4[[#This Row],[Vervaldatum]]-Table4[[#This Row],[Mutatiedatum]]</f>
        <v>122</v>
      </c>
      <c r="L84" s="16">
        <v>366</v>
      </c>
      <c r="M84" s="16" t="s">
        <v>86</v>
      </c>
      <c r="N84" s="107" t="s">
        <v>87</v>
      </c>
      <c r="O84" s="73" cm="1">
        <f t="array" ref="O84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84" s="75">
        <f>IFERROR(_xlfn.XLOOKUP(Table4[[#This Row],[Subnummer]],Table3[Sub],#REF!),0)</f>
        <v>0</v>
      </c>
      <c r="Q84" s="75">
        <f>IFERROR(_xlfn.XLOOKUP(Table4[[#This Row],[Subnummer]],Table3[Sub],#REF!),0)</f>
        <v>0</v>
      </c>
      <c r="R84" s="75">
        <f>IFERROR(_xlfn.XLOOKUP(Table4[[#This Row],[Subnummer]],Table3[Sub],#REF!),0)</f>
        <v>0</v>
      </c>
      <c r="S84" s="75">
        <f>IFERROR(_xlfn.XLOOKUP(Table4[[#This Row],[Subnummer]],Table3[Sub],#REF!),0)</f>
        <v>0</v>
      </c>
      <c r="T84" s="75">
        <f>IFERROR(_xlfn.XLOOKUP(Table4[[#This Row],[Subnummer]],Table3[Sub],#REF!),0)</f>
        <v>0</v>
      </c>
      <c r="U84" s="75">
        <f>IFERROR(_xlfn.XLOOKUP(Table4[[#This Row],[Subnummer]],Table3[Sub],#REF!),0)</f>
        <v>0</v>
      </c>
      <c r="V84" s="75">
        <f>IFERROR(_xlfn.XLOOKUP(Table4[[#This Row],[Subnummer]],Table3[Sub],#REF!),0)</f>
        <v>0</v>
      </c>
      <c r="W84" s="75">
        <f>IFERROR(_xlfn.XLOOKUP(Table4[[#This Row],[Subnummer]],Table3[Sub],#REF!),0)</f>
        <v>0</v>
      </c>
      <c r="X84" s="75">
        <f>IFERROR(_xlfn.XLOOKUP(Table4[[#This Row],[Subnummer]],Table3[Sub],#REF!),0)</f>
        <v>0</v>
      </c>
      <c r="Y84" s="75">
        <f>IFERROR(_xlfn.XLOOKUP(Table4[[#This Row],[Subnummer]],Table3[Sub],#REF!),0)</f>
        <v>0</v>
      </c>
      <c r="Z84" s="76">
        <f t="shared" si="22"/>
        <v>0</v>
      </c>
      <c r="AA84" s="76">
        <f t="shared" si="23"/>
        <v>0</v>
      </c>
      <c r="AB84" s="76">
        <f t="shared" si="24"/>
        <v>0</v>
      </c>
      <c r="AC84" s="76">
        <f t="shared" si="25"/>
        <v>0</v>
      </c>
      <c r="AD84" s="76">
        <f t="shared" si="26"/>
        <v>0</v>
      </c>
      <c r="AE84" s="76">
        <f t="shared" si="27"/>
        <v>0</v>
      </c>
      <c r="AF84" s="76">
        <f t="shared" si="28"/>
        <v>0</v>
      </c>
      <c r="AG84" s="76">
        <f t="shared" si="29"/>
        <v>0</v>
      </c>
      <c r="AH84" s="76">
        <f t="shared" si="30"/>
        <v>0</v>
      </c>
      <c r="AI84" s="76">
        <f t="shared" si="31"/>
        <v>0</v>
      </c>
      <c r="AJ84" s="70">
        <f t="shared" si="32"/>
        <v>0</v>
      </c>
      <c r="AK84" s="16" t="str" cm="1">
        <f t="array" ref="AK84">_xlfn.IFS(AJ84=0,"Nihil",AJ84&gt;0,"Suppletie",AJ84&lt;0,"Restitutie")</f>
        <v>Nihil</v>
      </c>
    </row>
    <row r="85" spans="1:37" x14ac:dyDescent="0.3">
      <c r="A85" s="16" t="str">
        <f>IFERROR(_xlfn.XLOOKUP(E85,Table3[Sub],Table3[Verzekerde]),"-")</f>
        <v>-</v>
      </c>
      <c r="C85" s="69" t="str">
        <f>IFERROR(_xlfn.XLOOKUP(Table4[[#This Row],[Subnummer]],Table3[Sub],Table3[Certificaat]),"-")</f>
        <v>-</v>
      </c>
      <c r="D85" s="16" t="str">
        <f>IFERROR(_xlfn.XLOOKUP(E85,Specificatie!C$9:C$291,Specificatie!Q$9:Q$291),"")</f>
        <v/>
      </c>
      <c r="E85" s="103">
        <v>0</v>
      </c>
      <c r="F85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85" s="70">
        <v>0</v>
      </c>
      <c r="H85" s="71">
        <f>Table4[[#This Row],[Nieuwe waarde]]-Table4[[#This Row],[Oude waarde]]</f>
        <v>0</v>
      </c>
      <c r="I85" s="72">
        <v>46266</v>
      </c>
      <c r="J85" s="72">
        <v>46388</v>
      </c>
      <c r="K85" s="16">
        <f>Table4[[#This Row],[Vervaldatum]]-Table4[[#This Row],[Mutatiedatum]]</f>
        <v>122</v>
      </c>
      <c r="L85" s="16">
        <v>366</v>
      </c>
      <c r="M85" s="16" t="s">
        <v>86</v>
      </c>
      <c r="N85" s="107" t="s">
        <v>87</v>
      </c>
      <c r="O85" s="73" cm="1">
        <f t="array" ref="O85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85" s="75">
        <f>IFERROR(_xlfn.XLOOKUP(Table4[[#This Row],[Subnummer]],Table3[Sub],#REF!),0)</f>
        <v>0</v>
      </c>
      <c r="Q85" s="75">
        <f>IFERROR(_xlfn.XLOOKUP(Table4[[#This Row],[Subnummer]],Table3[Sub],#REF!),0)</f>
        <v>0</v>
      </c>
      <c r="R85" s="75">
        <f>IFERROR(_xlfn.XLOOKUP(Table4[[#This Row],[Subnummer]],Table3[Sub],#REF!),0)</f>
        <v>0</v>
      </c>
      <c r="S85" s="75">
        <f>IFERROR(_xlfn.XLOOKUP(Table4[[#This Row],[Subnummer]],Table3[Sub],#REF!),0)</f>
        <v>0</v>
      </c>
      <c r="T85" s="75">
        <f>IFERROR(_xlfn.XLOOKUP(Table4[[#This Row],[Subnummer]],Table3[Sub],#REF!),0)</f>
        <v>0</v>
      </c>
      <c r="U85" s="75">
        <f>IFERROR(_xlfn.XLOOKUP(Table4[[#This Row],[Subnummer]],Table3[Sub],#REF!),0)</f>
        <v>0</v>
      </c>
      <c r="V85" s="75">
        <f>IFERROR(_xlfn.XLOOKUP(Table4[[#This Row],[Subnummer]],Table3[Sub],#REF!),0)</f>
        <v>0</v>
      </c>
      <c r="W85" s="75">
        <f>IFERROR(_xlfn.XLOOKUP(Table4[[#This Row],[Subnummer]],Table3[Sub],#REF!),0)</f>
        <v>0</v>
      </c>
      <c r="X85" s="75">
        <f>IFERROR(_xlfn.XLOOKUP(Table4[[#This Row],[Subnummer]],Table3[Sub],#REF!),0)</f>
        <v>0</v>
      </c>
      <c r="Y85" s="75">
        <f>IFERROR(_xlfn.XLOOKUP(Table4[[#This Row],[Subnummer]],Table3[Sub],#REF!),0)</f>
        <v>0</v>
      </c>
      <c r="Z85" s="76">
        <f t="shared" si="22"/>
        <v>0</v>
      </c>
      <c r="AA85" s="76">
        <f t="shared" si="23"/>
        <v>0</v>
      </c>
      <c r="AB85" s="76">
        <f t="shared" si="24"/>
        <v>0</v>
      </c>
      <c r="AC85" s="76">
        <f t="shared" si="25"/>
        <v>0</v>
      </c>
      <c r="AD85" s="76">
        <f t="shared" si="26"/>
        <v>0</v>
      </c>
      <c r="AE85" s="76">
        <f t="shared" si="27"/>
        <v>0</v>
      </c>
      <c r="AF85" s="76">
        <f t="shared" si="28"/>
        <v>0</v>
      </c>
      <c r="AG85" s="76">
        <f t="shared" si="29"/>
        <v>0</v>
      </c>
      <c r="AH85" s="76">
        <f t="shared" si="30"/>
        <v>0</v>
      </c>
      <c r="AI85" s="76">
        <f t="shared" si="31"/>
        <v>0</v>
      </c>
      <c r="AJ85" s="70">
        <f t="shared" si="32"/>
        <v>0</v>
      </c>
      <c r="AK85" s="16" t="str" cm="1">
        <f t="array" ref="AK85">_xlfn.IFS(AJ85=0,"Nihil",AJ85&gt;0,"Suppletie",AJ85&lt;0,"Restitutie")</f>
        <v>Nihil</v>
      </c>
    </row>
    <row r="86" spans="1:37" x14ac:dyDescent="0.3">
      <c r="A86" s="16" t="str">
        <f>IFERROR(_xlfn.XLOOKUP(E86,Table3[Sub],Table3[Verzekerde]),"-")</f>
        <v>-</v>
      </c>
      <c r="C86" s="69" t="str">
        <f>IFERROR(_xlfn.XLOOKUP(Table4[[#This Row],[Subnummer]],Table3[Sub],Table3[Certificaat]),"-")</f>
        <v>-</v>
      </c>
      <c r="D86" s="16" t="str">
        <f>IFERROR(_xlfn.XLOOKUP(E86,Specificatie!C$9:C$291,Specificatie!Q$9:Q$291),"")</f>
        <v/>
      </c>
      <c r="E86" s="103">
        <v>0</v>
      </c>
      <c r="F86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86" s="70">
        <v>0</v>
      </c>
      <c r="H86" s="71">
        <f>Table4[[#This Row],[Nieuwe waarde]]-Table4[[#This Row],[Oude waarde]]</f>
        <v>0</v>
      </c>
      <c r="I86" s="72">
        <v>46266</v>
      </c>
      <c r="J86" s="72">
        <v>46388</v>
      </c>
      <c r="K86" s="16">
        <f>Table4[[#This Row],[Vervaldatum]]-Table4[[#This Row],[Mutatiedatum]]</f>
        <v>122</v>
      </c>
      <c r="L86" s="16">
        <v>366</v>
      </c>
      <c r="M86" s="16" t="s">
        <v>86</v>
      </c>
      <c r="N86" s="107" t="s">
        <v>87</v>
      </c>
      <c r="O86" s="73" cm="1">
        <f t="array" ref="O86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86" s="75">
        <f>IFERROR(_xlfn.XLOOKUP(Table4[[#This Row],[Subnummer]],Table3[Sub],#REF!),0)</f>
        <v>0</v>
      </c>
      <c r="Q86" s="75">
        <f>IFERROR(_xlfn.XLOOKUP(Table4[[#This Row],[Subnummer]],Table3[Sub],#REF!),0)</f>
        <v>0</v>
      </c>
      <c r="R86" s="75">
        <f>IFERROR(_xlfn.XLOOKUP(Table4[[#This Row],[Subnummer]],Table3[Sub],#REF!),0)</f>
        <v>0</v>
      </c>
      <c r="S86" s="75">
        <f>IFERROR(_xlfn.XLOOKUP(Table4[[#This Row],[Subnummer]],Table3[Sub],#REF!),0)</f>
        <v>0</v>
      </c>
      <c r="T86" s="75">
        <f>IFERROR(_xlfn.XLOOKUP(Table4[[#This Row],[Subnummer]],Table3[Sub],#REF!),0)</f>
        <v>0</v>
      </c>
      <c r="U86" s="75">
        <f>IFERROR(_xlfn.XLOOKUP(Table4[[#This Row],[Subnummer]],Table3[Sub],#REF!),0)</f>
        <v>0</v>
      </c>
      <c r="V86" s="75">
        <f>IFERROR(_xlfn.XLOOKUP(Table4[[#This Row],[Subnummer]],Table3[Sub],#REF!),0)</f>
        <v>0</v>
      </c>
      <c r="W86" s="75">
        <f>IFERROR(_xlfn.XLOOKUP(Table4[[#This Row],[Subnummer]],Table3[Sub],#REF!),0)</f>
        <v>0</v>
      </c>
      <c r="X86" s="75">
        <f>IFERROR(_xlfn.XLOOKUP(Table4[[#This Row],[Subnummer]],Table3[Sub],#REF!),0)</f>
        <v>0</v>
      </c>
      <c r="Y86" s="75">
        <f>IFERROR(_xlfn.XLOOKUP(Table4[[#This Row],[Subnummer]],Table3[Sub],#REF!),0)</f>
        <v>0</v>
      </c>
      <c r="Z86" s="76">
        <f t="shared" si="22"/>
        <v>0</v>
      </c>
      <c r="AA86" s="76">
        <f t="shared" si="23"/>
        <v>0</v>
      </c>
      <c r="AB86" s="76">
        <f t="shared" si="24"/>
        <v>0</v>
      </c>
      <c r="AC86" s="76">
        <f t="shared" si="25"/>
        <v>0</v>
      </c>
      <c r="AD86" s="76">
        <f t="shared" si="26"/>
        <v>0</v>
      </c>
      <c r="AE86" s="76">
        <f t="shared" si="27"/>
        <v>0</v>
      </c>
      <c r="AF86" s="76">
        <f t="shared" si="28"/>
        <v>0</v>
      </c>
      <c r="AG86" s="76">
        <f t="shared" si="29"/>
        <v>0</v>
      </c>
      <c r="AH86" s="76">
        <f t="shared" si="30"/>
        <v>0</v>
      </c>
      <c r="AI86" s="76">
        <f t="shared" si="31"/>
        <v>0</v>
      </c>
      <c r="AJ86" s="70">
        <f t="shared" si="32"/>
        <v>0</v>
      </c>
      <c r="AK86" s="16" t="str" cm="1">
        <f t="array" ref="AK86">_xlfn.IFS(AJ86=0,"Nihil",AJ86&gt;0,"Suppletie",AJ86&lt;0,"Restitutie")</f>
        <v>Nihil</v>
      </c>
    </row>
    <row r="87" spans="1:37" x14ac:dyDescent="0.3">
      <c r="A87" s="16" t="str">
        <f>IFERROR(_xlfn.XLOOKUP(E87,Table3[Sub],Table3[Verzekerde]),"-")</f>
        <v>-</v>
      </c>
      <c r="C87" s="69" t="str">
        <f>IFERROR(_xlfn.XLOOKUP(Table4[[#This Row],[Subnummer]],Table3[Sub],Table3[Certificaat]),"-")</f>
        <v>-</v>
      </c>
      <c r="D87" s="16" t="str">
        <f>IFERROR(_xlfn.XLOOKUP(E87,Specificatie!C$9:C$291,Specificatie!Q$9:Q$291),"")</f>
        <v/>
      </c>
      <c r="E87" s="103">
        <v>0</v>
      </c>
      <c r="F87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87" s="70">
        <v>0</v>
      </c>
      <c r="H87" s="71">
        <f>Table4[[#This Row],[Nieuwe waarde]]-Table4[[#This Row],[Oude waarde]]</f>
        <v>0</v>
      </c>
      <c r="I87" s="72">
        <v>46266</v>
      </c>
      <c r="J87" s="72">
        <v>46388</v>
      </c>
      <c r="K87" s="16">
        <f>Table4[[#This Row],[Vervaldatum]]-Table4[[#This Row],[Mutatiedatum]]</f>
        <v>122</v>
      </c>
      <c r="L87" s="16">
        <v>366</v>
      </c>
      <c r="M87" s="16" t="s">
        <v>86</v>
      </c>
      <c r="N87" s="107" t="s">
        <v>87</v>
      </c>
      <c r="O87" s="73" cm="1">
        <f t="array" ref="O87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87" s="75">
        <f>IFERROR(_xlfn.XLOOKUP(Table4[[#This Row],[Subnummer]],Table3[Sub],#REF!),0)</f>
        <v>0</v>
      </c>
      <c r="Q87" s="75">
        <f>IFERROR(_xlfn.XLOOKUP(Table4[[#This Row],[Subnummer]],Table3[Sub],#REF!),0)</f>
        <v>0</v>
      </c>
      <c r="R87" s="75">
        <f>IFERROR(_xlfn.XLOOKUP(Table4[[#This Row],[Subnummer]],Table3[Sub],#REF!),0)</f>
        <v>0</v>
      </c>
      <c r="S87" s="75">
        <f>IFERROR(_xlfn.XLOOKUP(Table4[[#This Row],[Subnummer]],Table3[Sub],#REF!),0)</f>
        <v>0</v>
      </c>
      <c r="T87" s="75">
        <f>IFERROR(_xlfn.XLOOKUP(Table4[[#This Row],[Subnummer]],Table3[Sub],#REF!),0)</f>
        <v>0</v>
      </c>
      <c r="U87" s="75">
        <f>IFERROR(_xlfn.XLOOKUP(Table4[[#This Row],[Subnummer]],Table3[Sub],#REF!),0)</f>
        <v>0</v>
      </c>
      <c r="V87" s="75">
        <f>IFERROR(_xlfn.XLOOKUP(Table4[[#This Row],[Subnummer]],Table3[Sub],#REF!),0)</f>
        <v>0</v>
      </c>
      <c r="W87" s="75">
        <f>IFERROR(_xlfn.XLOOKUP(Table4[[#This Row],[Subnummer]],Table3[Sub],#REF!),0)</f>
        <v>0</v>
      </c>
      <c r="X87" s="75">
        <f>IFERROR(_xlfn.XLOOKUP(Table4[[#This Row],[Subnummer]],Table3[Sub],#REF!),0)</f>
        <v>0</v>
      </c>
      <c r="Y87" s="75">
        <f>IFERROR(_xlfn.XLOOKUP(Table4[[#This Row],[Subnummer]],Table3[Sub],#REF!),0)</f>
        <v>0</v>
      </c>
      <c r="Z87" s="76">
        <f t="shared" si="22"/>
        <v>0</v>
      </c>
      <c r="AA87" s="76">
        <f t="shared" si="23"/>
        <v>0</v>
      </c>
      <c r="AB87" s="76">
        <f t="shared" si="24"/>
        <v>0</v>
      </c>
      <c r="AC87" s="76">
        <f t="shared" si="25"/>
        <v>0</v>
      </c>
      <c r="AD87" s="76">
        <f t="shared" si="26"/>
        <v>0</v>
      </c>
      <c r="AE87" s="76">
        <f t="shared" si="27"/>
        <v>0</v>
      </c>
      <c r="AF87" s="76">
        <f t="shared" si="28"/>
        <v>0</v>
      </c>
      <c r="AG87" s="76">
        <f t="shared" si="29"/>
        <v>0</v>
      </c>
      <c r="AH87" s="76">
        <f t="shared" si="30"/>
        <v>0</v>
      </c>
      <c r="AI87" s="76">
        <f t="shared" si="31"/>
        <v>0</v>
      </c>
      <c r="AJ87" s="70">
        <f t="shared" si="32"/>
        <v>0</v>
      </c>
      <c r="AK87" s="16" t="str" cm="1">
        <f t="array" ref="AK87">_xlfn.IFS(AJ87=0,"Nihil",AJ87&gt;0,"Suppletie",AJ87&lt;0,"Restitutie")</f>
        <v>Nihil</v>
      </c>
    </row>
    <row r="88" spans="1:37" x14ac:dyDescent="0.3">
      <c r="A88" s="16" t="str">
        <f>IFERROR(_xlfn.XLOOKUP(E88,Table3[Sub],Table3[Verzekerde]),"-")</f>
        <v>-</v>
      </c>
      <c r="C88" s="69" t="str">
        <f>IFERROR(_xlfn.XLOOKUP(Table4[[#This Row],[Subnummer]],Table3[Sub],Table3[Certificaat]),"-")</f>
        <v>-</v>
      </c>
      <c r="D88" s="16" t="str">
        <f>IFERROR(_xlfn.XLOOKUP(E88,Specificatie!C$9:C$291,Specificatie!Q$9:Q$291),"")</f>
        <v/>
      </c>
      <c r="E88" s="103">
        <v>0</v>
      </c>
      <c r="F88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88" s="70">
        <v>0</v>
      </c>
      <c r="H88" s="71">
        <f>Table4[[#This Row],[Nieuwe waarde]]-Table4[[#This Row],[Oude waarde]]</f>
        <v>0</v>
      </c>
      <c r="I88" s="72">
        <v>46266</v>
      </c>
      <c r="J88" s="72">
        <v>46388</v>
      </c>
      <c r="K88" s="16">
        <f>Table4[[#This Row],[Vervaldatum]]-Table4[[#This Row],[Mutatiedatum]]</f>
        <v>122</v>
      </c>
      <c r="L88" s="16">
        <v>366</v>
      </c>
      <c r="M88" s="16" t="s">
        <v>86</v>
      </c>
      <c r="N88" s="107" t="s">
        <v>87</v>
      </c>
      <c r="O88" s="73" cm="1">
        <f t="array" ref="O88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88" s="75">
        <f>IFERROR(_xlfn.XLOOKUP(Table4[[#This Row],[Subnummer]],Table3[Sub],#REF!),0)</f>
        <v>0</v>
      </c>
      <c r="Q88" s="75">
        <f>IFERROR(_xlfn.XLOOKUP(Table4[[#This Row],[Subnummer]],Table3[Sub],#REF!),0)</f>
        <v>0</v>
      </c>
      <c r="R88" s="75">
        <f>IFERROR(_xlfn.XLOOKUP(Table4[[#This Row],[Subnummer]],Table3[Sub],#REF!),0)</f>
        <v>0</v>
      </c>
      <c r="S88" s="75">
        <f>IFERROR(_xlfn.XLOOKUP(Table4[[#This Row],[Subnummer]],Table3[Sub],#REF!),0)</f>
        <v>0</v>
      </c>
      <c r="T88" s="75">
        <f>IFERROR(_xlfn.XLOOKUP(Table4[[#This Row],[Subnummer]],Table3[Sub],#REF!),0)</f>
        <v>0</v>
      </c>
      <c r="U88" s="75">
        <f>IFERROR(_xlfn.XLOOKUP(Table4[[#This Row],[Subnummer]],Table3[Sub],#REF!),0)</f>
        <v>0</v>
      </c>
      <c r="V88" s="75">
        <f>IFERROR(_xlfn.XLOOKUP(Table4[[#This Row],[Subnummer]],Table3[Sub],#REF!),0)</f>
        <v>0</v>
      </c>
      <c r="W88" s="75">
        <f>IFERROR(_xlfn.XLOOKUP(Table4[[#This Row],[Subnummer]],Table3[Sub],#REF!),0)</f>
        <v>0</v>
      </c>
      <c r="X88" s="75">
        <f>IFERROR(_xlfn.XLOOKUP(Table4[[#This Row],[Subnummer]],Table3[Sub],#REF!),0)</f>
        <v>0</v>
      </c>
      <c r="Y88" s="75">
        <f>IFERROR(_xlfn.XLOOKUP(Table4[[#This Row],[Subnummer]],Table3[Sub],#REF!),0)</f>
        <v>0</v>
      </c>
      <c r="Z88" s="76">
        <f t="shared" si="22"/>
        <v>0</v>
      </c>
      <c r="AA88" s="76">
        <f t="shared" si="23"/>
        <v>0</v>
      </c>
      <c r="AB88" s="76">
        <f t="shared" si="24"/>
        <v>0</v>
      </c>
      <c r="AC88" s="76">
        <f t="shared" si="25"/>
        <v>0</v>
      </c>
      <c r="AD88" s="76">
        <f t="shared" si="26"/>
        <v>0</v>
      </c>
      <c r="AE88" s="76">
        <f t="shared" si="27"/>
        <v>0</v>
      </c>
      <c r="AF88" s="76">
        <f t="shared" si="28"/>
        <v>0</v>
      </c>
      <c r="AG88" s="76">
        <f t="shared" si="29"/>
        <v>0</v>
      </c>
      <c r="AH88" s="76">
        <f t="shared" si="30"/>
        <v>0</v>
      </c>
      <c r="AI88" s="76">
        <f t="shared" si="31"/>
        <v>0</v>
      </c>
      <c r="AJ88" s="70">
        <f t="shared" si="32"/>
        <v>0</v>
      </c>
      <c r="AK88" s="16" t="str" cm="1">
        <f t="array" ref="AK88">_xlfn.IFS(AJ88=0,"Nihil",AJ88&gt;0,"Suppletie",AJ88&lt;0,"Restitutie")</f>
        <v>Nihil</v>
      </c>
    </row>
    <row r="89" spans="1:37" x14ac:dyDescent="0.3">
      <c r="A89" s="16" t="str">
        <f>IFERROR(_xlfn.XLOOKUP(E89,Table3[Sub],Table3[Verzekerde]),"-")</f>
        <v>-</v>
      </c>
      <c r="C89" s="69" t="str">
        <f>IFERROR(_xlfn.XLOOKUP(Table4[[#This Row],[Subnummer]],Table3[Sub],Table3[Certificaat]),"-")</f>
        <v>-</v>
      </c>
      <c r="D89" s="16" t="str">
        <f>IFERROR(_xlfn.XLOOKUP(E89,Specificatie!C$9:C$291,Specificatie!Q$9:Q$291),"")</f>
        <v/>
      </c>
      <c r="E89" s="103">
        <v>0</v>
      </c>
      <c r="F89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89" s="70">
        <v>0</v>
      </c>
      <c r="H89" s="71">
        <f>Table4[[#This Row],[Nieuwe waarde]]-Table4[[#This Row],[Oude waarde]]</f>
        <v>0</v>
      </c>
      <c r="I89" s="72">
        <v>46266</v>
      </c>
      <c r="J89" s="72">
        <v>46388</v>
      </c>
      <c r="K89" s="16">
        <f>Table4[[#This Row],[Vervaldatum]]-Table4[[#This Row],[Mutatiedatum]]</f>
        <v>122</v>
      </c>
      <c r="L89" s="16">
        <v>366</v>
      </c>
      <c r="M89" s="16" t="s">
        <v>86</v>
      </c>
      <c r="N89" s="107" t="s">
        <v>87</v>
      </c>
      <c r="O89" s="73" cm="1">
        <f t="array" ref="O89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89" s="75">
        <f>IFERROR(_xlfn.XLOOKUP(Table4[[#This Row],[Subnummer]],Table3[Sub],#REF!),0)</f>
        <v>0</v>
      </c>
      <c r="Q89" s="75">
        <f>IFERROR(_xlfn.XLOOKUP(Table4[[#This Row],[Subnummer]],Table3[Sub],#REF!),0)</f>
        <v>0</v>
      </c>
      <c r="R89" s="75">
        <f>IFERROR(_xlfn.XLOOKUP(Table4[[#This Row],[Subnummer]],Table3[Sub],#REF!),0)</f>
        <v>0</v>
      </c>
      <c r="S89" s="75">
        <f>IFERROR(_xlfn.XLOOKUP(Table4[[#This Row],[Subnummer]],Table3[Sub],#REF!),0)</f>
        <v>0</v>
      </c>
      <c r="T89" s="75">
        <f>IFERROR(_xlfn.XLOOKUP(Table4[[#This Row],[Subnummer]],Table3[Sub],#REF!),0)</f>
        <v>0</v>
      </c>
      <c r="U89" s="75">
        <f>IFERROR(_xlfn.XLOOKUP(Table4[[#This Row],[Subnummer]],Table3[Sub],#REF!),0)</f>
        <v>0</v>
      </c>
      <c r="V89" s="75">
        <f>IFERROR(_xlfn.XLOOKUP(Table4[[#This Row],[Subnummer]],Table3[Sub],#REF!),0)</f>
        <v>0</v>
      </c>
      <c r="W89" s="75">
        <f>IFERROR(_xlfn.XLOOKUP(Table4[[#This Row],[Subnummer]],Table3[Sub],#REF!),0)</f>
        <v>0</v>
      </c>
      <c r="X89" s="75">
        <f>IFERROR(_xlfn.XLOOKUP(Table4[[#This Row],[Subnummer]],Table3[Sub],#REF!),0)</f>
        <v>0</v>
      </c>
      <c r="Y89" s="75">
        <f>IFERROR(_xlfn.XLOOKUP(Table4[[#This Row],[Subnummer]],Table3[Sub],#REF!),0)</f>
        <v>0</v>
      </c>
      <c r="Z89" s="76">
        <f t="shared" si="22"/>
        <v>0</v>
      </c>
      <c r="AA89" s="76">
        <f t="shared" si="23"/>
        <v>0</v>
      </c>
      <c r="AB89" s="76">
        <f t="shared" si="24"/>
        <v>0</v>
      </c>
      <c r="AC89" s="76">
        <f t="shared" si="25"/>
        <v>0</v>
      </c>
      <c r="AD89" s="76">
        <f t="shared" si="26"/>
        <v>0</v>
      </c>
      <c r="AE89" s="76">
        <f t="shared" si="27"/>
        <v>0</v>
      </c>
      <c r="AF89" s="76">
        <f t="shared" si="28"/>
        <v>0</v>
      </c>
      <c r="AG89" s="76">
        <f t="shared" si="29"/>
        <v>0</v>
      </c>
      <c r="AH89" s="76">
        <f t="shared" si="30"/>
        <v>0</v>
      </c>
      <c r="AI89" s="76">
        <f t="shared" si="31"/>
        <v>0</v>
      </c>
      <c r="AJ89" s="70">
        <f t="shared" si="32"/>
        <v>0</v>
      </c>
      <c r="AK89" s="16" t="str" cm="1">
        <f t="array" ref="AK89">_xlfn.IFS(AJ89=0,"Nihil",AJ89&gt;0,"Suppletie",AJ89&lt;0,"Restitutie")</f>
        <v>Nihil</v>
      </c>
    </row>
    <row r="90" spans="1:37" x14ac:dyDescent="0.3">
      <c r="A90" s="16" t="str">
        <f>IFERROR(_xlfn.XLOOKUP(E90,Table3[Sub],Table3[Verzekerde]),"-")</f>
        <v>-</v>
      </c>
      <c r="C90" s="69" t="str">
        <f>IFERROR(_xlfn.XLOOKUP(Table4[[#This Row],[Subnummer]],Table3[Sub],Table3[Certificaat]),"-")</f>
        <v>-</v>
      </c>
      <c r="D90" s="16" t="str">
        <f>IFERROR(_xlfn.XLOOKUP(E90,Specificatie!C$9:C$291,Specificatie!Q$9:Q$291),"")</f>
        <v/>
      </c>
      <c r="E90" s="103">
        <v>0</v>
      </c>
      <c r="F90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90" s="70">
        <v>0</v>
      </c>
      <c r="H90" s="71">
        <f>Table4[[#This Row],[Nieuwe waarde]]-Table4[[#This Row],[Oude waarde]]</f>
        <v>0</v>
      </c>
      <c r="I90" s="72">
        <v>46266</v>
      </c>
      <c r="J90" s="72">
        <v>46388</v>
      </c>
      <c r="K90" s="16">
        <f>Table4[[#This Row],[Vervaldatum]]-Table4[[#This Row],[Mutatiedatum]]</f>
        <v>122</v>
      </c>
      <c r="L90" s="16">
        <v>366</v>
      </c>
      <c r="M90" s="16" t="s">
        <v>86</v>
      </c>
      <c r="N90" s="107" t="s">
        <v>87</v>
      </c>
      <c r="O90" s="73" cm="1">
        <f t="array" ref="O90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90" s="75">
        <f>IFERROR(_xlfn.XLOOKUP(Table4[[#This Row],[Subnummer]],Table3[Sub],#REF!),0)</f>
        <v>0</v>
      </c>
      <c r="Q90" s="75">
        <f>IFERROR(_xlfn.XLOOKUP(Table4[[#This Row],[Subnummer]],Table3[Sub],#REF!),0)</f>
        <v>0</v>
      </c>
      <c r="R90" s="75">
        <f>IFERROR(_xlfn.XLOOKUP(Table4[[#This Row],[Subnummer]],Table3[Sub],#REF!),0)</f>
        <v>0</v>
      </c>
      <c r="S90" s="75">
        <f>IFERROR(_xlfn.XLOOKUP(Table4[[#This Row],[Subnummer]],Table3[Sub],#REF!),0)</f>
        <v>0</v>
      </c>
      <c r="T90" s="75">
        <f>IFERROR(_xlfn.XLOOKUP(Table4[[#This Row],[Subnummer]],Table3[Sub],#REF!),0)</f>
        <v>0</v>
      </c>
      <c r="U90" s="75">
        <f>IFERROR(_xlfn.XLOOKUP(Table4[[#This Row],[Subnummer]],Table3[Sub],#REF!),0)</f>
        <v>0</v>
      </c>
      <c r="V90" s="75">
        <f>IFERROR(_xlfn.XLOOKUP(Table4[[#This Row],[Subnummer]],Table3[Sub],#REF!),0)</f>
        <v>0</v>
      </c>
      <c r="W90" s="75">
        <f>IFERROR(_xlfn.XLOOKUP(Table4[[#This Row],[Subnummer]],Table3[Sub],#REF!),0)</f>
        <v>0</v>
      </c>
      <c r="X90" s="75">
        <f>IFERROR(_xlfn.XLOOKUP(Table4[[#This Row],[Subnummer]],Table3[Sub],#REF!),0)</f>
        <v>0</v>
      </c>
      <c r="Y90" s="75">
        <f>IFERROR(_xlfn.XLOOKUP(Table4[[#This Row],[Subnummer]],Table3[Sub],#REF!),0)</f>
        <v>0</v>
      </c>
      <c r="Z90" s="76">
        <f t="shared" si="22"/>
        <v>0</v>
      </c>
      <c r="AA90" s="76">
        <f t="shared" si="23"/>
        <v>0</v>
      </c>
      <c r="AB90" s="76">
        <f t="shared" si="24"/>
        <v>0</v>
      </c>
      <c r="AC90" s="76">
        <f t="shared" si="25"/>
        <v>0</v>
      </c>
      <c r="AD90" s="76">
        <f t="shared" si="26"/>
        <v>0</v>
      </c>
      <c r="AE90" s="76">
        <f t="shared" si="27"/>
        <v>0</v>
      </c>
      <c r="AF90" s="76">
        <f t="shared" si="28"/>
        <v>0</v>
      </c>
      <c r="AG90" s="76">
        <f t="shared" si="29"/>
        <v>0</v>
      </c>
      <c r="AH90" s="76">
        <f t="shared" si="30"/>
        <v>0</v>
      </c>
      <c r="AI90" s="76">
        <f t="shared" si="31"/>
        <v>0</v>
      </c>
      <c r="AJ90" s="70">
        <f t="shared" si="32"/>
        <v>0</v>
      </c>
      <c r="AK90" s="16" t="str" cm="1">
        <f t="array" ref="AK90">_xlfn.IFS(AJ90=0,"Nihil",AJ90&gt;0,"Suppletie",AJ90&lt;0,"Restitutie")</f>
        <v>Nihil</v>
      </c>
    </row>
    <row r="91" spans="1:37" x14ac:dyDescent="0.3">
      <c r="A91" s="16" t="str">
        <f>IFERROR(_xlfn.XLOOKUP(E91,Table3[Sub],Table3[Verzekerde]),"-")</f>
        <v>-</v>
      </c>
      <c r="C91" s="69" t="str">
        <f>IFERROR(_xlfn.XLOOKUP(Table4[[#This Row],[Subnummer]],Table3[Sub],Table3[Certificaat]),"-")</f>
        <v>-</v>
      </c>
      <c r="D91" s="16" t="str">
        <f>IFERROR(_xlfn.XLOOKUP(E91,Specificatie!C$9:C$291,Specificatie!Q$9:Q$291),"")</f>
        <v/>
      </c>
      <c r="E91" s="103">
        <v>0</v>
      </c>
      <c r="F91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91" s="70">
        <v>0</v>
      </c>
      <c r="H91" s="71">
        <f>Table4[[#This Row],[Nieuwe waarde]]-Table4[[#This Row],[Oude waarde]]</f>
        <v>0</v>
      </c>
      <c r="I91" s="72">
        <v>46266</v>
      </c>
      <c r="J91" s="72">
        <v>46388</v>
      </c>
      <c r="K91" s="16">
        <f>Table4[[#This Row],[Vervaldatum]]-Table4[[#This Row],[Mutatiedatum]]</f>
        <v>122</v>
      </c>
      <c r="L91" s="16">
        <v>366</v>
      </c>
      <c r="M91" s="16" t="s">
        <v>86</v>
      </c>
      <c r="N91" s="107" t="s">
        <v>87</v>
      </c>
      <c r="O91" s="73" cm="1">
        <f t="array" ref="O91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91" s="75">
        <f>IFERROR(_xlfn.XLOOKUP(Table4[[#This Row],[Subnummer]],Table3[Sub],#REF!),0)</f>
        <v>0</v>
      </c>
      <c r="Q91" s="75">
        <f>IFERROR(_xlfn.XLOOKUP(Table4[[#This Row],[Subnummer]],Table3[Sub],#REF!),0)</f>
        <v>0</v>
      </c>
      <c r="R91" s="75">
        <f>IFERROR(_xlfn.XLOOKUP(Table4[[#This Row],[Subnummer]],Table3[Sub],#REF!),0)</f>
        <v>0</v>
      </c>
      <c r="S91" s="75">
        <f>IFERROR(_xlfn.XLOOKUP(Table4[[#This Row],[Subnummer]],Table3[Sub],#REF!),0)</f>
        <v>0</v>
      </c>
      <c r="T91" s="75">
        <f>IFERROR(_xlfn.XLOOKUP(Table4[[#This Row],[Subnummer]],Table3[Sub],#REF!),0)</f>
        <v>0</v>
      </c>
      <c r="U91" s="75">
        <f>IFERROR(_xlfn.XLOOKUP(Table4[[#This Row],[Subnummer]],Table3[Sub],#REF!),0)</f>
        <v>0</v>
      </c>
      <c r="V91" s="75">
        <f>IFERROR(_xlfn.XLOOKUP(Table4[[#This Row],[Subnummer]],Table3[Sub],#REF!),0)</f>
        <v>0</v>
      </c>
      <c r="W91" s="75">
        <f>IFERROR(_xlfn.XLOOKUP(Table4[[#This Row],[Subnummer]],Table3[Sub],#REF!),0)</f>
        <v>0</v>
      </c>
      <c r="X91" s="75">
        <f>IFERROR(_xlfn.XLOOKUP(Table4[[#This Row],[Subnummer]],Table3[Sub],#REF!),0)</f>
        <v>0</v>
      </c>
      <c r="Y91" s="75">
        <f>IFERROR(_xlfn.XLOOKUP(Table4[[#This Row],[Subnummer]],Table3[Sub],#REF!),0)</f>
        <v>0</v>
      </c>
      <c r="Z91" s="76">
        <f t="shared" si="22"/>
        <v>0</v>
      </c>
      <c r="AA91" s="76">
        <f t="shared" si="23"/>
        <v>0</v>
      </c>
      <c r="AB91" s="76">
        <f t="shared" si="24"/>
        <v>0</v>
      </c>
      <c r="AC91" s="76">
        <f t="shared" si="25"/>
        <v>0</v>
      </c>
      <c r="AD91" s="76">
        <f t="shared" si="26"/>
        <v>0</v>
      </c>
      <c r="AE91" s="76">
        <f t="shared" si="27"/>
        <v>0</v>
      </c>
      <c r="AF91" s="76">
        <f t="shared" si="28"/>
        <v>0</v>
      </c>
      <c r="AG91" s="76">
        <f t="shared" si="29"/>
        <v>0</v>
      </c>
      <c r="AH91" s="76">
        <f t="shared" si="30"/>
        <v>0</v>
      </c>
      <c r="AI91" s="76">
        <f t="shared" si="31"/>
        <v>0</v>
      </c>
      <c r="AJ91" s="70">
        <f t="shared" si="32"/>
        <v>0</v>
      </c>
      <c r="AK91" s="16" t="str" cm="1">
        <f t="array" ref="AK91">_xlfn.IFS(AJ91=0,"Nihil",AJ91&gt;0,"Suppletie",AJ91&lt;0,"Restitutie")</f>
        <v>Nihil</v>
      </c>
    </row>
    <row r="92" spans="1:37" x14ac:dyDescent="0.3">
      <c r="A92" s="16" t="str">
        <f>IFERROR(_xlfn.XLOOKUP(E92,Table3[Sub],Table3[Verzekerde]),"-")</f>
        <v>-</v>
      </c>
      <c r="C92" s="69" t="str">
        <f>IFERROR(_xlfn.XLOOKUP(Table4[[#This Row],[Subnummer]],Table3[Sub],Table3[Certificaat]),"-")</f>
        <v>-</v>
      </c>
      <c r="D92" s="16" t="str">
        <f>IFERROR(_xlfn.XLOOKUP(E92,Specificatie!C$9:C$291,Specificatie!Q$9:Q$291),"")</f>
        <v/>
      </c>
      <c r="E92" s="103">
        <v>0</v>
      </c>
      <c r="F92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92" s="70">
        <v>0</v>
      </c>
      <c r="H92" s="71">
        <f>Table4[[#This Row],[Nieuwe waarde]]-Table4[[#This Row],[Oude waarde]]</f>
        <v>0</v>
      </c>
      <c r="I92" s="72">
        <v>46266</v>
      </c>
      <c r="J92" s="72">
        <v>46388</v>
      </c>
      <c r="K92" s="16">
        <f>Table4[[#This Row],[Vervaldatum]]-Table4[[#This Row],[Mutatiedatum]]</f>
        <v>122</v>
      </c>
      <c r="L92" s="16">
        <v>366</v>
      </c>
      <c r="M92" s="16" t="s">
        <v>86</v>
      </c>
      <c r="N92" s="107" t="s">
        <v>87</v>
      </c>
      <c r="O92" s="73" cm="1">
        <f t="array" ref="O92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92" s="75">
        <f>IFERROR(_xlfn.XLOOKUP(Table4[[#This Row],[Subnummer]],Table3[Sub],#REF!),0)</f>
        <v>0</v>
      </c>
      <c r="Q92" s="75">
        <f>IFERROR(_xlfn.XLOOKUP(Table4[[#This Row],[Subnummer]],Table3[Sub],#REF!),0)</f>
        <v>0</v>
      </c>
      <c r="R92" s="75">
        <f>IFERROR(_xlfn.XLOOKUP(Table4[[#This Row],[Subnummer]],Table3[Sub],#REF!),0)</f>
        <v>0</v>
      </c>
      <c r="S92" s="75">
        <f>IFERROR(_xlfn.XLOOKUP(Table4[[#This Row],[Subnummer]],Table3[Sub],#REF!),0)</f>
        <v>0</v>
      </c>
      <c r="T92" s="75">
        <f>IFERROR(_xlfn.XLOOKUP(Table4[[#This Row],[Subnummer]],Table3[Sub],#REF!),0)</f>
        <v>0</v>
      </c>
      <c r="U92" s="75">
        <f>IFERROR(_xlfn.XLOOKUP(Table4[[#This Row],[Subnummer]],Table3[Sub],#REF!),0)</f>
        <v>0</v>
      </c>
      <c r="V92" s="75">
        <f>IFERROR(_xlfn.XLOOKUP(Table4[[#This Row],[Subnummer]],Table3[Sub],#REF!),0)</f>
        <v>0</v>
      </c>
      <c r="W92" s="75">
        <f>IFERROR(_xlfn.XLOOKUP(Table4[[#This Row],[Subnummer]],Table3[Sub],#REF!),0)</f>
        <v>0</v>
      </c>
      <c r="X92" s="75">
        <f>IFERROR(_xlfn.XLOOKUP(Table4[[#This Row],[Subnummer]],Table3[Sub],#REF!),0)</f>
        <v>0</v>
      </c>
      <c r="Y92" s="75">
        <f>IFERROR(_xlfn.XLOOKUP(Table4[[#This Row],[Subnummer]],Table3[Sub],#REF!),0)</f>
        <v>0</v>
      </c>
      <c r="Z92" s="76">
        <f t="shared" si="22"/>
        <v>0</v>
      </c>
      <c r="AA92" s="76">
        <f t="shared" si="23"/>
        <v>0</v>
      </c>
      <c r="AB92" s="76">
        <f t="shared" si="24"/>
        <v>0</v>
      </c>
      <c r="AC92" s="76">
        <f t="shared" si="25"/>
        <v>0</v>
      </c>
      <c r="AD92" s="76">
        <f t="shared" si="26"/>
        <v>0</v>
      </c>
      <c r="AE92" s="76">
        <f t="shared" si="27"/>
        <v>0</v>
      </c>
      <c r="AF92" s="76">
        <f t="shared" si="28"/>
        <v>0</v>
      </c>
      <c r="AG92" s="76">
        <f t="shared" si="29"/>
        <v>0</v>
      </c>
      <c r="AH92" s="76">
        <f t="shared" si="30"/>
        <v>0</v>
      </c>
      <c r="AI92" s="76">
        <f t="shared" si="31"/>
        <v>0</v>
      </c>
      <c r="AJ92" s="70">
        <f t="shared" si="32"/>
        <v>0</v>
      </c>
      <c r="AK92" s="16" t="str" cm="1">
        <f t="array" ref="AK92">_xlfn.IFS(AJ92=0,"Nihil",AJ92&gt;0,"Suppletie",AJ92&lt;0,"Restitutie")</f>
        <v>Nihil</v>
      </c>
    </row>
    <row r="93" spans="1:37" x14ac:dyDescent="0.3">
      <c r="A93" s="16" t="str">
        <f>IFERROR(_xlfn.XLOOKUP(E93,Table3[Sub],Table3[Verzekerde]),"-")</f>
        <v>-</v>
      </c>
      <c r="C93" s="69" t="str">
        <f>IFERROR(_xlfn.XLOOKUP(Table4[[#This Row],[Subnummer]],Table3[Sub],Table3[Certificaat]),"-")</f>
        <v>-</v>
      </c>
      <c r="D93" s="16" t="str">
        <f>IFERROR(_xlfn.XLOOKUP(E93,Specificatie!C$9:C$291,Specificatie!Q$9:Q$291),"")</f>
        <v/>
      </c>
      <c r="E93" s="103">
        <v>0</v>
      </c>
      <c r="F93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93" s="70">
        <v>0</v>
      </c>
      <c r="H93" s="71">
        <f>Table4[[#This Row],[Nieuwe waarde]]-Table4[[#This Row],[Oude waarde]]</f>
        <v>0</v>
      </c>
      <c r="I93" s="72">
        <v>46266</v>
      </c>
      <c r="J93" s="72">
        <v>46388</v>
      </c>
      <c r="K93" s="16">
        <f>Table4[[#This Row],[Vervaldatum]]-Table4[[#This Row],[Mutatiedatum]]</f>
        <v>122</v>
      </c>
      <c r="L93" s="16">
        <v>366</v>
      </c>
      <c r="M93" s="16" t="s">
        <v>86</v>
      </c>
      <c r="N93" s="107" t="s">
        <v>87</v>
      </c>
      <c r="O93" s="73" cm="1">
        <f t="array" ref="O93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93" s="75">
        <f>IFERROR(_xlfn.XLOOKUP(Table4[[#This Row],[Subnummer]],Table3[Sub],#REF!),0)</f>
        <v>0</v>
      </c>
      <c r="Q93" s="75">
        <f>IFERROR(_xlfn.XLOOKUP(Table4[[#This Row],[Subnummer]],Table3[Sub],#REF!),0)</f>
        <v>0</v>
      </c>
      <c r="R93" s="75">
        <f>IFERROR(_xlfn.XLOOKUP(Table4[[#This Row],[Subnummer]],Table3[Sub],#REF!),0)</f>
        <v>0</v>
      </c>
      <c r="S93" s="75">
        <f>IFERROR(_xlfn.XLOOKUP(Table4[[#This Row],[Subnummer]],Table3[Sub],#REF!),0)</f>
        <v>0</v>
      </c>
      <c r="T93" s="75">
        <f>IFERROR(_xlfn.XLOOKUP(Table4[[#This Row],[Subnummer]],Table3[Sub],#REF!),0)</f>
        <v>0</v>
      </c>
      <c r="U93" s="75">
        <f>IFERROR(_xlfn.XLOOKUP(Table4[[#This Row],[Subnummer]],Table3[Sub],#REF!),0)</f>
        <v>0</v>
      </c>
      <c r="V93" s="75">
        <f>IFERROR(_xlfn.XLOOKUP(Table4[[#This Row],[Subnummer]],Table3[Sub],#REF!),0)</f>
        <v>0</v>
      </c>
      <c r="W93" s="75">
        <f>IFERROR(_xlfn.XLOOKUP(Table4[[#This Row],[Subnummer]],Table3[Sub],#REF!),0)</f>
        <v>0</v>
      </c>
      <c r="X93" s="75">
        <f>IFERROR(_xlfn.XLOOKUP(Table4[[#This Row],[Subnummer]],Table3[Sub],#REF!),0)</f>
        <v>0</v>
      </c>
      <c r="Y93" s="75">
        <f>IFERROR(_xlfn.XLOOKUP(Table4[[#This Row],[Subnummer]],Table3[Sub],#REF!),0)</f>
        <v>0</v>
      </c>
      <c r="Z93" s="76">
        <f t="shared" si="22"/>
        <v>0</v>
      </c>
      <c r="AA93" s="76">
        <f t="shared" si="23"/>
        <v>0</v>
      </c>
      <c r="AB93" s="76">
        <f t="shared" si="24"/>
        <v>0</v>
      </c>
      <c r="AC93" s="76">
        <f t="shared" si="25"/>
        <v>0</v>
      </c>
      <c r="AD93" s="76">
        <f t="shared" si="26"/>
        <v>0</v>
      </c>
      <c r="AE93" s="76">
        <f t="shared" si="27"/>
        <v>0</v>
      </c>
      <c r="AF93" s="76">
        <f t="shared" si="28"/>
        <v>0</v>
      </c>
      <c r="AG93" s="76">
        <f t="shared" si="29"/>
        <v>0</v>
      </c>
      <c r="AH93" s="76">
        <f t="shared" si="30"/>
        <v>0</v>
      </c>
      <c r="AI93" s="76">
        <f t="shared" si="31"/>
        <v>0</v>
      </c>
      <c r="AJ93" s="70">
        <f t="shared" si="32"/>
        <v>0</v>
      </c>
      <c r="AK93" s="16" t="str" cm="1">
        <f t="array" ref="AK93">_xlfn.IFS(AJ93=0,"Nihil",AJ93&gt;0,"Suppletie",AJ93&lt;0,"Restitutie")</f>
        <v>Nihil</v>
      </c>
    </row>
    <row r="94" spans="1:37" x14ac:dyDescent="0.3">
      <c r="A94" s="16" t="str">
        <f>IFERROR(_xlfn.XLOOKUP(E94,Table3[Sub],Table3[Verzekerde]),"-")</f>
        <v>-</v>
      </c>
      <c r="C94" s="69" t="str">
        <f>IFERROR(_xlfn.XLOOKUP(Table4[[#This Row],[Subnummer]],Table3[Sub],Table3[Certificaat]),"-")</f>
        <v>-</v>
      </c>
      <c r="D94" s="16" t="str">
        <f>IFERROR(_xlfn.XLOOKUP(E94,Specificatie!C$9:C$291,Specificatie!Q$9:Q$291),"")</f>
        <v/>
      </c>
      <c r="E94" s="103">
        <v>0</v>
      </c>
      <c r="F94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94" s="70">
        <v>0</v>
      </c>
      <c r="H94" s="71">
        <f>Table4[[#This Row],[Nieuwe waarde]]-Table4[[#This Row],[Oude waarde]]</f>
        <v>0</v>
      </c>
      <c r="I94" s="72">
        <v>46266</v>
      </c>
      <c r="J94" s="72">
        <v>46388</v>
      </c>
      <c r="K94" s="16">
        <f>Table4[[#This Row],[Vervaldatum]]-Table4[[#This Row],[Mutatiedatum]]</f>
        <v>122</v>
      </c>
      <c r="L94" s="16">
        <v>366</v>
      </c>
      <c r="M94" s="16" t="s">
        <v>86</v>
      </c>
      <c r="N94" s="107" t="s">
        <v>87</v>
      </c>
      <c r="O94" s="73" cm="1">
        <f t="array" ref="O94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94" s="75">
        <f>IFERROR(_xlfn.XLOOKUP(Table4[[#This Row],[Subnummer]],Table3[Sub],#REF!),0)</f>
        <v>0</v>
      </c>
      <c r="Q94" s="75">
        <f>IFERROR(_xlfn.XLOOKUP(Table4[[#This Row],[Subnummer]],Table3[Sub],#REF!),0)</f>
        <v>0</v>
      </c>
      <c r="R94" s="75">
        <f>IFERROR(_xlfn.XLOOKUP(Table4[[#This Row],[Subnummer]],Table3[Sub],#REF!),0)</f>
        <v>0</v>
      </c>
      <c r="S94" s="75">
        <f>IFERROR(_xlfn.XLOOKUP(Table4[[#This Row],[Subnummer]],Table3[Sub],#REF!),0)</f>
        <v>0</v>
      </c>
      <c r="T94" s="75">
        <f>IFERROR(_xlfn.XLOOKUP(Table4[[#This Row],[Subnummer]],Table3[Sub],#REF!),0)</f>
        <v>0</v>
      </c>
      <c r="U94" s="75">
        <f>IFERROR(_xlfn.XLOOKUP(Table4[[#This Row],[Subnummer]],Table3[Sub],#REF!),0)</f>
        <v>0</v>
      </c>
      <c r="V94" s="75">
        <f>IFERROR(_xlfn.XLOOKUP(Table4[[#This Row],[Subnummer]],Table3[Sub],#REF!),0)</f>
        <v>0</v>
      </c>
      <c r="W94" s="75">
        <f>IFERROR(_xlfn.XLOOKUP(Table4[[#This Row],[Subnummer]],Table3[Sub],#REF!),0)</f>
        <v>0</v>
      </c>
      <c r="X94" s="75">
        <f>IFERROR(_xlfn.XLOOKUP(Table4[[#This Row],[Subnummer]],Table3[Sub],#REF!),0)</f>
        <v>0</v>
      </c>
      <c r="Y94" s="75">
        <f>IFERROR(_xlfn.XLOOKUP(Table4[[#This Row],[Subnummer]],Table3[Sub],#REF!),0)</f>
        <v>0</v>
      </c>
      <c r="Z94" s="76">
        <f t="shared" si="22"/>
        <v>0</v>
      </c>
      <c r="AA94" s="76">
        <f t="shared" si="23"/>
        <v>0</v>
      </c>
      <c r="AB94" s="76">
        <f t="shared" si="24"/>
        <v>0</v>
      </c>
      <c r="AC94" s="76">
        <f t="shared" si="25"/>
        <v>0</v>
      </c>
      <c r="AD94" s="76">
        <f t="shared" si="26"/>
        <v>0</v>
      </c>
      <c r="AE94" s="76">
        <f t="shared" si="27"/>
        <v>0</v>
      </c>
      <c r="AF94" s="76">
        <f t="shared" si="28"/>
        <v>0</v>
      </c>
      <c r="AG94" s="76">
        <f t="shared" si="29"/>
        <v>0</v>
      </c>
      <c r="AH94" s="76">
        <f t="shared" si="30"/>
        <v>0</v>
      </c>
      <c r="AI94" s="76">
        <f t="shared" si="31"/>
        <v>0</v>
      </c>
      <c r="AJ94" s="70">
        <f t="shared" si="32"/>
        <v>0</v>
      </c>
      <c r="AK94" s="16" t="str" cm="1">
        <f t="array" ref="AK94">_xlfn.IFS(AJ94=0,"Nihil",AJ94&gt;0,"Suppletie",AJ94&lt;0,"Restitutie")</f>
        <v>Nihil</v>
      </c>
    </row>
    <row r="95" spans="1:37" x14ac:dyDescent="0.3">
      <c r="A95" s="16" t="str">
        <f>IFERROR(_xlfn.XLOOKUP(E95,Table3[Sub],Table3[Verzekerde]),"-")</f>
        <v>-</v>
      </c>
      <c r="C95" s="69" t="str">
        <f>IFERROR(_xlfn.XLOOKUP(Table4[[#This Row],[Subnummer]],Table3[Sub],Table3[Certificaat]),"-")</f>
        <v>-</v>
      </c>
      <c r="D95" s="16" t="str">
        <f>IFERROR(_xlfn.XLOOKUP(E95,Specificatie!C$9:C$291,Specificatie!Q$9:Q$291),"")</f>
        <v/>
      </c>
      <c r="E95" s="103">
        <v>0</v>
      </c>
      <c r="F95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95" s="70">
        <v>0</v>
      </c>
      <c r="H95" s="71">
        <f>Table4[[#This Row],[Nieuwe waarde]]-Table4[[#This Row],[Oude waarde]]</f>
        <v>0</v>
      </c>
      <c r="I95" s="72">
        <v>46266</v>
      </c>
      <c r="J95" s="72">
        <v>46388</v>
      </c>
      <c r="K95" s="16">
        <f>Table4[[#This Row],[Vervaldatum]]-Table4[[#This Row],[Mutatiedatum]]</f>
        <v>122</v>
      </c>
      <c r="L95" s="16">
        <v>366</v>
      </c>
      <c r="M95" s="16" t="s">
        <v>86</v>
      </c>
      <c r="N95" s="107" t="s">
        <v>87</v>
      </c>
      <c r="O95" s="73" cm="1">
        <f t="array" ref="O95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95" s="75">
        <f>IFERROR(_xlfn.XLOOKUP(Table4[[#This Row],[Subnummer]],Table3[Sub],#REF!),0)</f>
        <v>0</v>
      </c>
      <c r="Q95" s="75">
        <f>IFERROR(_xlfn.XLOOKUP(Table4[[#This Row],[Subnummer]],Table3[Sub],#REF!),0)</f>
        <v>0</v>
      </c>
      <c r="R95" s="75">
        <f>IFERROR(_xlfn.XLOOKUP(Table4[[#This Row],[Subnummer]],Table3[Sub],#REF!),0)</f>
        <v>0</v>
      </c>
      <c r="S95" s="75">
        <f>IFERROR(_xlfn.XLOOKUP(Table4[[#This Row],[Subnummer]],Table3[Sub],#REF!),0)</f>
        <v>0</v>
      </c>
      <c r="T95" s="75">
        <f>IFERROR(_xlfn.XLOOKUP(Table4[[#This Row],[Subnummer]],Table3[Sub],#REF!),0)</f>
        <v>0</v>
      </c>
      <c r="U95" s="75">
        <f>IFERROR(_xlfn.XLOOKUP(Table4[[#This Row],[Subnummer]],Table3[Sub],#REF!),0)</f>
        <v>0</v>
      </c>
      <c r="V95" s="75">
        <f>IFERROR(_xlfn.XLOOKUP(Table4[[#This Row],[Subnummer]],Table3[Sub],#REF!),0)</f>
        <v>0</v>
      </c>
      <c r="W95" s="75">
        <f>IFERROR(_xlfn.XLOOKUP(Table4[[#This Row],[Subnummer]],Table3[Sub],#REF!),0)</f>
        <v>0</v>
      </c>
      <c r="X95" s="75">
        <f>IFERROR(_xlfn.XLOOKUP(Table4[[#This Row],[Subnummer]],Table3[Sub],#REF!),0)</f>
        <v>0</v>
      </c>
      <c r="Y95" s="75">
        <f>IFERROR(_xlfn.XLOOKUP(Table4[[#This Row],[Subnummer]],Table3[Sub],#REF!),0)</f>
        <v>0</v>
      </c>
      <c r="Z95" s="76">
        <f t="shared" si="22"/>
        <v>0</v>
      </c>
      <c r="AA95" s="76">
        <f t="shared" si="23"/>
        <v>0</v>
      </c>
      <c r="AB95" s="76">
        <f t="shared" si="24"/>
        <v>0</v>
      </c>
      <c r="AC95" s="76">
        <f t="shared" si="25"/>
        <v>0</v>
      </c>
      <c r="AD95" s="76">
        <f t="shared" si="26"/>
        <v>0</v>
      </c>
      <c r="AE95" s="76">
        <f t="shared" si="27"/>
        <v>0</v>
      </c>
      <c r="AF95" s="76">
        <f t="shared" si="28"/>
        <v>0</v>
      </c>
      <c r="AG95" s="76">
        <f t="shared" si="29"/>
        <v>0</v>
      </c>
      <c r="AH95" s="76">
        <f t="shared" si="30"/>
        <v>0</v>
      </c>
      <c r="AI95" s="76">
        <f t="shared" si="31"/>
        <v>0</v>
      </c>
      <c r="AJ95" s="70">
        <f t="shared" si="32"/>
        <v>0</v>
      </c>
      <c r="AK95" s="16" t="str" cm="1">
        <f t="array" ref="AK95">_xlfn.IFS(AJ95=0,"Nihil",AJ95&gt;0,"Suppletie",AJ95&lt;0,"Restitutie")</f>
        <v>Nihil</v>
      </c>
    </row>
    <row r="96" spans="1:37" x14ac:dyDescent="0.3">
      <c r="A96" s="16" t="str">
        <f>IFERROR(_xlfn.XLOOKUP(E96,Table3[Sub],Table3[Verzekerde]),"-")</f>
        <v>-</v>
      </c>
      <c r="C96" s="69" t="str">
        <f>IFERROR(_xlfn.XLOOKUP(Table4[[#This Row],[Subnummer]],Table3[Sub],Table3[Certificaat]),"-")</f>
        <v>-</v>
      </c>
      <c r="D96" s="16" t="str">
        <f>IFERROR(_xlfn.XLOOKUP(E96,Specificatie!C$9:C$291,Specificatie!Q$9:Q$291),"")</f>
        <v/>
      </c>
      <c r="E96" s="103">
        <v>0</v>
      </c>
      <c r="F96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96" s="70">
        <v>0</v>
      </c>
      <c r="H96" s="71">
        <f>Table4[[#This Row],[Nieuwe waarde]]-Table4[[#This Row],[Oude waarde]]</f>
        <v>0</v>
      </c>
      <c r="I96" s="72">
        <v>46266</v>
      </c>
      <c r="J96" s="72">
        <v>46388</v>
      </c>
      <c r="K96" s="16">
        <f>Table4[[#This Row],[Vervaldatum]]-Table4[[#This Row],[Mutatiedatum]]</f>
        <v>122</v>
      </c>
      <c r="L96" s="16">
        <v>366</v>
      </c>
      <c r="M96" s="16" t="s">
        <v>86</v>
      </c>
      <c r="N96" s="107" t="s">
        <v>87</v>
      </c>
      <c r="O96" s="73" cm="1">
        <f t="array" ref="O96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96" s="75">
        <f>IFERROR(_xlfn.XLOOKUP(Table4[[#This Row],[Subnummer]],Table3[Sub],#REF!),0)</f>
        <v>0</v>
      </c>
      <c r="Q96" s="75">
        <f>IFERROR(_xlfn.XLOOKUP(Table4[[#This Row],[Subnummer]],Table3[Sub],#REF!),0)</f>
        <v>0</v>
      </c>
      <c r="R96" s="75">
        <f>IFERROR(_xlfn.XLOOKUP(Table4[[#This Row],[Subnummer]],Table3[Sub],#REF!),0)</f>
        <v>0</v>
      </c>
      <c r="S96" s="75">
        <f>IFERROR(_xlfn.XLOOKUP(Table4[[#This Row],[Subnummer]],Table3[Sub],#REF!),0)</f>
        <v>0</v>
      </c>
      <c r="T96" s="75">
        <f>IFERROR(_xlfn.XLOOKUP(Table4[[#This Row],[Subnummer]],Table3[Sub],#REF!),0)</f>
        <v>0</v>
      </c>
      <c r="U96" s="75">
        <f>IFERROR(_xlfn.XLOOKUP(Table4[[#This Row],[Subnummer]],Table3[Sub],#REF!),0)</f>
        <v>0</v>
      </c>
      <c r="V96" s="75">
        <f>IFERROR(_xlfn.XLOOKUP(Table4[[#This Row],[Subnummer]],Table3[Sub],#REF!),0)</f>
        <v>0</v>
      </c>
      <c r="W96" s="75">
        <f>IFERROR(_xlfn.XLOOKUP(Table4[[#This Row],[Subnummer]],Table3[Sub],#REF!),0)</f>
        <v>0</v>
      </c>
      <c r="X96" s="75">
        <f>IFERROR(_xlfn.XLOOKUP(Table4[[#This Row],[Subnummer]],Table3[Sub],#REF!),0)</f>
        <v>0</v>
      </c>
      <c r="Y96" s="75">
        <f>IFERROR(_xlfn.XLOOKUP(Table4[[#This Row],[Subnummer]],Table3[Sub],#REF!),0)</f>
        <v>0</v>
      </c>
      <c r="Z96" s="76">
        <f t="shared" si="22"/>
        <v>0</v>
      </c>
      <c r="AA96" s="76">
        <f t="shared" si="23"/>
        <v>0</v>
      </c>
      <c r="AB96" s="76">
        <f t="shared" si="24"/>
        <v>0</v>
      </c>
      <c r="AC96" s="76">
        <f t="shared" si="25"/>
        <v>0</v>
      </c>
      <c r="AD96" s="76">
        <f t="shared" si="26"/>
        <v>0</v>
      </c>
      <c r="AE96" s="76">
        <f t="shared" si="27"/>
        <v>0</v>
      </c>
      <c r="AF96" s="76">
        <f t="shared" si="28"/>
        <v>0</v>
      </c>
      <c r="AG96" s="76">
        <f t="shared" si="29"/>
        <v>0</v>
      </c>
      <c r="AH96" s="76">
        <f t="shared" si="30"/>
        <v>0</v>
      </c>
      <c r="AI96" s="76">
        <f t="shared" si="31"/>
        <v>0</v>
      </c>
      <c r="AJ96" s="70">
        <f t="shared" si="32"/>
        <v>0</v>
      </c>
      <c r="AK96" s="16" t="str" cm="1">
        <f t="array" ref="AK96">_xlfn.IFS(AJ96=0,"Nihil",AJ96&gt;0,"Suppletie",AJ96&lt;0,"Restitutie")</f>
        <v>Nihil</v>
      </c>
    </row>
    <row r="97" spans="1:37" x14ac:dyDescent="0.3">
      <c r="A97" s="16" t="str">
        <f>IFERROR(_xlfn.XLOOKUP(E97,Table3[Sub],Table3[Verzekerde]),"-")</f>
        <v>-</v>
      </c>
      <c r="C97" s="69" t="str">
        <f>IFERROR(_xlfn.XLOOKUP(Table4[[#This Row],[Subnummer]],Table3[Sub],Table3[Certificaat]),"-")</f>
        <v>-</v>
      </c>
      <c r="D97" s="16" t="str">
        <f>IFERROR(_xlfn.XLOOKUP(E97,Specificatie!C$9:C$291,Specificatie!Q$9:Q$291),"")</f>
        <v/>
      </c>
      <c r="E97" s="103">
        <v>0</v>
      </c>
      <c r="F97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97" s="70">
        <v>0</v>
      </c>
      <c r="H97" s="71">
        <f>Table4[[#This Row],[Nieuwe waarde]]-Table4[[#This Row],[Oude waarde]]</f>
        <v>0</v>
      </c>
      <c r="I97" s="72">
        <v>46266</v>
      </c>
      <c r="J97" s="72">
        <v>46388</v>
      </c>
      <c r="K97" s="16">
        <f>Table4[[#This Row],[Vervaldatum]]-Table4[[#This Row],[Mutatiedatum]]</f>
        <v>122</v>
      </c>
      <c r="L97" s="16">
        <v>366</v>
      </c>
      <c r="M97" s="16" t="s">
        <v>86</v>
      </c>
      <c r="N97" s="107" t="s">
        <v>87</v>
      </c>
      <c r="O97" s="73" cm="1">
        <f t="array" ref="O97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97" s="75">
        <f>IFERROR(_xlfn.XLOOKUP(Table4[[#This Row],[Subnummer]],Table3[Sub],#REF!),0)</f>
        <v>0</v>
      </c>
      <c r="Q97" s="75">
        <f>IFERROR(_xlfn.XLOOKUP(Table4[[#This Row],[Subnummer]],Table3[Sub],#REF!),0)</f>
        <v>0</v>
      </c>
      <c r="R97" s="75">
        <f>IFERROR(_xlfn.XLOOKUP(Table4[[#This Row],[Subnummer]],Table3[Sub],#REF!),0)</f>
        <v>0</v>
      </c>
      <c r="S97" s="75">
        <f>IFERROR(_xlfn.XLOOKUP(Table4[[#This Row],[Subnummer]],Table3[Sub],#REF!),0)</f>
        <v>0</v>
      </c>
      <c r="T97" s="75">
        <f>IFERROR(_xlfn.XLOOKUP(Table4[[#This Row],[Subnummer]],Table3[Sub],#REF!),0)</f>
        <v>0</v>
      </c>
      <c r="U97" s="75">
        <f>IFERROR(_xlfn.XLOOKUP(Table4[[#This Row],[Subnummer]],Table3[Sub],#REF!),0)</f>
        <v>0</v>
      </c>
      <c r="V97" s="75">
        <f>IFERROR(_xlfn.XLOOKUP(Table4[[#This Row],[Subnummer]],Table3[Sub],#REF!),0)</f>
        <v>0</v>
      </c>
      <c r="W97" s="75">
        <f>IFERROR(_xlfn.XLOOKUP(Table4[[#This Row],[Subnummer]],Table3[Sub],#REF!),0)</f>
        <v>0</v>
      </c>
      <c r="X97" s="75">
        <f>IFERROR(_xlfn.XLOOKUP(Table4[[#This Row],[Subnummer]],Table3[Sub],#REF!),0)</f>
        <v>0</v>
      </c>
      <c r="Y97" s="75">
        <f>IFERROR(_xlfn.XLOOKUP(Table4[[#This Row],[Subnummer]],Table3[Sub],#REF!),0)</f>
        <v>0</v>
      </c>
      <c r="Z97" s="76">
        <f t="shared" si="22"/>
        <v>0</v>
      </c>
      <c r="AA97" s="76">
        <f t="shared" si="23"/>
        <v>0</v>
      </c>
      <c r="AB97" s="76">
        <f t="shared" si="24"/>
        <v>0</v>
      </c>
      <c r="AC97" s="76">
        <f t="shared" si="25"/>
        <v>0</v>
      </c>
      <c r="AD97" s="76">
        <f t="shared" si="26"/>
        <v>0</v>
      </c>
      <c r="AE97" s="76">
        <f t="shared" si="27"/>
        <v>0</v>
      </c>
      <c r="AF97" s="76">
        <f t="shared" si="28"/>
        <v>0</v>
      </c>
      <c r="AG97" s="76">
        <f t="shared" si="29"/>
        <v>0</v>
      </c>
      <c r="AH97" s="76">
        <f t="shared" si="30"/>
        <v>0</v>
      </c>
      <c r="AI97" s="76">
        <f t="shared" si="31"/>
        <v>0</v>
      </c>
      <c r="AJ97" s="70">
        <f t="shared" si="32"/>
        <v>0</v>
      </c>
      <c r="AK97" s="16" t="str" cm="1">
        <f t="array" ref="AK97">_xlfn.IFS(AJ97=0,"Nihil",AJ97&gt;0,"Suppletie",AJ97&lt;0,"Restitutie")</f>
        <v>Nihil</v>
      </c>
    </row>
    <row r="98" spans="1:37" x14ac:dyDescent="0.3">
      <c r="A98" s="16" t="str">
        <f>IFERROR(_xlfn.XLOOKUP(E98,Table3[Sub],Table3[Verzekerde]),"-")</f>
        <v>-</v>
      </c>
      <c r="C98" s="69" t="str">
        <f>IFERROR(_xlfn.XLOOKUP(Table4[[#This Row],[Subnummer]],Table3[Sub],Table3[Certificaat]),"-")</f>
        <v>-</v>
      </c>
      <c r="D98" s="16" t="str">
        <f>IFERROR(_xlfn.XLOOKUP(E98,Specificatie!C$9:C$291,Specificatie!Q$9:Q$291),"")</f>
        <v/>
      </c>
      <c r="E98" s="103">
        <v>0</v>
      </c>
      <c r="F98" s="70">
        <f>IFERROR(_xlfn.XLOOKUP(Table4[[#This Row],[Subnummer]],Table3[Sub],Table3[Verz. Waarde Oud:])+SUMIFS(Table4[Som mutaties],Table4[Subnummer],Table4[[#This Row],[Subnummer]],Table4[Mutatiedatum],"&lt;"&amp;Table4[[#This Row],[Mutatiedatum]]),0)</f>
        <v>0</v>
      </c>
      <c r="G98" s="70">
        <v>0</v>
      </c>
      <c r="H98" s="71">
        <f>Table4[[#This Row],[Nieuwe waarde]]-Table4[[#This Row],[Oude waarde]]</f>
        <v>0</v>
      </c>
      <c r="I98" s="72">
        <v>46266</v>
      </c>
      <c r="J98" s="72">
        <v>46388</v>
      </c>
      <c r="K98" s="16">
        <f>Table4[[#This Row],[Vervaldatum]]-Table4[[#This Row],[Mutatiedatum]]</f>
        <v>122</v>
      </c>
      <c r="L98" s="16">
        <v>366</v>
      </c>
      <c r="M98" s="16" t="s">
        <v>86</v>
      </c>
      <c r="N98" s="107" t="s">
        <v>87</v>
      </c>
      <c r="O98" s="73" cm="1">
        <f t="array" ref="O98">IFERROR(_xlfn.IFS(Table4[[#This Row],[Berekeningswijze]]="Pro rata",Table4[[#This Row],[Som mutaties]]*Table4[[#This Row],[Dagen]]/Table4[[#This Row],[Dagen per jaar]],Table4[[#This Row],[Berekeningswijze]]=0.5,Table4[[#This Row],[Som mutaties]]*0.5,Table4[[#This Row],[Berekeningswijze]]="Geen verrekening",0),"")</f>
        <v>0</v>
      </c>
      <c r="P98" s="75">
        <f>IFERROR(_xlfn.XLOOKUP(Table4[[#This Row],[Subnummer]],Table3[Sub],#REF!),0)</f>
        <v>0</v>
      </c>
      <c r="Q98" s="75">
        <f>IFERROR(_xlfn.XLOOKUP(Table4[[#This Row],[Subnummer]],Table3[Sub],#REF!),0)</f>
        <v>0</v>
      </c>
      <c r="R98" s="75">
        <f>IFERROR(_xlfn.XLOOKUP(Table4[[#This Row],[Subnummer]],Table3[Sub],#REF!),0)</f>
        <v>0</v>
      </c>
      <c r="S98" s="75">
        <f>IFERROR(_xlfn.XLOOKUP(Table4[[#This Row],[Subnummer]],Table3[Sub],#REF!),0)</f>
        <v>0</v>
      </c>
      <c r="T98" s="75">
        <f>IFERROR(_xlfn.XLOOKUP(Table4[[#This Row],[Subnummer]],Table3[Sub],#REF!),0)</f>
        <v>0</v>
      </c>
      <c r="U98" s="75">
        <f>IFERROR(_xlfn.XLOOKUP(Table4[[#This Row],[Subnummer]],Table3[Sub],#REF!),0)</f>
        <v>0</v>
      </c>
      <c r="V98" s="75">
        <f>IFERROR(_xlfn.XLOOKUP(Table4[[#This Row],[Subnummer]],Table3[Sub],#REF!),0)</f>
        <v>0</v>
      </c>
      <c r="W98" s="75">
        <f>IFERROR(_xlfn.XLOOKUP(Table4[[#This Row],[Subnummer]],Table3[Sub],#REF!),0)</f>
        <v>0</v>
      </c>
      <c r="X98" s="75">
        <f>IFERROR(_xlfn.XLOOKUP(Table4[[#This Row],[Subnummer]],Table3[Sub],#REF!),0)</f>
        <v>0</v>
      </c>
      <c r="Y98" s="75">
        <f>IFERROR(_xlfn.XLOOKUP(Table4[[#This Row],[Subnummer]],Table3[Sub],#REF!),0)</f>
        <v>0</v>
      </c>
      <c r="Z98" s="76">
        <f t="shared" si="22"/>
        <v>0</v>
      </c>
      <c r="AA98" s="76">
        <f t="shared" si="23"/>
        <v>0</v>
      </c>
      <c r="AB98" s="76">
        <f t="shared" si="24"/>
        <v>0</v>
      </c>
      <c r="AC98" s="76">
        <f t="shared" si="25"/>
        <v>0</v>
      </c>
      <c r="AD98" s="76">
        <f t="shared" si="26"/>
        <v>0</v>
      </c>
      <c r="AE98" s="76">
        <f t="shared" si="27"/>
        <v>0</v>
      </c>
      <c r="AF98" s="76">
        <f t="shared" si="28"/>
        <v>0</v>
      </c>
      <c r="AG98" s="76">
        <f t="shared" si="29"/>
        <v>0</v>
      </c>
      <c r="AH98" s="76">
        <f t="shared" si="30"/>
        <v>0</v>
      </c>
      <c r="AI98" s="76">
        <f t="shared" si="31"/>
        <v>0</v>
      </c>
      <c r="AJ98" s="70">
        <f t="shared" si="32"/>
        <v>0</v>
      </c>
      <c r="AK98" s="16" t="str" cm="1">
        <f t="array" ref="AK98">_xlfn.IFS(AJ98=0,"Nihil",AJ98&gt;0,"Suppletie",AJ98&lt;0,"Restitutie")</f>
        <v>Nihil</v>
      </c>
    </row>
    <row r="99" spans="1:37" x14ac:dyDescent="0.3">
      <c r="A99" s="68" t="s">
        <v>73</v>
      </c>
      <c r="F99" s="77">
        <f>SUBTOTAL(109,Table4[Oude waarde])</f>
        <v>0</v>
      </c>
      <c r="G99" s="77">
        <f>SUBTOTAL(109,Table4[Nieuwe waarde])</f>
        <v>0</v>
      </c>
      <c r="H99" s="77">
        <f>SUBTOTAL(109,Table4[Som mutaties])</f>
        <v>0</v>
      </c>
      <c r="O99" s="77">
        <f>SUBTOTAL(109,Table4[Totaal])</f>
        <v>0</v>
      </c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7">
        <f>SUBTOTAL(109,Table4[Premie 1])</f>
        <v>0</v>
      </c>
      <c r="AA99" s="77">
        <f>SUBTOTAL(109,Table4[Premie 2])</f>
        <v>0</v>
      </c>
      <c r="AB99" s="77">
        <f>SUBTOTAL(109,Table4[Premie 3])</f>
        <v>0</v>
      </c>
      <c r="AC99" s="77">
        <f>SUBTOTAL(109,Table4[Premie 4])</f>
        <v>0</v>
      </c>
      <c r="AD99" s="77">
        <f>SUBTOTAL(109,Table4[Premie 5])</f>
        <v>0</v>
      </c>
      <c r="AE99" s="77">
        <f>SUBTOTAL(109,Table4[Premie 6])</f>
        <v>0</v>
      </c>
      <c r="AF99" s="77">
        <f>SUBTOTAL(109,Table4[Premie 7])</f>
        <v>0</v>
      </c>
      <c r="AG99" s="77">
        <f>SUBTOTAL(109,Table4[Premie 8])</f>
        <v>0</v>
      </c>
      <c r="AH99" s="77">
        <f>SUBTOTAL(109,Table4[Premie 9])</f>
        <v>0</v>
      </c>
      <c r="AI99" s="77">
        <f>SUBTOTAL(109,Table4[Premie 10])</f>
        <v>0</v>
      </c>
      <c r="AJ99" s="77">
        <f>SUBTOTAL(109,Table4[[Totaal ]])</f>
        <v>0</v>
      </c>
    </row>
    <row r="101" spans="1:37" ht="25.2" x14ac:dyDescent="0.3">
      <c r="A101" s="16" t="s">
        <v>54</v>
      </c>
      <c r="B101" s="16" t="s">
        <v>54</v>
      </c>
      <c r="C101" s="132" t="s">
        <v>55</v>
      </c>
      <c r="D101" s="16" t="s">
        <v>54</v>
      </c>
      <c r="E101" s="16" t="s">
        <v>54</v>
      </c>
      <c r="F101" s="16" t="s">
        <v>54</v>
      </c>
      <c r="G101" s="16" t="s">
        <v>54</v>
      </c>
      <c r="H101" s="16" t="s">
        <v>54</v>
      </c>
      <c r="I101" s="16" t="s">
        <v>54</v>
      </c>
      <c r="J101" s="16" t="s">
        <v>54</v>
      </c>
      <c r="K101" s="16" t="s">
        <v>54</v>
      </c>
      <c r="L101" s="16" t="s">
        <v>54</v>
      </c>
      <c r="M101" s="16" t="s">
        <v>54</v>
      </c>
      <c r="N101" s="16" t="s">
        <v>54</v>
      </c>
      <c r="O101" s="16" t="s">
        <v>88</v>
      </c>
      <c r="P101" s="16" t="s">
        <v>54</v>
      </c>
      <c r="Q101" s="16" t="s">
        <v>54</v>
      </c>
      <c r="R101" s="16" t="s">
        <v>54</v>
      </c>
      <c r="S101" s="16" t="s">
        <v>54</v>
      </c>
      <c r="T101" s="16" t="s">
        <v>54</v>
      </c>
      <c r="U101" s="16" t="s">
        <v>54</v>
      </c>
      <c r="V101" s="16" t="s">
        <v>54</v>
      </c>
      <c r="W101" s="16" t="s">
        <v>54</v>
      </c>
      <c r="X101" s="16" t="s">
        <v>54</v>
      </c>
      <c r="Y101" s="16" t="s">
        <v>54</v>
      </c>
      <c r="Z101" s="16" t="s">
        <v>54</v>
      </c>
      <c r="AA101" s="16" t="s">
        <v>54</v>
      </c>
      <c r="AB101" s="16" t="s">
        <v>54</v>
      </c>
      <c r="AC101" s="16" t="s">
        <v>54</v>
      </c>
      <c r="AD101" s="16" t="s">
        <v>54</v>
      </c>
      <c r="AE101" s="16" t="s">
        <v>54</v>
      </c>
      <c r="AF101" s="16" t="s">
        <v>54</v>
      </c>
      <c r="AG101" s="16" t="s">
        <v>54</v>
      </c>
      <c r="AH101" s="16" t="s">
        <v>54</v>
      </c>
      <c r="AI101" s="16" t="s">
        <v>54</v>
      </c>
      <c r="AJ101" s="16" t="s">
        <v>54</v>
      </c>
      <c r="AK101" s="16" t="s">
        <v>54</v>
      </c>
    </row>
  </sheetData>
  <sheetProtection formatColumns="0" insertRows="0" deleteRows="0"/>
  <phoneticPr fontId="5" type="noConversion"/>
  <conditionalFormatting sqref="P10:Y98">
    <cfRule type="expression" dxfId="2" priority="2">
      <formula>P$8&lt;&gt;""</formula>
    </cfRule>
  </conditionalFormatting>
  <conditionalFormatting sqref="Z10:AI98">
    <cfRule type="expression" dxfId="1" priority="1">
      <formula>Z$8&lt;&gt;""</formula>
    </cfRule>
  </conditionalFormatting>
  <dataValidations count="3">
    <dataValidation type="list" allowBlank="1" showInputMessage="1" showErrorMessage="1" sqref="M10:M98" xr:uid="{64D9E925-208A-4155-956D-CBEDFFFC7C3A}">
      <formula1>CAD</formula1>
    </dataValidation>
    <dataValidation type="list" allowBlank="1" showInputMessage="1" showErrorMessage="1" sqref="B10:B98" xr:uid="{21E7888D-E8BB-44CF-99E5-EC643D6F3DD5}">
      <formula1>mut_soort</formula1>
    </dataValidation>
    <dataValidation type="list" allowBlank="1" showInputMessage="1" showErrorMessage="1" sqref="N10:N98" xr:uid="{625D8E70-0595-492C-A4CD-B3F81F728797}">
      <formula1>INDIRECT($M10)</formula1>
    </dataValidation>
  </dataValidations>
  <pageMargins left="0.23622047244094491" right="0.23622047244094491" top="0.74803149606299213" bottom="0.74803149606299213" header="0.31496062992125984" footer="0.31496062992125984"/>
  <pageSetup paperSize="9" orientation="landscape" r:id="rId1"/>
  <headerFooter>
    <oddFooter>&amp;L&amp;F
Uniek nr e-ABS XXXXXXXXXXXXXXXXXXX&amp;R&amp;A
&amp;P/&amp;N</oddFooter>
  </headerFooter>
  <colBreaks count="2" manualBreakCount="2">
    <brk id="8" max="1048575" man="1"/>
    <brk id="15" max="1048575" man="1"/>
  </colBreaks>
  <ignoredErrors>
    <ignoredError sqref="A10:A18 C10 P11:T18 Q10:T10 A19:A98 Z10:AI10" calculatedColumn="1"/>
  </ignoredErrors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A2096-F122-4979-B8DD-F18F20F45C12}">
  <sheetPr codeName="Sheet5"/>
  <dimension ref="A1:I27"/>
  <sheetViews>
    <sheetView showGridLines="0" topLeftCell="E1" zoomScaleNormal="100" workbookViewId="0">
      <selection activeCell="K23" sqref="K23"/>
    </sheetView>
  </sheetViews>
  <sheetFormatPr defaultColWidth="23.109375" defaultRowHeight="13.8" x14ac:dyDescent="0.3"/>
  <cols>
    <col min="1" max="1" width="28" style="4" bestFit="1" customWidth="1"/>
    <col min="2" max="2" width="18.44140625" style="4" customWidth="1"/>
    <col min="3" max="4" width="17.33203125" style="4" bestFit="1" customWidth="1"/>
    <col min="5" max="5" width="23.109375" style="4" customWidth="1"/>
    <col min="6" max="6" width="18" style="4" customWidth="1"/>
    <col min="7" max="8" width="17.33203125" style="4" bestFit="1" customWidth="1"/>
    <col min="9" max="12" width="23.109375" style="4" customWidth="1"/>
    <col min="13" max="16384" width="23.109375" style="4"/>
  </cols>
  <sheetData>
    <row r="1" spans="1:9" ht="16.2" x14ac:dyDescent="0.3">
      <c r="A1" s="83"/>
      <c r="B1" s="83"/>
      <c r="C1" s="83"/>
      <c r="D1" s="83"/>
      <c r="E1" s="83"/>
      <c r="F1" s="83"/>
    </row>
    <row r="2" spans="1:9" ht="16.2" x14ac:dyDescent="0.3">
      <c r="A2" s="83"/>
      <c r="B2" s="83"/>
      <c r="C2" s="83"/>
      <c r="D2" s="83"/>
      <c r="E2" s="83"/>
      <c r="F2" s="83"/>
    </row>
    <row r="3" spans="1:9" ht="16.2" x14ac:dyDescent="0.3">
      <c r="A3" s="83"/>
      <c r="B3" s="83"/>
      <c r="C3" s="83"/>
      <c r="D3" s="83"/>
      <c r="E3" s="83"/>
      <c r="F3" s="83"/>
    </row>
    <row r="4" spans="1:9" ht="16.2" x14ac:dyDescent="0.3">
      <c r="A4" s="83"/>
      <c r="B4" s="83"/>
      <c r="C4" s="83"/>
      <c r="D4" s="83"/>
      <c r="E4" s="83"/>
      <c r="F4" s="83"/>
    </row>
    <row r="5" spans="1:9" ht="16.2" x14ac:dyDescent="0.3">
      <c r="A5" s="83"/>
      <c r="B5" s="83"/>
      <c r="C5" s="83"/>
      <c r="D5" s="83"/>
      <c r="E5" s="83"/>
      <c r="F5" s="83"/>
    </row>
    <row r="6" spans="1:9" ht="16.2" x14ac:dyDescent="0.3">
      <c r="A6" s="83"/>
      <c r="B6" s="83"/>
      <c r="C6" s="83"/>
      <c r="D6" s="83"/>
      <c r="E6" s="83"/>
      <c r="F6" s="83"/>
    </row>
    <row r="7" spans="1:9" x14ac:dyDescent="0.3">
      <c r="A7" s="3"/>
      <c r="B7" s="3"/>
    </row>
    <row r="8" spans="1:9" x14ac:dyDescent="0.3">
      <c r="A8" s="5" t="s">
        <v>89</v>
      </c>
      <c r="B8" s="5" t="s">
        <v>90</v>
      </c>
      <c r="C8" s="13"/>
      <c r="D8" s="13"/>
    </row>
    <row r="9" spans="1:9" x14ac:dyDescent="0.3">
      <c r="A9" s="14" t="s">
        <v>91</v>
      </c>
      <c r="B9" s="15">
        <f>Overzicht!G12</f>
        <v>46023</v>
      </c>
    </row>
    <row r="10" spans="1:9" x14ac:dyDescent="0.3">
      <c r="A10" s="14" t="s">
        <v>92</v>
      </c>
      <c r="B10" s="15">
        <f>Overzicht!G13</f>
        <v>46388</v>
      </c>
    </row>
    <row r="12" spans="1:9" x14ac:dyDescent="0.3">
      <c r="A12" s="84" t="s">
        <v>19</v>
      </c>
      <c r="B12" s="85">
        <v>0</v>
      </c>
      <c r="I12" s="6"/>
    </row>
    <row r="13" spans="1:9" x14ac:dyDescent="0.3">
      <c r="A13" s="84" t="s">
        <v>34</v>
      </c>
      <c r="B13" s="84"/>
      <c r="I13" s="6"/>
    </row>
    <row r="14" spans="1:9" ht="14.4" x14ac:dyDescent="0.3">
      <c r="A14" s="90" t="s">
        <v>93</v>
      </c>
      <c r="B14" s="91" t="s">
        <v>94</v>
      </c>
      <c r="C14" s="91" t="s">
        <v>95</v>
      </c>
      <c r="D14" s="91" t="s">
        <v>4</v>
      </c>
      <c r="E14" s="91" t="s">
        <v>96</v>
      </c>
      <c r="F14" s="92" t="s">
        <v>97</v>
      </c>
    </row>
    <row r="15" spans="1:9" ht="14.4" x14ac:dyDescent="0.3">
      <c r="A15" s="88" t="str">
        <f>IF(Data!B$54="","",Data!B$54)</f>
        <v>One Aon facility prop. pool NN</v>
      </c>
      <c r="B15" s="88">
        <f t="shared" ref="B15:B24" si="0">IFERROR(_xlfn.XLOOKUP(A15,Verzekeraar,verz_relatienummer),"")</f>
        <v>479856</v>
      </c>
      <c r="C15" s="93">
        <f t="shared" ref="C15:C24" si="1">IFERROR(_xlfn.XLOOKUP(A15,Verzekeraar,verz_aandeel),"")</f>
        <v>1</v>
      </c>
      <c r="D15" s="45" t="e">
        <f>SUMIFS(#REF!,Table3[Certificaat],$B12,Table3[Land],B13)</f>
        <v>#REF!</v>
      </c>
      <c r="E15" s="45">
        <v>0</v>
      </c>
      <c r="F15" s="45" t="e">
        <f>D15-E15</f>
        <v>#REF!</v>
      </c>
    </row>
    <row r="16" spans="1:9" ht="14.4" x14ac:dyDescent="0.3">
      <c r="A16" s="88" t="str">
        <f>IF(Data!B$55="","",Data!B$55)</f>
        <v/>
      </c>
      <c r="B16" s="88" t="str">
        <f t="shared" si="0"/>
        <v/>
      </c>
      <c r="C16" s="93" t="str">
        <f t="shared" si="1"/>
        <v/>
      </c>
      <c r="D16" s="45" t="e">
        <f>SUMIFS(#REF!,Table3[Certificaat],$B12,Table3[Land],B13)</f>
        <v>#REF!</v>
      </c>
      <c r="E16" s="45">
        <v>0</v>
      </c>
      <c r="F16" s="45" t="e">
        <f t="shared" ref="F16:F24" si="2">D16-E16</f>
        <v>#REF!</v>
      </c>
    </row>
    <row r="17" spans="1:6" ht="14.4" x14ac:dyDescent="0.3">
      <c r="A17" s="88" t="str">
        <f>IF(Data!B$56="","",Data!B$56)</f>
        <v/>
      </c>
      <c r="B17" s="88" t="str">
        <f t="shared" si="0"/>
        <v/>
      </c>
      <c r="C17" s="93" t="str">
        <f t="shared" si="1"/>
        <v/>
      </c>
      <c r="D17" s="45" t="e">
        <f>SUMIFS(#REF!,Table3[Certificaat],$B12,Table3[Land],B13)</f>
        <v>#REF!</v>
      </c>
      <c r="E17" s="45">
        <v>0</v>
      </c>
      <c r="F17" s="45" t="e">
        <f t="shared" si="2"/>
        <v>#REF!</v>
      </c>
    </row>
    <row r="18" spans="1:6" ht="14.4" x14ac:dyDescent="0.3">
      <c r="A18" s="88" t="str">
        <f>IF(Data!B$57="","",Data!B$57)</f>
        <v/>
      </c>
      <c r="B18" s="88" t="str">
        <f t="shared" si="0"/>
        <v/>
      </c>
      <c r="C18" s="93" t="str">
        <f t="shared" si="1"/>
        <v/>
      </c>
      <c r="D18" s="45" t="e">
        <f>SUMIFS(#REF!,Table3[Certificaat],$B12,Table3[Land],B13)</f>
        <v>#REF!</v>
      </c>
      <c r="E18" s="45">
        <v>0</v>
      </c>
      <c r="F18" s="45" t="e">
        <f t="shared" si="2"/>
        <v>#REF!</v>
      </c>
    </row>
    <row r="19" spans="1:6" ht="14.4" x14ac:dyDescent="0.3">
      <c r="A19" s="88" t="str">
        <f>IF(Data!B$58="","",Data!B$58)</f>
        <v/>
      </c>
      <c r="B19" s="88" t="str">
        <f t="shared" si="0"/>
        <v/>
      </c>
      <c r="C19" s="93" t="str">
        <f t="shared" si="1"/>
        <v/>
      </c>
      <c r="D19" s="45" t="e">
        <f>SUMIFS(#REF!,Table3[Certificaat],$B12,Table3[Land],B13)</f>
        <v>#REF!</v>
      </c>
      <c r="E19" s="45">
        <v>0</v>
      </c>
      <c r="F19" s="45" t="e">
        <f t="shared" si="2"/>
        <v>#REF!</v>
      </c>
    </row>
    <row r="20" spans="1:6" ht="14.4" x14ac:dyDescent="0.3">
      <c r="A20" s="88" t="str">
        <f>IF(Data!B$59="","",Data!B$59)</f>
        <v/>
      </c>
      <c r="B20" s="88" t="str">
        <f t="shared" si="0"/>
        <v/>
      </c>
      <c r="C20" s="93" t="str">
        <f t="shared" si="1"/>
        <v/>
      </c>
      <c r="D20" s="45" t="e">
        <f>SUMIFS(#REF!,Table3[Certificaat],$B12,Table3[Land],B13)</f>
        <v>#REF!</v>
      </c>
      <c r="E20" s="45">
        <v>0</v>
      </c>
      <c r="F20" s="45" t="e">
        <f t="shared" si="2"/>
        <v>#REF!</v>
      </c>
    </row>
    <row r="21" spans="1:6" ht="14.4" x14ac:dyDescent="0.3">
      <c r="A21" s="88" t="str">
        <f>IF(Data!B$60="","",Data!B$60)</f>
        <v/>
      </c>
      <c r="B21" s="88" t="str">
        <f t="shared" si="0"/>
        <v/>
      </c>
      <c r="C21" s="93" t="str">
        <f t="shared" si="1"/>
        <v/>
      </c>
      <c r="D21" s="45" t="e">
        <f>SUMIFS(#REF!,Table3[Certificaat],$B12,Table3[Land],B13)</f>
        <v>#REF!</v>
      </c>
      <c r="E21" s="45">
        <v>0</v>
      </c>
      <c r="F21" s="45" t="e">
        <f t="shared" si="2"/>
        <v>#REF!</v>
      </c>
    </row>
    <row r="22" spans="1:6" ht="14.4" x14ac:dyDescent="0.3">
      <c r="A22" s="88" t="str">
        <f>IF(Data!B$61="","",Data!B$61)</f>
        <v/>
      </c>
      <c r="B22" s="88" t="str">
        <f t="shared" si="0"/>
        <v/>
      </c>
      <c r="C22" s="93" t="str">
        <f t="shared" si="1"/>
        <v/>
      </c>
      <c r="D22" s="45" t="e">
        <f>SUMIFS(#REF!,Table3[Certificaat],$B12,Table3[Land],B13)</f>
        <v>#REF!</v>
      </c>
      <c r="E22" s="45">
        <v>0</v>
      </c>
      <c r="F22" s="45" t="e">
        <f t="shared" si="2"/>
        <v>#REF!</v>
      </c>
    </row>
    <row r="23" spans="1:6" ht="14.4" x14ac:dyDescent="0.3">
      <c r="A23" s="88" t="str">
        <f>IF(Data!B$62="","",Data!B$62)</f>
        <v/>
      </c>
      <c r="B23" s="88" t="str">
        <f t="shared" si="0"/>
        <v/>
      </c>
      <c r="C23" s="93" t="str">
        <f t="shared" si="1"/>
        <v/>
      </c>
      <c r="D23" s="45" t="e">
        <f>SUMIFS(#REF!,Table3[Certificaat],$B12,Table3[Land],B13)</f>
        <v>#REF!</v>
      </c>
      <c r="E23" s="45">
        <v>0</v>
      </c>
      <c r="F23" s="45" t="e">
        <f t="shared" si="2"/>
        <v>#REF!</v>
      </c>
    </row>
    <row r="24" spans="1:6" ht="14.4" x14ac:dyDescent="0.3">
      <c r="A24" s="88" t="str">
        <f>IF(Data!B$63="","",Data!B$63)</f>
        <v/>
      </c>
      <c r="B24" s="88" t="str">
        <f t="shared" si="0"/>
        <v/>
      </c>
      <c r="C24" s="93" t="str">
        <f t="shared" si="1"/>
        <v/>
      </c>
      <c r="D24" s="45" t="e">
        <f>SUMIFS(#REF!,Table3[Certificaat],$B12,Table3[Land],B13)</f>
        <v>#REF!</v>
      </c>
      <c r="E24" s="45">
        <v>0</v>
      </c>
      <c r="F24" s="45" t="e">
        <f t="shared" si="2"/>
        <v>#REF!</v>
      </c>
    </row>
    <row r="25" spans="1:6" ht="14.4" x14ac:dyDescent="0.3">
      <c r="A25" t="s">
        <v>73</v>
      </c>
      <c r="B25"/>
      <c r="C25" s="96">
        <f>SUM(Table2[Aandeel])</f>
        <v>1</v>
      </c>
      <c r="D25" s="95" t="e">
        <f>SUM(Table2[Jaarpremie])</f>
        <v>#REF!</v>
      </c>
      <c r="E25" s="95">
        <f>SUM(Table2[Al geboekt met nota])</f>
        <v>0</v>
      </c>
      <c r="F25" s="95" t="e">
        <f>SUM(Table2[Nog te boeken])</f>
        <v>#REF!</v>
      </c>
    </row>
    <row r="27" spans="1:6" x14ac:dyDescent="0.3">
      <c r="E27" s="4" t="s">
        <v>56</v>
      </c>
      <c r="F27" s="4" t="s">
        <v>98</v>
      </c>
    </row>
  </sheetData>
  <pageMargins left="0.23622047244094491" right="0.23622047244094491" top="0.74803149606299213" bottom="0.74803149606299213" header="0.31496062992125984" footer="0.31496062992125984"/>
  <pageSetup paperSize="9" orientation="landscape" horizontalDpi="1200" verticalDpi="1200" r:id="rId1"/>
  <headerFooter>
    <oddFooter>&amp;L&amp;F
Uniek nr e-ABS XXXXXXXXXXXXXXXXXXX&amp;R&amp;A
&amp;P/&amp;N</oddFooter>
  </headerFooter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B51DCC9-8962-40C4-B249-421B0E724920}">
          <x14:formula1>
            <xm:f>Data!$C$6:$C$48</xm:f>
          </x14:formula1>
          <xm:sqref>B13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48F23-86BA-4A95-9878-170F65C7146E}">
  <sheetPr codeName="Sheet8"/>
  <dimension ref="A1:O30"/>
  <sheetViews>
    <sheetView showGridLines="0" zoomScaleNormal="100" workbookViewId="0">
      <selection activeCell="G18" sqref="G18"/>
    </sheetView>
  </sheetViews>
  <sheetFormatPr defaultColWidth="23.109375" defaultRowHeight="13.8" x14ac:dyDescent="0.3"/>
  <cols>
    <col min="1" max="1" width="28" style="4" bestFit="1" customWidth="1"/>
    <col min="2" max="2" width="18.44140625" style="4" customWidth="1"/>
    <col min="3" max="3" width="17.33203125" style="4" bestFit="1" customWidth="1"/>
    <col min="4" max="4" width="18.109375" style="4" bestFit="1" customWidth="1"/>
    <col min="5" max="5" width="18.109375" style="4" customWidth="1"/>
    <col min="6" max="6" width="23.109375" style="4"/>
    <col min="7" max="7" width="18" style="4" customWidth="1"/>
    <col min="8" max="8" width="4.33203125" style="4" customWidth="1"/>
    <col min="9" max="16384" width="23.109375" style="4"/>
  </cols>
  <sheetData>
    <row r="1" spans="1:15" ht="16.2" x14ac:dyDescent="0.3">
      <c r="A1" s="83"/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</row>
    <row r="2" spans="1:15" ht="16.2" x14ac:dyDescent="0.3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</row>
    <row r="3" spans="1:15" ht="16.2" x14ac:dyDescent="0.3">
      <c r="A3" s="83"/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</row>
    <row r="4" spans="1:15" ht="16.2" x14ac:dyDescent="0.3">
      <c r="A4" s="83"/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</row>
    <row r="5" spans="1:15" ht="16.2" x14ac:dyDescent="0.3">
      <c r="A5" s="83"/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</row>
    <row r="6" spans="1:15" ht="16.2" x14ac:dyDescent="0.3">
      <c r="A6" s="83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</row>
    <row r="7" spans="1:15" x14ac:dyDescent="0.3">
      <c r="A7" s="3"/>
      <c r="B7" s="3"/>
    </row>
    <row r="8" spans="1:15" x14ac:dyDescent="0.3">
      <c r="A8" s="26" t="s">
        <v>99</v>
      </c>
      <c r="B8" s="26"/>
      <c r="C8" s="27"/>
      <c r="D8" s="27"/>
      <c r="E8" s="27"/>
      <c r="F8" s="27"/>
      <c r="G8" s="27"/>
      <c r="I8" s="26" t="s">
        <v>100</v>
      </c>
      <c r="J8" s="26"/>
      <c r="K8" s="27"/>
      <c r="L8" s="27"/>
      <c r="M8" s="27"/>
      <c r="N8" s="27"/>
      <c r="O8" s="27"/>
    </row>
    <row r="9" spans="1:15" x14ac:dyDescent="0.3">
      <c r="A9" s="3"/>
      <c r="B9" s="3"/>
    </row>
    <row r="10" spans="1:15" x14ac:dyDescent="0.3">
      <c r="A10" s="5" t="s">
        <v>89</v>
      </c>
      <c r="B10" s="5" t="s">
        <v>90</v>
      </c>
      <c r="C10" s="13"/>
      <c r="D10" s="13"/>
      <c r="E10" s="13"/>
      <c r="I10" s="5" t="s">
        <v>89</v>
      </c>
      <c r="J10" s="5" t="s">
        <v>90</v>
      </c>
    </row>
    <row r="11" spans="1:15" x14ac:dyDescent="0.3">
      <c r="A11" s="14" t="s">
        <v>91</v>
      </c>
      <c r="B11" s="15">
        <f>Overzicht!$G$12</f>
        <v>46023</v>
      </c>
      <c r="I11" s="14" t="s">
        <v>91</v>
      </c>
      <c r="J11" s="15">
        <f>Overzicht!$G$12</f>
        <v>46023</v>
      </c>
    </row>
    <row r="12" spans="1:15" x14ac:dyDescent="0.3">
      <c r="A12" s="14" t="s">
        <v>92</v>
      </c>
      <c r="B12" s="15">
        <f>Overzicht!$G$13</f>
        <v>46388</v>
      </c>
      <c r="I12" s="14" t="s">
        <v>92</v>
      </c>
      <c r="J12" s="15">
        <f>Overzicht!$G$13</f>
        <v>46388</v>
      </c>
    </row>
    <row r="13" spans="1:15" x14ac:dyDescent="0.3">
      <c r="A13" s="14" t="s">
        <v>101</v>
      </c>
      <c r="B13" s="23">
        <v>0.03</v>
      </c>
      <c r="I13" s="14" t="s">
        <v>101</v>
      </c>
      <c r="J13" s="23">
        <v>0.05</v>
      </c>
    </row>
    <row r="14" spans="1:15" x14ac:dyDescent="0.3">
      <c r="A14" s="22"/>
      <c r="B14" s="24"/>
    </row>
    <row r="15" spans="1:15" x14ac:dyDescent="0.3">
      <c r="A15" s="84" t="s">
        <v>19</v>
      </c>
      <c r="B15" s="85">
        <v>0</v>
      </c>
      <c r="I15" s="84" t="s">
        <v>19</v>
      </c>
      <c r="J15" s="85">
        <v>0</v>
      </c>
    </row>
    <row r="16" spans="1:15" x14ac:dyDescent="0.3">
      <c r="A16" s="84" t="s">
        <v>34</v>
      </c>
      <c r="B16" s="84"/>
      <c r="I16" s="84" t="s">
        <v>34</v>
      </c>
      <c r="J16" s="84"/>
    </row>
    <row r="17" spans="1:15" ht="14.4" x14ac:dyDescent="0.3">
      <c r="A17" s="97" t="s">
        <v>93</v>
      </c>
      <c r="B17" s="97" t="s">
        <v>94</v>
      </c>
      <c r="C17" s="97" t="s">
        <v>95</v>
      </c>
      <c r="D17" s="97" t="s">
        <v>99</v>
      </c>
      <c r="E17" s="97" t="s">
        <v>102</v>
      </c>
      <c r="F17" s="97" t="s">
        <v>96</v>
      </c>
      <c r="G17" s="97" t="s">
        <v>97</v>
      </c>
      <c r="I17" s="97" t="s">
        <v>93</v>
      </c>
      <c r="J17" s="97" t="s">
        <v>94</v>
      </c>
      <c r="K17" s="97" t="s">
        <v>95</v>
      </c>
      <c r="L17" s="97" t="s">
        <v>100</v>
      </c>
      <c r="M17" s="97" t="s">
        <v>102</v>
      </c>
      <c r="N17" s="97" t="s">
        <v>96</v>
      </c>
      <c r="O17" s="97" t="s">
        <v>97</v>
      </c>
    </row>
    <row r="18" spans="1:15" ht="14.4" x14ac:dyDescent="0.3">
      <c r="A18" s="88" t="str">
        <f>IF(Data!B$54="","",Data!B$54)</f>
        <v>One Aon facility prop. pool NN</v>
      </c>
      <c r="B18" s="88">
        <f t="shared" ref="B18:B27" si="0">IFERROR(_xlfn.XLOOKUP(A18,Verzekeraar,verz_relatienummer),"")</f>
        <v>479856</v>
      </c>
      <c r="C18" s="93">
        <f t="shared" ref="C18:C27" si="1">IFERROR(_xlfn.XLOOKUP(A18,Verzekeraar,verz_aandeel),"")</f>
        <v>1</v>
      </c>
      <c r="D18" s="98" t="e">
        <f>(SUMIFS(#REF!,Table3[Certificaat],$B15,Table3[Land],B16))/2</f>
        <v>#REF!</v>
      </c>
      <c r="E18" s="98" t="e">
        <f>D18*(1+B$13)</f>
        <v>#REF!</v>
      </c>
      <c r="F18" s="98">
        <v>0</v>
      </c>
      <c r="G18" s="98" t="e">
        <f>E18-F18</f>
        <v>#REF!</v>
      </c>
      <c r="I18" s="88" t="str">
        <f>IF(Data!B$54="","",Data!B$54)</f>
        <v>One Aon facility prop. pool NN</v>
      </c>
      <c r="J18" s="88">
        <f t="shared" ref="J18:J27" si="2">IFERROR(_xlfn.XLOOKUP(I18,Verzekeraar,verz_relatienummer),"")</f>
        <v>479856</v>
      </c>
      <c r="K18" s="93">
        <f t="shared" ref="K18:K27" si="3">IFERROR(_xlfn.XLOOKUP(I18,Verzekeraar,verz_aandeel),"")</f>
        <v>1</v>
      </c>
      <c r="L18" s="98" t="e">
        <f>(SUMIFS(#REF!,Table3[Certificaat],$J15,Table3[Land],J16))/4</f>
        <v>#REF!</v>
      </c>
      <c r="M18" s="98" t="e">
        <f t="shared" ref="M18:M27" si="4">L18*(1+J$13)</f>
        <v>#REF!</v>
      </c>
      <c r="N18" s="98">
        <v>0</v>
      </c>
      <c r="O18" s="98" t="e">
        <f>M18-N18</f>
        <v>#REF!</v>
      </c>
    </row>
    <row r="19" spans="1:15" ht="14.4" x14ac:dyDescent="0.3">
      <c r="A19" s="88" t="str">
        <f>IF(Data!B$55="","",Data!B$55)</f>
        <v/>
      </c>
      <c r="B19" s="88" t="str">
        <f t="shared" si="0"/>
        <v/>
      </c>
      <c r="C19" s="93" t="str">
        <f t="shared" si="1"/>
        <v/>
      </c>
      <c r="D19" s="98" t="e">
        <f>(SUMIFS(#REF!,Table3[Certificaat],$B15,Table3[Land],B16))/2</f>
        <v>#REF!</v>
      </c>
      <c r="E19" s="98" t="e">
        <f t="shared" ref="E19:E27" si="5">D19*(1+B$13)</f>
        <v>#REF!</v>
      </c>
      <c r="F19" s="98">
        <v>0</v>
      </c>
      <c r="G19" s="98" t="e">
        <f t="shared" ref="G19:G27" si="6">E19-F19</f>
        <v>#REF!</v>
      </c>
      <c r="I19" s="88" t="str">
        <f>IF(Data!B$55="","",Data!B$55)</f>
        <v/>
      </c>
      <c r="J19" s="88" t="str">
        <f t="shared" si="2"/>
        <v/>
      </c>
      <c r="K19" s="93" t="str">
        <f t="shared" si="3"/>
        <v/>
      </c>
      <c r="L19" s="98" t="e">
        <f>(SUMIFS(#REF!,Table3[Certificaat],$J15,Table3[Land],J16))/4</f>
        <v>#REF!</v>
      </c>
      <c r="M19" s="98" t="e">
        <f t="shared" si="4"/>
        <v>#REF!</v>
      </c>
      <c r="N19" s="98">
        <v>0</v>
      </c>
      <c r="O19" s="98" t="e">
        <f t="shared" ref="O19:O27" si="7">M19-N19</f>
        <v>#REF!</v>
      </c>
    </row>
    <row r="20" spans="1:15" ht="14.4" x14ac:dyDescent="0.3">
      <c r="A20" s="88" t="str">
        <f>IF(Data!B$56="","",Data!B$56)</f>
        <v/>
      </c>
      <c r="B20" s="88" t="str">
        <f t="shared" si="0"/>
        <v/>
      </c>
      <c r="C20" s="93" t="str">
        <f t="shared" si="1"/>
        <v/>
      </c>
      <c r="D20" s="98" t="e">
        <f>(SUMIFS(#REF!,Table3[Certificaat],$B15,Table3[Land],B16))/2</f>
        <v>#REF!</v>
      </c>
      <c r="E20" s="98" t="e">
        <f t="shared" si="5"/>
        <v>#REF!</v>
      </c>
      <c r="F20" s="98">
        <v>0</v>
      </c>
      <c r="G20" s="98" t="e">
        <f t="shared" si="6"/>
        <v>#REF!</v>
      </c>
      <c r="I20" s="88" t="str">
        <f>IF(Data!B$56="","",Data!B$56)</f>
        <v/>
      </c>
      <c r="J20" s="88" t="str">
        <f t="shared" si="2"/>
        <v/>
      </c>
      <c r="K20" s="93" t="str">
        <f t="shared" si="3"/>
        <v/>
      </c>
      <c r="L20" s="98" t="e">
        <f>(SUMIFS(#REF!,Table3[Certificaat],$J15,Table3[Land],J16))/4</f>
        <v>#REF!</v>
      </c>
      <c r="M20" s="98" t="e">
        <f t="shared" si="4"/>
        <v>#REF!</v>
      </c>
      <c r="N20" s="98">
        <v>0</v>
      </c>
      <c r="O20" s="98" t="e">
        <f t="shared" si="7"/>
        <v>#REF!</v>
      </c>
    </row>
    <row r="21" spans="1:15" ht="14.4" x14ac:dyDescent="0.3">
      <c r="A21" s="88" t="str">
        <f>IF(Data!B$57="","",Data!B$57)</f>
        <v/>
      </c>
      <c r="B21" s="88" t="str">
        <f t="shared" si="0"/>
        <v/>
      </c>
      <c r="C21" s="93" t="str">
        <f t="shared" si="1"/>
        <v/>
      </c>
      <c r="D21" s="98" t="e">
        <f>(SUMIFS(#REF!,Table3[Certificaat],$B15,Table3[Land],B16))/2</f>
        <v>#REF!</v>
      </c>
      <c r="E21" s="98" t="e">
        <f t="shared" si="5"/>
        <v>#REF!</v>
      </c>
      <c r="F21" s="98">
        <v>0</v>
      </c>
      <c r="G21" s="98" t="e">
        <f t="shared" si="6"/>
        <v>#REF!</v>
      </c>
      <c r="I21" s="88" t="str">
        <f>IF(Data!B$57="","",Data!B$57)</f>
        <v/>
      </c>
      <c r="J21" s="88" t="str">
        <f t="shared" si="2"/>
        <v/>
      </c>
      <c r="K21" s="93" t="str">
        <f t="shared" si="3"/>
        <v/>
      </c>
      <c r="L21" s="98" t="e">
        <f>(SUMIFS(#REF!,Table3[Certificaat],$J15,Table3[Land],J16))/4</f>
        <v>#REF!</v>
      </c>
      <c r="M21" s="98" t="e">
        <f t="shared" si="4"/>
        <v>#REF!</v>
      </c>
      <c r="N21" s="98">
        <v>0</v>
      </c>
      <c r="O21" s="98" t="e">
        <f t="shared" si="7"/>
        <v>#REF!</v>
      </c>
    </row>
    <row r="22" spans="1:15" ht="14.4" x14ac:dyDescent="0.3">
      <c r="A22" s="88" t="str">
        <f>IF(Data!B$58="","",Data!B$58)</f>
        <v/>
      </c>
      <c r="B22" s="88" t="str">
        <f t="shared" si="0"/>
        <v/>
      </c>
      <c r="C22" s="93" t="str">
        <f t="shared" si="1"/>
        <v/>
      </c>
      <c r="D22" s="98" t="e">
        <f>(SUMIFS(#REF!,Table3[Certificaat],$B15,Table3[Land],B16))/2</f>
        <v>#REF!</v>
      </c>
      <c r="E22" s="98" t="e">
        <f t="shared" si="5"/>
        <v>#REF!</v>
      </c>
      <c r="F22" s="98">
        <v>0</v>
      </c>
      <c r="G22" s="98" t="e">
        <f t="shared" si="6"/>
        <v>#REF!</v>
      </c>
      <c r="I22" s="88" t="str">
        <f>IF(Data!B$58="","",Data!B$58)</f>
        <v/>
      </c>
      <c r="J22" s="88" t="str">
        <f t="shared" si="2"/>
        <v/>
      </c>
      <c r="K22" s="93" t="str">
        <f t="shared" si="3"/>
        <v/>
      </c>
      <c r="L22" s="98" t="e">
        <f>(SUMIFS(#REF!,Table3[Certificaat],$J15,Table3[Land],J16))/4</f>
        <v>#REF!</v>
      </c>
      <c r="M22" s="98" t="e">
        <f t="shared" si="4"/>
        <v>#REF!</v>
      </c>
      <c r="N22" s="98">
        <v>0</v>
      </c>
      <c r="O22" s="98" t="e">
        <f t="shared" si="7"/>
        <v>#REF!</v>
      </c>
    </row>
    <row r="23" spans="1:15" ht="14.4" x14ac:dyDescent="0.3">
      <c r="A23" s="88" t="str">
        <f>IF(Data!B$59="","",Data!B$59)</f>
        <v/>
      </c>
      <c r="B23" s="88" t="str">
        <f t="shared" si="0"/>
        <v/>
      </c>
      <c r="C23" s="93" t="str">
        <f t="shared" si="1"/>
        <v/>
      </c>
      <c r="D23" s="98" t="e">
        <f>(SUMIFS(#REF!,Table3[Certificaat],$B15,Table3[Land],B16))/2</f>
        <v>#REF!</v>
      </c>
      <c r="E23" s="98" t="e">
        <f t="shared" si="5"/>
        <v>#REF!</v>
      </c>
      <c r="F23" s="98">
        <v>0</v>
      </c>
      <c r="G23" s="98" t="e">
        <f t="shared" si="6"/>
        <v>#REF!</v>
      </c>
      <c r="I23" s="88" t="str">
        <f>IF(Data!B$59="","",Data!B$59)</f>
        <v/>
      </c>
      <c r="J23" s="88" t="str">
        <f t="shared" si="2"/>
        <v/>
      </c>
      <c r="K23" s="93" t="str">
        <f t="shared" si="3"/>
        <v/>
      </c>
      <c r="L23" s="98" t="e">
        <f>(SUMIFS(#REF!,Table3[Certificaat],$J15,Table3[Land],J16))/4</f>
        <v>#REF!</v>
      </c>
      <c r="M23" s="98" t="e">
        <f t="shared" si="4"/>
        <v>#REF!</v>
      </c>
      <c r="N23" s="98">
        <v>0</v>
      </c>
      <c r="O23" s="98" t="e">
        <f t="shared" si="7"/>
        <v>#REF!</v>
      </c>
    </row>
    <row r="24" spans="1:15" ht="14.4" x14ac:dyDescent="0.3">
      <c r="A24" s="88" t="str">
        <f>IF(Data!B$60="","",Data!B$60)</f>
        <v/>
      </c>
      <c r="B24" s="88" t="str">
        <f t="shared" si="0"/>
        <v/>
      </c>
      <c r="C24" s="93" t="str">
        <f t="shared" si="1"/>
        <v/>
      </c>
      <c r="D24" s="98" t="e">
        <f>(SUMIFS(#REF!,Table3[Certificaat],$B15,Table3[Land],B16))/2</f>
        <v>#REF!</v>
      </c>
      <c r="E24" s="98" t="e">
        <f t="shared" si="5"/>
        <v>#REF!</v>
      </c>
      <c r="F24" s="98">
        <v>0</v>
      </c>
      <c r="G24" s="98" t="e">
        <f t="shared" si="6"/>
        <v>#REF!</v>
      </c>
      <c r="I24" s="88" t="str">
        <f>IF(Data!B$60="","",Data!B$60)</f>
        <v/>
      </c>
      <c r="J24" s="88" t="str">
        <f t="shared" si="2"/>
        <v/>
      </c>
      <c r="K24" s="93" t="str">
        <f t="shared" si="3"/>
        <v/>
      </c>
      <c r="L24" s="98" t="e">
        <f>(SUMIFS(#REF!,Table3[Certificaat],$J15,Table3[Land],J16))/4</f>
        <v>#REF!</v>
      </c>
      <c r="M24" s="98" t="e">
        <f t="shared" si="4"/>
        <v>#REF!</v>
      </c>
      <c r="N24" s="98">
        <v>0</v>
      </c>
      <c r="O24" s="98" t="e">
        <f t="shared" si="7"/>
        <v>#REF!</v>
      </c>
    </row>
    <row r="25" spans="1:15" ht="14.4" x14ac:dyDescent="0.3">
      <c r="A25" s="88" t="str">
        <f>IF(Data!B$61="","",Data!B$61)</f>
        <v/>
      </c>
      <c r="B25" s="88" t="str">
        <f t="shared" si="0"/>
        <v/>
      </c>
      <c r="C25" s="93" t="str">
        <f t="shared" si="1"/>
        <v/>
      </c>
      <c r="D25" s="98" t="e">
        <f>(SUMIFS(#REF!,Table3[Certificaat],$B15,Table3[Land],B16))/2</f>
        <v>#REF!</v>
      </c>
      <c r="E25" s="98" t="e">
        <f t="shared" si="5"/>
        <v>#REF!</v>
      </c>
      <c r="F25" s="98">
        <v>0</v>
      </c>
      <c r="G25" s="98" t="e">
        <f t="shared" si="6"/>
        <v>#REF!</v>
      </c>
      <c r="I25" s="88" t="str">
        <f>IF(Data!B$61="","",Data!B$61)</f>
        <v/>
      </c>
      <c r="J25" s="88" t="str">
        <f t="shared" si="2"/>
        <v/>
      </c>
      <c r="K25" s="93" t="str">
        <f t="shared" si="3"/>
        <v/>
      </c>
      <c r="L25" s="98" t="e">
        <f>(SUMIFS(#REF!,Table3[Certificaat],$J15,Table3[Land],J16))/4</f>
        <v>#REF!</v>
      </c>
      <c r="M25" s="98" t="e">
        <f t="shared" si="4"/>
        <v>#REF!</v>
      </c>
      <c r="N25" s="98">
        <v>0</v>
      </c>
      <c r="O25" s="98" t="e">
        <f t="shared" si="7"/>
        <v>#REF!</v>
      </c>
    </row>
    <row r="26" spans="1:15" ht="14.4" x14ac:dyDescent="0.3">
      <c r="A26" s="88" t="str">
        <f>IF(Data!B$62="","",Data!B$62)</f>
        <v/>
      </c>
      <c r="B26" s="88" t="str">
        <f t="shared" si="0"/>
        <v/>
      </c>
      <c r="C26" s="93" t="str">
        <f t="shared" si="1"/>
        <v/>
      </c>
      <c r="D26" s="98" t="e">
        <f>(SUMIFS(#REF!,Table3[Certificaat],$B15,Table3[Land],B16))/2</f>
        <v>#REF!</v>
      </c>
      <c r="E26" s="98" t="e">
        <f t="shared" si="5"/>
        <v>#REF!</v>
      </c>
      <c r="F26" s="98">
        <v>0</v>
      </c>
      <c r="G26" s="98" t="e">
        <f t="shared" si="6"/>
        <v>#REF!</v>
      </c>
      <c r="I26" s="88" t="str">
        <f>IF(Data!B$62="","",Data!B$62)</f>
        <v/>
      </c>
      <c r="J26" s="88" t="str">
        <f t="shared" si="2"/>
        <v/>
      </c>
      <c r="K26" s="93" t="str">
        <f t="shared" si="3"/>
        <v/>
      </c>
      <c r="L26" s="98" t="e">
        <f>(SUMIFS(#REF!,Table3[Certificaat],$J15,Table3[Land],J16))/4</f>
        <v>#REF!</v>
      </c>
      <c r="M26" s="98" t="e">
        <f t="shared" si="4"/>
        <v>#REF!</v>
      </c>
      <c r="N26" s="98">
        <v>0</v>
      </c>
      <c r="O26" s="98" t="e">
        <f t="shared" si="7"/>
        <v>#REF!</v>
      </c>
    </row>
    <row r="27" spans="1:15" ht="14.4" x14ac:dyDescent="0.3">
      <c r="A27" s="88" t="str">
        <f>IF(Data!B$63="","",Data!B$63)</f>
        <v/>
      </c>
      <c r="B27" s="88" t="str">
        <f t="shared" si="0"/>
        <v/>
      </c>
      <c r="C27" s="93" t="str">
        <f t="shared" si="1"/>
        <v/>
      </c>
      <c r="D27" s="98" t="e">
        <f>(SUMIFS(#REF!,Table3[Certificaat],$B15,Table3[Land],B16))/2</f>
        <v>#REF!</v>
      </c>
      <c r="E27" s="98" t="e">
        <f t="shared" si="5"/>
        <v>#REF!</v>
      </c>
      <c r="F27" s="98">
        <v>0</v>
      </c>
      <c r="G27" s="98" t="e">
        <f t="shared" si="6"/>
        <v>#REF!</v>
      </c>
      <c r="I27" s="88" t="str">
        <f>IF(Data!B$63="","",Data!B$63)</f>
        <v/>
      </c>
      <c r="J27" s="88" t="str">
        <f t="shared" si="2"/>
        <v/>
      </c>
      <c r="K27" s="93" t="str">
        <f t="shared" si="3"/>
        <v/>
      </c>
      <c r="L27" s="98" t="e">
        <f>(SUMIFS(#REF!,Table3[Certificaat],$J15,Table3[Land],J16))/4</f>
        <v>#REF!</v>
      </c>
      <c r="M27" s="98" t="e">
        <f t="shared" si="4"/>
        <v>#REF!</v>
      </c>
      <c r="N27" s="98">
        <v>0</v>
      </c>
      <c r="O27" s="98" t="e">
        <f t="shared" si="7"/>
        <v>#REF!</v>
      </c>
    </row>
    <row r="28" spans="1:15" ht="14.4" x14ac:dyDescent="0.3">
      <c r="A28" s="88" t="s">
        <v>73</v>
      </c>
      <c r="B28" s="88"/>
      <c r="C28" s="100">
        <f>SUM(Table5[Aandeel])</f>
        <v>1</v>
      </c>
      <c r="D28" s="99" t="e">
        <f>SUM(Table5[Halfjaarpremie])</f>
        <v>#REF!</v>
      </c>
      <c r="E28" s="99" t="e">
        <f>SUM(Table5[Inclusief toeslag])</f>
        <v>#REF!</v>
      </c>
      <c r="F28" s="99">
        <f>SUM(Table5[Al geboekt met nota])</f>
        <v>0</v>
      </c>
      <c r="G28" s="99" t="e">
        <f>SUM(Table5[Nog te boeken])</f>
        <v>#REF!</v>
      </c>
      <c r="I28" s="88" t="s">
        <v>73</v>
      </c>
      <c r="J28" s="88"/>
      <c r="K28" s="100">
        <f>SUM(Table7[Aandeel])</f>
        <v>1</v>
      </c>
      <c r="L28" s="99" t="e">
        <f>SUM(Table7[Kwartaalpremie])</f>
        <v>#REF!</v>
      </c>
      <c r="M28" s="99" t="e">
        <f>SUM(Table7[Inclusief toeslag])</f>
        <v>#REF!</v>
      </c>
      <c r="N28" s="101">
        <f>-SUM(Table7[Al geboekt met nota])</f>
        <v>0</v>
      </c>
      <c r="O28" s="99" t="e">
        <f>SUM(Table7[Nog te boeken])</f>
        <v>#REF!</v>
      </c>
    </row>
    <row r="30" spans="1:15" x14ac:dyDescent="0.3">
      <c r="F30" s="4" t="s">
        <v>56</v>
      </c>
      <c r="G30" s="4" t="s">
        <v>103</v>
      </c>
    </row>
  </sheetData>
  <pageMargins left="0.23622047244094491" right="0.23622047244094491" top="0.74803149606299213" bottom="0.74803149606299213" header="0.31496062992125984" footer="0.31496062992125984"/>
  <pageSetup paperSize="9" fitToWidth="2" fitToHeight="0" orientation="landscape" horizontalDpi="1200" verticalDpi="1200" r:id="rId1"/>
  <headerFooter>
    <oddFooter>&amp;L&amp;F
Uniek nr e-ABS XXXXXXXXXXXXXXXXXXX&amp;R&amp;A
&amp;P/&amp;N</oddFooter>
  </headerFooter>
  <drawing r:id="rId2"/>
  <tableParts count="2">
    <tablePart r:id="rId3"/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DE90A52-FA49-42EA-88A4-05DA4982C9BF}">
          <x14:formula1>
            <xm:f>Data!$C$6:$C$48</xm:f>
          </x14:formula1>
          <xm:sqref>J16 B16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46BBD-BDCB-4C13-829A-532461D6730A}">
  <sheetPr codeName="Sheet6"/>
  <dimension ref="A1:D27"/>
  <sheetViews>
    <sheetView showGridLines="0" zoomScaleNormal="100" workbookViewId="0">
      <selection activeCell="F12" sqref="F12"/>
    </sheetView>
  </sheetViews>
  <sheetFormatPr defaultColWidth="23.109375" defaultRowHeight="13.8" x14ac:dyDescent="0.3"/>
  <cols>
    <col min="1" max="1" width="28" style="4" bestFit="1" customWidth="1"/>
    <col min="2" max="2" width="18.44140625" style="4" customWidth="1"/>
    <col min="3" max="3" width="17.33203125" style="4" bestFit="1" customWidth="1"/>
    <col min="4" max="4" width="21.6640625" style="4" bestFit="1" customWidth="1"/>
    <col min="5" max="5" width="23.109375" style="4" customWidth="1"/>
    <col min="6" max="6" width="18" style="4" customWidth="1"/>
    <col min="7" max="16384" width="23.109375" style="4"/>
  </cols>
  <sheetData>
    <row r="1" spans="1:4" ht="16.2" x14ac:dyDescent="0.3">
      <c r="A1" s="83"/>
      <c r="B1" s="83"/>
      <c r="C1" s="83"/>
      <c r="D1" s="83"/>
    </row>
    <row r="2" spans="1:4" ht="16.2" x14ac:dyDescent="0.3">
      <c r="A2" s="83"/>
      <c r="B2" s="83"/>
      <c r="C2" s="83"/>
      <c r="D2" s="83"/>
    </row>
    <row r="3" spans="1:4" ht="16.2" x14ac:dyDescent="0.3">
      <c r="A3" s="83"/>
      <c r="B3" s="83"/>
      <c r="C3" s="83"/>
      <c r="D3" s="83"/>
    </row>
    <row r="4" spans="1:4" ht="16.2" x14ac:dyDescent="0.3">
      <c r="A4" s="83"/>
      <c r="B4" s="83"/>
      <c r="C4" s="83"/>
      <c r="D4" s="83"/>
    </row>
    <row r="5" spans="1:4" ht="16.2" x14ac:dyDescent="0.3">
      <c r="A5" s="83"/>
      <c r="B5" s="83"/>
      <c r="C5" s="83"/>
      <c r="D5" s="83"/>
    </row>
    <row r="6" spans="1:4" ht="16.2" x14ac:dyDescent="0.3">
      <c r="A6" s="83"/>
      <c r="B6" s="83"/>
      <c r="C6" s="83"/>
      <c r="D6" s="83"/>
    </row>
    <row r="7" spans="1:4" x14ac:dyDescent="0.3">
      <c r="A7" s="3"/>
      <c r="B7" s="3"/>
    </row>
    <row r="8" spans="1:4" x14ac:dyDescent="0.3">
      <c r="A8" s="26" t="s">
        <v>104</v>
      </c>
      <c r="B8" s="26"/>
      <c r="C8" s="27"/>
      <c r="D8" s="27"/>
    </row>
    <row r="9" spans="1:4" x14ac:dyDescent="0.3">
      <c r="A9" s="3"/>
      <c r="B9" s="3"/>
    </row>
    <row r="10" spans="1:4" x14ac:dyDescent="0.3">
      <c r="A10" s="5" t="s">
        <v>89</v>
      </c>
      <c r="B10" s="5" t="s">
        <v>90</v>
      </c>
      <c r="C10" s="13"/>
      <c r="D10" s="13"/>
    </row>
    <row r="11" spans="1:4" x14ac:dyDescent="0.3">
      <c r="A11" s="14" t="s">
        <v>105</v>
      </c>
      <c r="B11" s="15">
        <v>44562</v>
      </c>
    </row>
    <row r="12" spans="1:4" x14ac:dyDescent="0.3">
      <c r="A12" s="14" t="s">
        <v>92</v>
      </c>
      <c r="B12" s="15">
        <v>44927</v>
      </c>
    </row>
    <row r="14" spans="1:4" x14ac:dyDescent="0.3">
      <c r="A14" s="84" t="s">
        <v>19</v>
      </c>
      <c r="B14" s="85">
        <v>0</v>
      </c>
    </row>
    <row r="15" spans="1:4" x14ac:dyDescent="0.3">
      <c r="A15" s="84" t="s">
        <v>34</v>
      </c>
      <c r="B15" s="84"/>
    </row>
    <row r="16" spans="1:4" ht="14.4" x14ac:dyDescent="0.3">
      <c r="A16" s="94" t="s">
        <v>93</v>
      </c>
      <c r="B16" s="94" t="s">
        <v>94</v>
      </c>
      <c r="C16" s="94" t="s">
        <v>95</v>
      </c>
      <c r="D16" s="94" t="s">
        <v>106</v>
      </c>
    </row>
    <row r="17" spans="1:4" ht="14.4" x14ac:dyDescent="0.3">
      <c r="A17" s="88" t="str">
        <f>IF(Data!B$54="","",Data!B$54)</f>
        <v>One Aon facility prop. pool NN</v>
      </c>
      <c r="B17" s="88">
        <f t="shared" ref="B17:B26" si="0">IFERROR(_xlfn.XLOOKUP(A17,Verzekeraar,verz_relatienummer),"")</f>
        <v>479856</v>
      </c>
      <c r="C17" s="93">
        <f t="shared" ref="C17:C26" si="1">IFERROR(_xlfn.XLOOKUP(A17,Verzekeraar,verz_aandeel),"")</f>
        <v>1</v>
      </c>
      <c r="D17" s="45">
        <f>SUMIFS(Table4[Premie 1],Table4[Mutatiedatum],$B11,Table4[Certificaat],$B14,Table4[Land],$B15)</f>
        <v>0</v>
      </c>
    </row>
    <row r="18" spans="1:4" ht="14.4" x14ac:dyDescent="0.3">
      <c r="A18" s="88" t="str">
        <f>IF(Data!B$55="","",Data!B$55)</f>
        <v/>
      </c>
      <c r="B18" s="88" t="str">
        <f t="shared" si="0"/>
        <v/>
      </c>
      <c r="C18" s="93" t="str">
        <f t="shared" si="1"/>
        <v/>
      </c>
      <c r="D18" s="45">
        <f>SUMIFS(Table4[Premie 2],Table4[Mutatiedatum],$B11,Table4[Certificaat],$B14,Table4[Land],$B15)</f>
        <v>0</v>
      </c>
    </row>
    <row r="19" spans="1:4" ht="14.4" x14ac:dyDescent="0.3">
      <c r="A19" s="88" t="str">
        <f>IF(Data!B$56="","",Data!B$56)</f>
        <v/>
      </c>
      <c r="B19" s="88" t="str">
        <f t="shared" si="0"/>
        <v/>
      </c>
      <c r="C19" s="93" t="str">
        <f t="shared" si="1"/>
        <v/>
      </c>
      <c r="D19" s="45">
        <f>SUMIFS(Table4[Premie 3],Table4[Mutatiedatum],$B11,Table4[Certificaat],$B14,Table4[Land],$B15)</f>
        <v>0</v>
      </c>
    </row>
    <row r="20" spans="1:4" ht="14.4" x14ac:dyDescent="0.3">
      <c r="A20" s="88" t="str">
        <f>IF(Data!B$57="","",Data!B$57)</f>
        <v/>
      </c>
      <c r="B20" s="88" t="str">
        <f t="shared" si="0"/>
        <v/>
      </c>
      <c r="C20" s="93" t="str">
        <f t="shared" si="1"/>
        <v/>
      </c>
      <c r="D20" s="45">
        <f>SUMIFS(Table4[Premie 4],Table4[Mutatiedatum],$B11,Table4[Certificaat],$B14,Table4[Land],$B15)</f>
        <v>0</v>
      </c>
    </row>
    <row r="21" spans="1:4" ht="14.4" x14ac:dyDescent="0.3">
      <c r="A21" s="88" t="str">
        <f>IF(Data!B$58="","",Data!B$58)</f>
        <v/>
      </c>
      <c r="B21" s="88" t="str">
        <f t="shared" si="0"/>
        <v/>
      </c>
      <c r="C21" s="93" t="str">
        <f t="shared" si="1"/>
        <v/>
      </c>
      <c r="D21" s="45">
        <f>SUMIFS(Table4[Premie 5],Table4[Mutatiedatum],$B11,Table4[Certificaat],$B14,Table4[Land],$B15)</f>
        <v>0</v>
      </c>
    </row>
    <row r="22" spans="1:4" ht="14.4" x14ac:dyDescent="0.3">
      <c r="A22" s="88" t="str">
        <f>IF(Data!B$59="","",Data!B$59)</f>
        <v/>
      </c>
      <c r="B22" s="88" t="str">
        <f t="shared" si="0"/>
        <v/>
      </c>
      <c r="C22" s="93" t="str">
        <f t="shared" si="1"/>
        <v/>
      </c>
      <c r="D22" s="45">
        <f>SUMIFS(Table4[Premie 6],Table4[Mutatiedatum],$B11,Table4[Certificaat],$B14,Table4[Land],$B15)</f>
        <v>0</v>
      </c>
    </row>
    <row r="23" spans="1:4" ht="14.4" x14ac:dyDescent="0.3">
      <c r="A23" s="88" t="str">
        <f>IF(Data!B$60="","",Data!B$60)</f>
        <v/>
      </c>
      <c r="B23" s="88" t="str">
        <f t="shared" si="0"/>
        <v/>
      </c>
      <c r="C23" s="93" t="str">
        <f t="shared" si="1"/>
        <v/>
      </c>
      <c r="D23" s="45">
        <f>SUMIFS(Table4[Premie 7],Table4[Mutatiedatum],$B11,Table4[Certificaat],$B14,Table4[Land],$B15)</f>
        <v>0</v>
      </c>
    </row>
    <row r="24" spans="1:4" ht="14.4" x14ac:dyDescent="0.3">
      <c r="A24" s="88" t="str">
        <f>IF(Data!B$61="","",Data!B$61)</f>
        <v/>
      </c>
      <c r="B24" s="88" t="str">
        <f t="shared" si="0"/>
        <v/>
      </c>
      <c r="C24" s="93" t="str">
        <f t="shared" si="1"/>
        <v/>
      </c>
      <c r="D24" s="45">
        <f>SUMIFS(Table4[Premie 8],Table4[Mutatiedatum],$B11,Table4[Certificaat],$B14,Table4[Land],$B15)</f>
        <v>0</v>
      </c>
    </row>
    <row r="25" spans="1:4" ht="14.4" x14ac:dyDescent="0.3">
      <c r="A25" s="88" t="str">
        <f>IF(Data!B$62="","",Data!B$62)</f>
        <v/>
      </c>
      <c r="B25" s="88" t="str">
        <f t="shared" si="0"/>
        <v/>
      </c>
      <c r="C25" s="93" t="str">
        <f t="shared" si="1"/>
        <v/>
      </c>
      <c r="D25" s="45">
        <f>SUMIFS(Table4[Premie 9],Table4[Mutatiedatum],$B11,Table4[Certificaat],$B14,Table4[Land],$B15)</f>
        <v>0</v>
      </c>
    </row>
    <row r="26" spans="1:4" ht="14.4" x14ac:dyDescent="0.3">
      <c r="A26" s="88" t="str">
        <f>IF(Data!B$63="","",Data!B$63)</f>
        <v/>
      </c>
      <c r="B26" s="88" t="str">
        <f t="shared" si="0"/>
        <v/>
      </c>
      <c r="C26" s="93" t="str">
        <f t="shared" si="1"/>
        <v/>
      </c>
      <c r="D26" s="45">
        <f>SUMIFS(Table4[Premie 10],Table4[Mutatiedatum],$B11,Table4[Certificaat],$B14,Table4[Land],$B15)</f>
        <v>0</v>
      </c>
    </row>
    <row r="27" spans="1:4" ht="14.4" x14ac:dyDescent="0.3">
      <c r="A27" s="88" t="s">
        <v>73</v>
      </c>
      <c r="B27" s="88"/>
      <c r="C27" s="100">
        <f>SUM(Table8[Aandeel])</f>
        <v>1</v>
      </c>
      <c r="D27" s="102">
        <f>SUM(Table8[Boeking/restitutie])</f>
        <v>0</v>
      </c>
    </row>
  </sheetData>
  <pageMargins left="0.23622047244094491" right="0.23622047244094491" top="0.74803149606299213" bottom="0.74803149606299213" header="0.31496062992125984" footer="0.31496062992125984"/>
  <pageSetup paperSize="9" orientation="landscape" horizontalDpi="1200" verticalDpi="1200" r:id="rId1"/>
  <headerFooter>
    <oddFooter>&amp;L&amp;F
Uniek nr e-ABS XXXXXXXXXXXXXXXXXXX&amp;R&amp;A
&amp;P/&amp;N</oddFooter>
  </headerFooter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7AA654E-E387-4166-8704-48A928B3AE7C}">
          <x14:formula1>
            <xm:f>Data!$C$6:$C$48</xm:f>
          </x14:formula1>
          <xm:sqref>B15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A4A44-A812-4F49-957D-CE376EF762B5}">
  <sheetPr codeName="Sheet7"/>
  <dimension ref="A1:P70"/>
  <sheetViews>
    <sheetView showGridLines="0" topLeftCell="A37" workbookViewId="0">
      <selection activeCell="B70" sqref="B70"/>
    </sheetView>
  </sheetViews>
  <sheetFormatPr defaultRowHeight="14.4" x14ac:dyDescent="0.3"/>
  <cols>
    <col min="1" max="1" width="2.88671875" customWidth="1"/>
    <col min="2" max="2" width="27.6640625" bestFit="1" customWidth="1"/>
    <col min="3" max="3" width="17" customWidth="1"/>
    <col min="4" max="4" width="16.109375" bestFit="1" customWidth="1"/>
    <col min="5" max="5" width="30.33203125" customWidth="1"/>
    <col min="6" max="6" width="2.88671875" customWidth="1"/>
    <col min="7" max="7" width="26.88671875" customWidth="1"/>
    <col min="8" max="8" width="2.88671875" customWidth="1"/>
    <col min="10" max="10" width="2.88671875" customWidth="1"/>
    <col min="11" max="11" width="20.88671875" bestFit="1" customWidth="1"/>
    <col min="12" max="13" width="2.88671875" customWidth="1"/>
    <col min="14" max="14" width="15.33203125" customWidth="1"/>
  </cols>
  <sheetData>
    <row r="1" spans="1:16" x14ac:dyDescent="0.3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x14ac:dyDescent="0.3">
      <c r="A2" s="21"/>
      <c r="B2" s="21"/>
      <c r="C2" s="21"/>
      <c r="D2" s="21"/>
      <c r="E2" s="6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16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</row>
    <row r="5" spans="1:16" x14ac:dyDescent="0.3">
      <c r="B5" t="s">
        <v>34</v>
      </c>
      <c r="C5" t="s">
        <v>107</v>
      </c>
      <c r="E5" s="1" t="s">
        <v>108</v>
      </c>
      <c r="F5" s="1"/>
      <c r="G5" s="1" t="s">
        <v>25</v>
      </c>
      <c r="H5" s="1"/>
      <c r="I5" s="1" t="s">
        <v>109</v>
      </c>
      <c r="J5" s="1"/>
      <c r="K5" s="1" t="s">
        <v>110</v>
      </c>
      <c r="L5" s="1"/>
    </row>
    <row r="6" spans="1:16" x14ac:dyDescent="0.3">
      <c r="B6" t="s">
        <v>111</v>
      </c>
      <c r="C6" t="s">
        <v>112</v>
      </c>
      <c r="E6" s="12" t="s">
        <v>7</v>
      </c>
      <c r="F6" s="12"/>
      <c r="G6" s="12" t="s">
        <v>7</v>
      </c>
      <c r="H6" s="12"/>
      <c r="I6" t="s">
        <v>113</v>
      </c>
      <c r="K6" t="s">
        <v>114</v>
      </c>
      <c r="L6" s="12"/>
    </row>
    <row r="7" spans="1:16" x14ac:dyDescent="0.3">
      <c r="B7" t="s">
        <v>115</v>
      </c>
      <c r="C7" t="s">
        <v>116</v>
      </c>
      <c r="E7" t="s">
        <v>117</v>
      </c>
      <c r="G7" t="s">
        <v>118</v>
      </c>
      <c r="I7" t="s">
        <v>86</v>
      </c>
      <c r="K7" t="s">
        <v>119</v>
      </c>
    </row>
    <row r="8" spans="1:16" x14ac:dyDescent="0.3">
      <c r="B8" t="s">
        <v>120</v>
      </c>
      <c r="C8" t="s">
        <v>121</v>
      </c>
      <c r="E8" t="s">
        <v>122</v>
      </c>
      <c r="G8" t="s">
        <v>123</v>
      </c>
      <c r="K8" t="s">
        <v>124</v>
      </c>
    </row>
    <row r="9" spans="1:16" x14ac:dyDescent="0.3">
      <c r="B9" t="s">
        <v>125</v>
      </c>
      <c r="C9" t="s">
        <v>126</v>
      </c>
      <c r="E9" t="s">
        <v>127</v>
      </c>
      <c r="G9" t="s">
        <v>128</v>
      </c>
    </row>
    <row r="10" spans="1:16" x14ac:dyDescent="0.3">
      <c r="B10" t="s">
        <v>129</v>
      </c>
      <c r="C10" t="s">
        <v>130</v>
      </c>
      <c r="E10" t="s">
        <v>131</v>
      </c>
      <c r="G10" t="s">
        <v>132</v>
      </c>
    </row>
    <row r="11" spans="1:16" x14ac:dyDescent="0.3">
      <c r="B11" t="s">
        <v>133</v>
      </c>
      <c r="C11" t="s">
        <v>134</v>
      </c>
      <c r="E11" t="s">
        <v>135</v>
      </c>
    </row>
    <row r="12" spans="1:16" x14ac:dyDescent="0.3">
      <c r="B12" t="s">
        <v>136</v>
      </c>
      <c r="C12" t="s">
        <v>137</v>
      </c>
      <c r="E12" t="s">
        <v>138</v>
      </c>
      <c r="G12" t="s">
        <v>63</v>
      </c>
      <c r="I12" s="1" t="s">
        <v>139</v>
      </c>
    </row>
    <row r="13" spans="1:16" x14ac:dyDescent="0.3">
      <c r="B13" t="s">
        <v>140</v>
      </c>
      <c r="C13" t="s">
        <v>141</v>
      </c>
      <c r="E13" t="s">
        <v>142</v>
      </c>
      <c r="G13" t="s">
        <v>143</v>
      </c>
      <c r="I13" s="12" t="s">
        <v>7</v>
      </c>
    </row>
    <row r="14" spans="1:16" x14ac:dyDescent="0.3">
      <c r="B14" t="s">
        <v>144</v>
      </c>
      <c r="C14" t="s">
        <v>145</v>
      </c>
      <c r="E14" t="s">
        <v>146</v>
      </c>
      <c r="G14" t="s">
        <v>147</v>
      </c>
      <c r="I14" t="s">
        <v>113</v>
      </c>
    </row>
    <row r="15" spans="1:16" x14ac:dyDescent="0.3">
      <c r="B15" t="s">
        <v>148</v>
      </c>
      <c r="C15" t="s">
        <v>149</v>
      </c>
      <c r="E15" t="s">
        <v>150</v>
      </c>
      <c r="G15" t="s">
        <v>151</v>
      </c>
      <c r="I15" t="s">
        <v>86</v>
      </c>
    </row>
    <row r="16" spans="1:16" x14ac:dyDescent="0.3">
      <c r="B16" t="s">
        <v>152</v>
      </c>
      <c r="C16" t="s">
        <v>153</v>
      </c>
      <c r="E16" t="s">
        <v>154</v>
      </c>
      <c r="G16" t="s">
        <v>155</v>
      </c>
    </row>
    <row r="17" spans="2:7" x14ac:dyDescent="0.3">
      <c r="B17" t="s">
        <v>156</v>
      </c>
      <c r="C17" t="s">
        <v>157</v>
      </c>
      <c r="E17" t="s">
        <v>158</v>
      </c>
    </row>
    <row r="18" spans="2:7" x14ac:dyDescent="0.3">
      <c r="B18" t="s">
        <v>159</v>
      </c>
      <c r="C18" t="s">
        <v>160</v>
      </c>
      <c r="E18" t="s">
        <v>161</v>
      </c>
    </row>
    <row r="19" spans="2:7" x14ac:dyDescent="0.3">
      <c r="B19" t="s">
        <v>162</v>
      </c>
      <c r="C19" t="s">
        <v>163</v>
      </c>
      <c r="E19" t="s">
        <v>164</v>
      </c>
    </row>
    <row r="20" spans="2:7" x14ac:dyDescent="0.3">
      <c r="B20" t="s">
        <v>165</v>
      </c>
      <c r="C20" t="s">
        <v>166</v>
      </c>
      <c r="E20" t="s">
        <v>167</v>
      </c>
    </row>
    <row r="21" spans="2:7" x14ac:dyDescent="0.3">
      <c r="B21" t="s">
        <v>168</v>
      </c>
      <c r="C21" t="s">
        <v>169</v>
      </c>
      <c r="E21" t="s">
        <v>170</v>
      </c>
    </row>
    <row r="22" spans="2:7" x14ac:dyDescent="0.3">
      <c r="B22" t="s">
        <v>171</v>
      </c>
      <c r="C22" t="s">
        <v>172</v>
      </c>
    </row>
    <row r="23" spans="2:7" x14ac:dyDescent="0.3">
      <c r="B23" t="s">
        <v>173</v>
      </c>
      <c r="C23" t="s">
        <v>174</v>
      </c>
      <c r="E23" s="78" t="s">
        <v>175</v>
      </c>
      <c r="G23" s="78" t="s">
        <v>176</v>
      </c>
    </row>
    <row r="24" spans="2:7" x14ac:dyDescent="0.3">
      <c r="B24" t="s">
        <v>177</v>
      </c>
      <c r="C24" t="s">
        <v>178</v>
      </c>
      <c r="E24" s="79">
        <v>0.5</v>
      </c>
      <c r="G24" s="82" t="s">
        <v>87</v>
      </c>
    </row>
    <row r="25" spans="2:7" x14ac:dyDescent="0.3">
      <c r="B25" t="s">
        <v>179</v>
      </c>
      <c r="C25" t="s">
        <v>180</v>
      </c>
      <c r="E25" s="80" t="s">
        <v>87</v>
      </c>
      <c r="G25" s="59" t="s">
        <v>181</v>
      </c>
    </row>
    <row r="26" spans="2:7" x14ac:dyDescent="0.3">
      <c r="B26" t="s">
        <v>182</v>
      </c>
      <c r="C26" t="s">
        <v>183</v>
      </c>
      <c r="E26" s="81" t="s">
        <v>181</v>
      </c>
    </row>
    <row r="27" spans="2:7" x14ac:dyDescent="0.3">
      <c r="B27" t="s">
        <v>184</v>
      </c>
      <c r="C27" t="s">
        <v>185</v>
      </c>
    </row>
    <row r="28" spans="2:7" x14ac:dyDescent="0.3">
      <c r="B28" t="s">
        <v>186</v>
      </c>
      <c r="C28" t="s">
        <v>187</v>
      </c>
    </row>
    <row r="29" spans="2:7" x14ac:dyDescent="0.3">
      <c r="B29" t="s">
        <v>188</v>
      </c>
      <c r="C29" t="s">
        <v>189</v>
      </c>
    </row>
    <row r="30" spans="2:7" x14ac:dyDescent="0.3">
      <c r="B30" t="s">
        <v>190</v>
      </c>
      <c r="C30" t="s">
        <v>191</v>
      </c>
    </row>
    <row r="31" spans="2:7" x14ac:dyDescent="0.3">
      <c r="B31" t="s">
        <v>192</v>
      </c>
      <c r="C31" t="s">
        <v>193</v>
      </c>
    </row>
    <row r="32" spans="2:7" x14ac:dyDescent="0.3">
      <c r="B32" t="s">
        <v>194</v>
      </c>
      <c r="C32" t="s">
        <v>195</v>
      </c>
    </row>
    <row r="33" spans="2:3" x14ac:dyDescent="0.3">
      <c r="B33" t="s">
        <v>196</v>
      </c>
      <c r="C33" t="s">
        <v>197</v>
      </c>
    </row>
    <row r="34" spans="2:3" x14ac:dyDescent="0.3">
      <c r="B34" t="s">
        <v>198</v>
      </c>
      <c r="C34" t="s">
        <v>199</v>
      </c>
    </row>
    <row r="35" spans="2:3" x14ac:dyDescent="0.3">
      <c r="B35" t="s">
        <v>200</v>
      </c>
      <c r="C35" t="s">
        <v>201</v>
      </c>
    </row>
    <row r="36" spans="2:3" x14ac:dyDescent="0.3">
      <c r="B36" t="s">
        <v>202</v>
      </c>
      <c r="C36" t="s">
        <v>203</v>
      </c>
    </row>
    <row r="37" spans="2:3" x14ac:dyDescent="0.3">
      <c r="B37" t="s">
        <v>204</v>
      </c>
      <c r="C37" t="s">
        <v>205</v>
      </c>
    </row>
    <row r="38" spans="2:3" x14ac:dyDescent="0.3">
      <c r="B38" t="s">
        <v>206</v>
      </c>
      <c r="C38" t="s">
        <v>207</v>
      </c>
    </row>
    <row r="39" spans="2:3" x14ac:dyDescent="0.3">
      <c r="B39" t="s">
        <v>208</v>
      </c>
      <c r="C39" t="s">
        <v>209</v>
      </c>
    </row>
    <row r="40" spans="2:3" x14ac:dyDescent="0.3">
      <c r="B40" t="s">
        <v>210</v>
      </c>
      <c r="C40" t="s">
        <v>211</v>
      </c>
    </row>
    <row r="41" spans="2:3" x14ac:dyDescent="0.3">
      <c r="B41" t="s">
        <v>212</v>
      </c>
      <c r="C41" t="s">
        <v>213</v>
      </c>
    </row>
    <row r="42" spans="2:3" x14ac:dyDescent="0.3">
      <c r="B42" t="s">
        <v>214</v>
      </c>
      <c r="C42" t="s">
        <v>215</v>
      </c>
    </row>
    <row r="43" spans="2:3" x14ac:dyDescent="0.3">
      <c r="B43" t="s">
        <v>216</v>
      </c>
      <c r="C43" t="s">
        <v>217</v>
      </c>
    </row>
    <row r="44" spans="2:3" x14ac:dyDescent="0.3">
      <c r="B44" t="s">
        <v>218</v>
      </c>
      <c r="C44" t="s">
        <v>219</v>
      </c>
    </row>
    <row r="45" spans="2:3" x14ac:dyDescent="0.3">
      <c r="B45" t="s">
        <v>220</v>
      </c>
      <c r="C45" t="s">
        <v>221</v>
      </c>
    </row>
    <row r="46" spans="2:3" x14ac:dyDescent="0.3">
      <c r="B46" t="s">
        <v>222</v>
      </c>
      <c r="C46" t="s">
        <v>223</v>
      </c>
    </row>
    <row r="47" spans="2:3" x14ac:dyDescent="0.3">
      <c r="B47" t="s">
        <v>224</v>
      </c>
      <c r="C47" t="s">
        <v>225</v>
      </c>
    </row>
    <row r="48" spans="2:3" x14ac:dyDescent="0.3">
      <c r="B48" t="s">
        <v>226</v>
      </c>
      <c r="C48" t="s">
        <v>227</v>
      </c>
    </row>
    <row r="49" spans="2:14" x14ac:dyDescent="0.3"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</row>
    <row r="51" spans="2:14" x14ac:dyDescent="0.3">
      <c r="B51" s="28" t="s">
        <v>228</v>
      </c>
      <c r="C51" s="28"/>
      <c r="D51" s="28"/>
    </row>
    <row r="53" spans="2:14" x14ac:dyDescent="0.3">
      <c r="B53" t="s">
        <v>93</v>
      </c>
      <c r="C53" t="s">
        <v>94</v>
      </c>
      <c r="D53" t="s">
        <v>95</v>
      </c>
    </row>
    <row r="54" spans="2:14" x14ac:dyDescent="0.3">
      <c r="B54" s="64" t="s">
        <v>232</v>
      </c>
      <c r="C54">
        <v>479856</v>
      </c>
      <c r="D54" s="130">
        <v>1</v>
      </c>
    </row>
    <row r="55" spans="2:14" x14ac:dyDescent="0.3">
      <c r="B55" s="64"/>
      <c r="D55" s="130"/>
    </row>
    <row r="56" spans="2:14" x14ac:dyDescent="0.3">
      <c r="B56" s="64"/>
      <c r="D56" s="131"/>
    </row>
    <row r="57" spans="2:14" x14ac:dyDescent="0.3">
      <c r="B57" s="64"/>
      <c r="D57" s="131"/>
    </row>
    <row r="58" spans="2:14" x14ac:dyDescent="0.3">
      <c r="B58" s="64"/>
      <c r="D58" s="131"/>
    </row>
    <row r="59" spans="2:14" x14ac:dyDescent="0.3">
      <c r="B59" s="64"/>
      <c r="D59" s="131"/>
    </row>
    <row r="60" spans="2:14" x14ac:dyDescent="0.3">
      <c r="B60" s="64"/>
      <c r="D60" s="131"/>
    </row>
    <row r="61" spans="2:14" x14ac:dyDescent="0.3">
      <c r="B61" s="64"/>
      <c r="D61" s="131"/>
    </row>
    <row r="62" spans="2:14" x14ac:dyDescent="0.3">
      <c r="B62" s="64"/>
      <c r="D62" s="131"/>
    </row>
    <row r="63" spans="2:14" x14ac:dyDescent="0.3">
      <c r="B63" s="64"/>
      <c r="D63" s="131"/>
    </row>
    <row r="64" spans="2:14" x14ac:dyDescent="0.3">
      <c r="B64" s="62" t="s">
        <v>73</v>
      </c>
      <c r="C64" s="63"/>
      <c r="D64" s="65">
        <f>SUM(Table14[Aandeel])</f>
        <v>1</v>
      </c>
    </row>
    <row r="66" spans="2:4" x14ac:dyDescent="0.3">
      <c r="B66" s="28" t="s">
        <v>229</v>
      </c>
      <c r="C66" s="28"/>
      <c r="D66" s="28"/>
    </row>
    <row r="68" spans="2:4" x14ac:dyDescent="0.3">
      <c r="B68" t="s">
        <v>230</v>
      </c>
      <c r="C68" t="s">
        <v>94</v>
      </c>
      <c r="D68" t="s">
        <v>231</v>
      </c>
    </row>
    <row r="69" spans="2:4" x14ac:dyDescent="0.3">
      <c r="B69" t="s">
        <v>235</v>
      </c>
    </row>
    <row r="70" spans="2:4" x14ac:dyDescent="0.3">
      <c r="B70" t="s">
        <v>234</v>
      </c>
    </row>
  </sheetData>
  <sortState xmlns:xlrd2="http://schemas.microsoft.com/office/spreadsheetml/2017/richdata2" ref="E7:E21">
    <sortCondition ref="E7:E21"/>
  </sortState>
  <phoneticPr fontId="5" type="noConversion"/>
  <conditionalFormatting sqref="B54:B63">
    <cfRule type="expression" dxfId="0" priority="1">
      <formula>ROW(B54)&lt;=verzekeraar_max_row</formula>
    </cfRule>
  </conditionalFormatting>
  <pageMargins left="0.23622047244094491" right="0.23622047244094491" top="0.74803149606299213" bottom="0.74803149606299213" header="0.31496062992125984" footer="0.31496062992125984"/>
  <pageSetup paperSize="9" orientation="landscape" verticalDpi="1200" r:id="rId1"/>
  <headerFooter>
    <oddFooter>&amp;L&amp;F
Uniek nr e-ABS XXXXXXXXXXXXXXXXXXX&amp;R&amp;A
&amp;P/&amp;N</oddFooter>
  </headerFooter>
  <drawing r:id="rId2"/>
  <tableParts count="9">
    <tablePart r:id="rId3"/>
    <tablePart r:id="rId4"/>
    <tablePart r:id="rId5"/>
    <tablePart r:id="rId6"/>
    <tablePart r:id="rId7"/>
    <tablePart r:id="rId8"/>
    <tablePart r:id="rId9"/>
    <tablePart r:id="rId10"/>
    <tablePart r:id="rId1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304d66-90c6-4335-b1c9-5b3984399988">
      <Terms xmlns="http://schemas.microsoft.com/office/infopath/2007/PartnerControls"/>
    </lcf76f155ced4ddcb4097134ff3c332f>
    <TaxCatchAll xmlns="41d8d177-be5a-477d-be00-e01547a293a3" xsi:nil="true"/>
  </documentManagement>
</p:properties>
</file>

<file path=customXml/item2.xml><?xml version="1.0" encoding="utf-8"?>
<titus xmlns="http://schemas.titus.com/TitusProperties/">
  <TitusGUID xmlns="">ac0764d0-85ad-4dcd-9dc6-94b2da698142</TitusGUID>
  <TitusMetadata xmlns="">eyJucyI6Imh0dHA6XC9cL3d3dy50aXR1cy5jb21cL25zXC9BT04iLCJwcm9wcyI6W3sibiI6IkFvbkNsYXNzaWZpY2F0aW9uIiwidmFscyI6W3sidmFsdWUiOiJBRENfY2xhc3NfMjAwIn1dfSx7Im4iOiJBb25SZXN0cmljdGVkIiwidmFscyI6W119LHsibiI6IkFvblZpc3VhbE1hcmtpbmdzIiwidmFscyI6W119XX0=</TitusMetadata>
</titu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2362D23840384AA44F195D95F9E0FB" ma:contentTypeVersion="15" ma:contentTypeDescription="Create a new document." ma:contentTypeScope="" ma:versionID="3d31359104a45a3ee5303293d1911f71">
  <xsd:schema xmlns:xsd="http://www.w3.org/2001/XMLSchema" xmlns:xs="http://www.w3.org/2001/XMLSchema" xmlns:p="http://schemas.microsoft.com/office/2006/metadata/properties" xmlns:ns2="38304d66-90c6-4335-b1c9-5b3984399988" xmlns:ns3="41d8d177-be5a-477d-be00-e01547a293a3" targetNamespace="http://schemas.microsoft.com/office/2006/metadata/properties" ma:root="true" ma:fieldsID="8341d0f939aac922bd9089dbfc690454" ns2:_="" ns3:_="">
    <xsd:import namespace="38304d66-90c6-4335-b1c9-5b3984399988"/>
    <xsd:import namespace="41d8d177-be5a-477d-be00-e01547a293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304d66-90c6-4335-b1c9-5b39843999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1fdf30fe-1347-464b-aacb-c31a0be721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8d177-be5a-477d-be00-e01547a293a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941151a-63b3-4332-b62e-f2b7c2e016f0}" ma:internalName="TaxCatchAll" ma:showField="CatchAllData" ma:web="41d8d177-be5a-477d-be00-e01547a293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3C7FDF-D4C7-40F7-8F63-C8D7D6EC81B0}">
  <ds:schemaRefs>
    <ds:schemaRef ds:uri="http://schemas.microsoft.com/office/2006/metadata/properties"/>
    <ds:schemaRef ds:uri="http://schemas.microsoft.com/office/infopath/2007/PartnerControls"/>
    <ds:schemaRef ds:uri="38304d66-90c6-4335-b1c9-5b3984399988"/>
    <ds:schemaRef ds:uri="41d8d177-be5a-477d-be00-e01547a293a3"/>
  </ds:schemaRefs>
</ds:datastoreItem>
</file>

<file path=customXml/itemProps2.xml><?xml version="1.0" encoding="utf-8"?>
<ds:datastoreItem xmlns:ds="http://schemas.openxmlformats.org/officeDocument/2006/customXml" ds:itemID="{23660EFD-BAD1-45BA-A5A7-E63F0EBBA27E}">
  <ds:schemaRefs>
    <ds:schemaRef ds:uri="http://schemas.titus.com/TitusProperties/"/>
    <ds:schemaRef ds:uri=""/>
  </ds:schemaRefs>
</ds:datastoreItem>
</file>

<file path=customXml/itemProps3.xml><?xml version="1.0" encoding="utf-8"?>
<ds:datastoreItem xmlns:ds="http://schemas.openxmlformats.org/officeDocument/2006/customXml" ds:itemID="{ACF502C8-4063-42EA-B630-80B4969153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304d66-90c6-4335-b1c9-5b3984399988"/>
    <ds:schemaRef ds:uri="41d8d177-be5a-477d-be00-e01547a293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4E56B9C-DAB9-4075-8DE6-12EF5B4A86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8</vt:i4>
      </vt:variant>
      <vt:variant>
        <vt:lpstr>Benoemde bereiken</vt:lpstr>
      </vt:variant>
      <vt:variant>
        <vt:i4>22</vt:i4>
      </vt:variant>
    </vt:vector>
  </HeadingPairs>
  <TitlesOfParts>
    <vt:vector size="30" baseType="lpstr">
      <vt:lpstr>Overzicht</vt:lpstr>
      <vt:lpstr>Specificatie</vt:lpstr>
      <vt:lpstr>Taxaties</vt:lpstr>
      <vt:lpstr>Mutaties</vt:lpstr>
      <vt:lpstr>Verrekening Jaarpremie</vt:lpstr>
      <vt:lpstr>Periodepremies</vt:lpstr>
      <vt:lpstr>Verrekening Pro Rata-CAD</vt:lpstr>
      <vt:lpstr>Data</vt:lpstr>
      <vt:lpstr>Mutaties!Afdrukbereik</vt:lpstr>
      <vt:lpstr>Periodepremies!Afdrukbereik</vt:lpstr>
      <vt:lpstr>Specificatie!Afdrukbereik</vt:lpstr>
      <vt:lpstr>'Verrekening Jaarpremie'!Afdrukbereik</vt:lpstr>
      <vt:lpstr>Bouwaard</vt:lpstr>
      <vt:lpstr>CAD</vt:lpstr>
      <vt:lpstr>Dagen</vt:lpstr>
      <vt:lpstr>dagen_per_jaar</vt:lpstr>
      <vt:lpstr>fin_sub</vt:lpstr>
      <vt:lpstr>Interest</vt:lpstr>
      <vt:lpstr>Ja</vt:lpstr>
      <vt:lpstr>Landcode</vt:lpstr>
      <vt:lpstr>Landen</vt:lpstr>
      <vt:lpstr>mut_datum</vt:lpstr>
      <vt:lpstr>mut_soort</vt:lpstr>
      <vt:lpstr>Nee</vt:lpstr>
      <vt:lpstr>Relatie</vt:lpstr>
      <vt:lpstr>Relatienummer</vt:lpstr>
      <vt:lpstr>Taxatie</vt:lpstr>
      <vt:lpstr>verz_aandeel</vt:lpstr>
      <vt:lpstr>verz_relatienummer</vt:lpstr>
      <vt:lpstr>Verzekeraar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Charles van Doornewaard</dc:creator>
  <cp:keywords/>
  <dc:description/>
  <cp:lastModifiedBy>Kimberley Kole-Dijkstra</cp:lastModifiedBy>
  <cp:revision/>
  <dcterms:created xsi:type="dcterms:W3CDTF">2019-07-21T11:45:44Z</dcterms:created>
  <dcterms:modified xsi:type="dcterms:W3CDTF">2026-09-29T12:49:57Z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0x010100072362D23840384AA44F195D95F9E0FB</vt:lpwstr>
  </property>
  <property fmtid="{D5CDD505-2E9C-101B-9397-08002B2CF9AE}" pid="3" name="TitusGUID">
    <vt:lpwstr>ac0764d0-85ad-4dcd-9dc6-94b2da698142</vt:lpwstr>
  </property>
  <property fmtid="{D5CDD505-2E9C-101B-9397-08002B2CF9AE}" pid="4" name="AonClassification">
    <vt:lpwstr>ADC_class_200</vt:lpwstr>
  </property>
  <property fmtid="{D5CDD505-2E9C-101B-9397-08002B2CF9AE}" pid="5" name="MediaServiceImageTags">
    <vt:lpwstr/>
  </property>
  <property fmtid="{D5CDD505-2E9C-101B-9397-08002B2CF9AE}" pid="6" name="MSIP_Label_9043f10a-881e-4653-a55e-02ca2cc829dc_Enabled">
    <vt:lpwstr>true</vt:lpwstr>
  </property>
  <property fmtid="{D5CDD505-2E9C-101B-9397-08002B2CF9AE}" pid="7" name="MSIP_Label_9043f10a-881e-4653-a55e-02ca2cc829dc_SetDate">
    <vt:lpwstr>2023-12-12T09:43:56Z</vt:lpwstr>
  </property>
  <property fmtid="{D5CDD505-2E9C-101B-9397-08002B2CF9AE}" pid="8" name="MSIP_Label_9043f10a-881e-4653-a55e-02ca2cc829dc_Method">
    <vt:lpwstr>Standard</vt:lpwstr>
  </property>
  <property fmtid="{D5CDD505-2E9C-101B-9397-08002B2CF9AE}" pid="9" name="MSIP_Label_9043f10a-881e-4653-a55e-02ca2cc829dc_Name">
    <vt:lpwstr>ADC_class_200</vt:lpwstr>
  </property>
  <property fmtid="{D5CDD505-2E9C-101B-9397-08002B2CF9AE}" pid="10" name="MSIP_Label_9043f10a-881e-4653-a55e-02ca2cc829dc_SiteId">
    <vt:lpwstr>94cfddbc-0627-494a-ad7a-29aea3aea832</vt:lpwstr>
  </property>
  <property fmtid="{D5CDD505-2E9C-101B-9397-08002B2CF9AE}" pid="11" name="MSIP_Label_9043f10a-881e-4653-a55e-02ca2cc829dc_ActionId">
    <vt:lpwstr>93ed77bf-8d4e-4239-8fa9-8ac46dc8419d</vt:lpwstr>
  </property>
  <property fmtid="{D5CDD505-2E9C-101B-9397-08002B2CF9AE}" pid="12" name="MSIP_Label_9043f10a-881e-4653-a55e-02ca2cc829dc_ContentBits">
    <vt:lpwstr>0</vt:lpwstr>
  </property>
</Properties>
</file>