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ing Scholengemeenschap Voor Vrijeschoolonderwijs/Schoonmaak 2026 - KdG &amp; Novalis/4. Leidraad/"/>
    </mc:Choice>
  </mc:AlternateContent>
  <xr:revisionPtr revIDLastSave="499" documentId="8_{3D944083-F465-4B9D-8A59-2FEF54C981CA}" xr6:coauthVersionLast="47" xr6:coauthVersionMax="47" xr10:uidLastSave="{FB35D8BF-100E-4114-81DB-F645F3BCF398}"/>
  <bookViews>
    <workbookView xWindow="28680" yWindow="-120" windowWidth="29040" windowHeight="15720" tabRatio="786" firstSheet="2" activeTab="10" xr2:uid="{00000000-000D-0000-FFFF-FFFF00000000}"/>
  </bookViews>
  <sheets>
    <sheet name="Overnamegegevens" sheetId="30" r:id="rId1"/>
    <sheet name="Opleverstaat dagelijks" sheetId="21" r:id="rId2"/>
    <sheet name="Werkprogramma periodiek" sheetId="27" r:id="rId3"/>
    <sheet name="Werkprogramma dieptereiniging" sheetId="28" r:id="rId4"/>
    <sheet name="Tariefsopbouw" sheetId="2" r:id="rId5"/>
    <sheet name="Prestatiefactoren" sheetId="11" r:id="rId6"/>
    <sheet name="Ruimtestaat" sheetId="13" r:id="rId7"/>
    <sheet name="Vloeronderhoud" sheetId="25" r:id="rId8"/>
    <sheet name="Glasbewassing" sheetId="29" r:id="rId9"/>
    <sheet name="Regie en afroep" sheetId="24" r:id="rId10"/>
    <sheet name="Totalisatie" sheetId="19" r:id="rId11"/>
  </sheets>
  <externalReferences>
    <externalReference r:id="rId12"/>
    <externalReference r:id="rId13"/>
  </externalReferences>
  <definedNames>
    <definedName name="_1F" localSheetId="7" hidden="1">[1]Psychiatrie!#REF!</definedName>
    <definedName name="_1F" hidden="1">[1]Psychiatrie!#REF!</definedName>
    <definedName name="_2_0_F" localSheetId="7" hidden="1">[1]Psychiatrie!#REF!</definedName>
    <definedName name="_2_0_F" hidden="1">[1]Psychiatrie!#REF!</definedName>
    <definedName name="_Dist_Bin" localSheetId="7" hidden="1">#REF!</definedName>
    <definedName name="_Dist_Bin" hidden="1">#REF!</definedName>
    <definedName name="_Dist_Values" localSheetId="7" hidden="1">#REF!</definedName>
    <definedName name="_Dist_Values" hidden="1">#REF!</definedName>
    <definedName name="_Fill" localSheetId="7" hidden="1">'[2]#REF'!#REF!</definedName>
    <definedName name="_Fill" hidden="1">'[2]#REF'!#REF!</definedName>
    <definedName name="_xlnm._FilterDatabase" localSheetId="6" hidden="1">'Ruimtestaat'!$B$4:$S$137</definedName>
    <definedName name="_xlnm._FilterDatabase" localSheetId="10" hidden="1">Totalisatie!#REF!</definedName>
    <definedName name="_Key1" localSheetId="7" hidden="1">'[2]#REF'!#REF!</definedName>
    <definedName name="_Key1" hidden="1">'[2]#REF'!#REF!</definedName>
    <definedName name="_Order1" hidden="1">255</definedName>
    <definedName name="_Sort" localSheetId="7" hidden="1">#REF!</definedName>
    <definedName name="_Sort" hidden="1">#REF!</definedName>
    <definedName name="_Table1_In1" localSheetId="7" hidden="1">#REF!</definedName>
    <definedName name="_Table1_In1" hidden="1">#REF!</definedName>
    <definedName name="_Table1_Out" localSheetId="7" hidden="1">#REF!</definedName>
    <definedName name="_Table1_Out" hidden="1">#REF!</definedName>
    <definedName name="_Toc233614100" localSheetId="9">'Regie en afroep'!#REF!</definedName>
    <definedName name="_Toc256089721" localSheetId="9">'Regie en afroep'!#REF!</definedName>
    <definedName name="AccessDatabase" hidden="1">"C:\data\excel\BASISWP.mdb"</definedName>
    <definedName name="_xlnm.Print_Area" localSheetId="1">'Opleverstaat dagelijks'!#REF!</definedName>
    <definedName name="_xlnm.Print_Area" localSheetId="5">Prestatiefactoren!$A$1:$F$52</definedName>
    <definedName name="_xlnm.Print_Area" localSheetId="9">'Regie en afroep'!$A$1:$I$82</definedName>
    <definedName name="_xlnm.Print_Area" localSheetId="6">'Ruimtestaat'!$A$1:$AG$137</definedName>
    <definedName name="_xlnm.Print_Area" localSheetId="4">Tariefsopbouw!$A$1:$Q$42</definedName>
    <definedName name="_xlnm.Print_Area" localSheetId="10">Totalisatie!$A$1:$H$24</definedName>
    <definedName name="_xlnm.Print_Area" localSheetId="7">Vloeronderhoud!$A$1:$J$32</definedName>
    <definedName name="_xlnm.Print_Area" localSheetId="3">'Werkprogramma dieptereiniging'!$A$1:$A$34</definedName>
    <definedName name="_xlnm.Print_Titles" localSheetId="6">'Ruimtestaat'!$A:$H,'Ruimtestaat'!$2:$4</definedName>
    <definedName name="arbeidsprestatie" localSheetId="7">Prestatiefactoren!#REF!</definedName>
    <definedName name="arbeidsprestatie">Prestatiefactoren!#REF!</definedName>
    <definedName name="freq" localSheetId="7">'Opleverstaat dagelijks'!#REF!</definedName>
    <definedName name="freq">'Opleverstaat dagelijks'!#REF!</definedName>
    <definedName name="OLE_LINK9" localSheetId="9">'Regie en afroep'!#REF!</definedName>
    <definedName name="programma">#REF!</definedName>
    <definedName name="R_Code" localSheetId="7">Prestatiefactoren!#REF!</definedName>
    <definedName name="R_Code">Prestatiefactoren!#REF!</definedName>
    <definedName name="Vl_Code" localSheetId="7">Prestatiefactoren!#REF!</definedName>
    <definedName name="Vl_Code">Prestatiefactoren!#REF!</definedName>
    <definedName name="vloer" localSheetId="7">'Opleverstaat dagelijks'!#REF!</definedName>
    <definedName name="vloer">'Opleverstaat dagelijks'!#REF!</definedName>
    <definedName name="wk" localSheetId="7">'Opleverstaat dagelijks'!#REF!</definedName>
    <definedName name="wk">'Opleverstaat dagelijks'!#REF!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" i="25" l="1"/>
  <c r="H25" i="25"/>
  <c r="H26" i="25"/>
  <c r="H27" i="25"/>
  <c r="H28" i="25"/>
  <c r="H29" i="25"/>
  <c r="H30" i="25"/>
  <c r="F7" i="19"/>
  <c r="B25" i="25"/>
  <c r="B26" i="25"/>
  <c r="B27" i="25"/>
  <c r="B28" i="25"/>
  <c r="B29" i="25"/>
  <c r="B30" i="25"/>
  <c r="B31" i="25"/>
  <c r="D25" i="25"/>
  <c r="F25" i="25"/>
  <c r="D26" i="25"/>
  <c r="F26" i="25"/>
  <c r="D27" i="25"/>
  <c r="F27" i="25"/>
  <c r="D28" i="25"/>
  <c r="F28" i="25"/>
  <c r="D29" i="25"/>
  <c r="F29" i="25"/>
  <c r="D30" i="25"/>
  <c r="F30" i="25"/>
  <c r="D31" i="25"/>
  <c r="F31" i="25"/>
  <c r="H31" i="25" s="1"/>
  <c r="D25" i="29"/>
  <c r="D26" i="29"/>
  <c r="D27" i="29"/>
  <c r="D28" i="29"/>
  <c r="D29" i="29"/>
  <c r="D30" i="29"/>
  <c r="D31" i="29"/>
  <c r="D32" i="29"/>
  <c r="D33" i="29"/>
  <c r="D24" i="29"/>
  <c r="B14" i="19" l="1"/>
  <c r="D14" i="19"/>
  <c r="F14" i="19"/>
  <c r="C8" i="19"/>
  <c r="B8" i="19"/>
  <c r="B29" i="29" s="1"/>
  <c r="G29" i="29"/>
  <c r="G30" i="29"/>
  <c r="H30" i="29" s="1"/>
  <c r="G31" i="29"/>
  <c r="H31" i="29" s="1"/>
  <c r="G32" i="29"/>
  <c r="H32" i="29" s="1"/>
  <c r="G33" i="29"/>
  <c r="H33" i="29" s="1"/>
  <c r="E14" i="19" l="1"/>
  <c r="H29" i="29"/>
  <c r="B33" i="29"/>
  <c r="B32" i="29"/>
  <c r="B31" i="29"/>
  <c r="B30" i="29"/>
  <c r="D23" i="25" l="1"/>
  <c r="D24" i="25"/>
  <c r="D22" i="25"/>
  <c r="D21" i="25"/>
  <c r="E18" i="25"/>
  <c r="F18" i="25" s="1"/>
  <c r="G18" i="25" s="1"/>
  <c r="H18" i="25" s="1"/>
  <c r="I18" i="25" s="1"/>
  <c r="G28" i="29"/>
  <c r="H28" i="29" s="1"/>
  <c r="G27" i="29"/>
  <c r="H27" i="29" s="1"/>
  <c r="G26" i="29"/>
  <c r="H26" i="29" s="1"/>
  <c r="G25" i="29"/>
  <c r="H25" i="29" s="1"/>
  <c r="G24" i="29"/>
  <c r="E13" i="19" l="1"/>
  <c r="G34" i="29"/>
  <c r="E15" i="19" s="1"/>
  <c r="H24" i="29"/>
  <c r="H34" i="29" s="1"/>
  <c r="I32" i="2" l="1"/>
  <c r="K32" i="2" s="1"/>
  <c r="M32" i="2" s="1"/>
  <c r="O32" i="2" s="1"/>
  <c r="Q32" i="2" s="1"/>
  <c r="I31" i="2"/>
  <c r="K31" i="2" s="1"/>
  <c r="M31" i="2" s="1"/>
  <c r="O31" i="2" s="1"/>
  <c r="Q31" i="2" s="1"/>
  <c r="I30" i="2"/>
  <c r="K30" i="2" s="1"/>
  <c r="M30" i="2" s="1"/>
  <c r="O30" i="2" s="1"/>
  <c r="Q30" i="2" s="1"/>
  <c r="I25" i="2"/>
  <c r="K25" i="2" s="1"/>
  <c r="M25" i="2" s="1"/>
  <c r="O25" i="2" s="1"/>
  <c r="Q25" i="2" s="1"/>
  <c r="I23" i="2"/>
  <c r="K23" i="2" s="1"/>
  <c r="M23" i="2" s="1"/>
  <c r="O23" i="2" s="1"/>
  <c r="Q23" i="2" s="1"/>
  <c r="I22" i="2"/>
  <c r="K22" i="2" s="1"/>
  <c r="M22" i="2" s="1"/>
  <c r="O22" i="2" s="1"/>
  <c r="Q22" i="2" s="1"/>
  <c r="I21" i="2"/>
  <c r="K21" i="2" s="1"/>
  <c r="E9" i="2"/>
  <c r="E10" i="2" s="1"/>
  <c r="I10" i="2" s="1"/>
  <c r="K10" i="2" s="1"/>
  <c r="M10" i="2" s="1"/>
  <c r="O10" i="2" s="1"/>
  <c r="Q10" i="2" s="1"/>
  <c r="D9" i="2"/>
  <c r="E8" i="2"/>
  <c r="E7" i="2"/>
  <c r="E6" i="2"/>
  <c r="E5" i="2"/>
  <c r="M21" i="2" l="1"/>
  <c r="E13" i="2"/>
  <c r="E15" i="2"/>
  <c r="I15" i="2" s="1"/>
  <c r="K15" i="2" s="1"/>
  <c r="M15" i="2" s="1"/>
  <c r="O15" i="2" s="1"/>
  <c r="Q15" i="2" s="1"/>
  <c r="E24" i="2"/>
  <c r="E14" i="2"/>
  <c r="I14" i="2" s="1"/>
  <c r="K14" i="2" s="1"/>
  <c r="M14" i="2" s="1"/>
  <c r="O14" i="2" s="1"/>
  <c r="Q14" i="2" s="1"/>
  <c r="E16" i="2"/>
  <c r="I16" i="2" s="1"/>
  <c r="K16" i="2" s="1"/>
  <c r="M16" i="2" s="1"/>
  <c r="O16" i="2" s="1"/>
  <c r="Q16" i="2" s="1"/>
  <c r="E17" i="2"/>
  <c r="I17" i="2" s="1"/>
  <c r="K17" i="2" s="1"/>
  <c r="M17" i="2" s="1"/>
  <c r="O17" i="2" s="1"/>
  <c r="Q17" i="2" s="1"/>
  <c r="I24" i="2" l="1"/>
  <c r="E26" i="2"/>
  <c r="I13" i="2"/>
  <c r="E18" i="2"/>
  <c r="O21" i="2"/>
  <c r="K24" i="2" l="1"/>
  <c r="I26" i="2"/>
  <c r="Q21" i="2"/>
  <c r="E29" i="2"/>
  <c r="K13" i="2"/>
  <c r="I18" i="2"/>
  <c r="K18" i="2" l="1"/>
  <c r="M13" i="2"/>
  <c r="I29" i="2"/>
  <c r="E33" i="2"/>
  <c r="M24" i="2"/>
  <c r="K26" i="2"/>
  <c r="O13" i="2" l="1"/>
  <c r="M18" i="2"/>
  <c r="O24" i="2"/>
  <c r="M26" i="2"/>
  <c r="K29" i="2"/>
  <c r="I33" i="2"/>
  <c r="I35" i="2" s="1"/>
  <c r="E35" i="2"/>
  <c r="D41" i="2"/>
  <c r="D40" i="2"/>
  <c r="D39" i="2"/>
  <c r="E41" i="2" l="1"/>
  <c r="D21" i="2"/>
  <c r="D30" i="2"/>
  <c r="D38" i="2"/>
  <c r="D31" i="2"/>
  <c r="D25" i="2"/>
  <c r="D32" i="2"/>
  <c r="D23" i="2"/>
  <c r="D22" i="2"/>
  <c r="Q13" i="2"/>
  <c r="Q18" i="2" s="1"/>
  <c r="O18" i="2"/>
  <c r="I37" i="2"/>
  <c r="I39" i="2" s="1"/>
  <c r="K33" i="2"/>
  <c r="K35" i="2" s="1"/>
  <c r="K37" i="2" s="1"/>
  <c r="M29" i="2"/>
  <c r="E39" i="2"/>
  <c r="E40" i="2"/>
  <c r="Q24" i="2"/>
  <c r="Q26" i="2" s="1"/>
  <c r="O26" i="2"/>
  <c r="K39" i="2" l="1"/>
  <c r="I41" i="2"/>
  <c r="E17" i="29"/>
  <c r="F17" i="29" s="1"/>
  <c r="E18" i="29"/>
  <c r="F18" i="29" s="1"/>
  <c r="E19" i="29"/>
  <c r="F19" i="29" s="1"/>
  <c r="E13" i="29"/>
  <c r="F13" i="29" s="1"/>
  <c r="E15" i="29"/>
  <c r="F15" i="29" s="1"/>
  <c r="E20" i="29"/>
  <c r="F20" i="29" s="1"/>
  <c r="E9" i="29"/>
  <c r="F9" i="29" s="1"/>
  <c r="E21" i="29"/>
  <c r="F21" i="29" s="1"/>
  <c r="E10" i="29"/>
  <c r="F10" i="29" s="1"/>
  <c r="E11" i="29"/>
  <c r="F11" i="29" s="1"/>
  <c r="E12" i="29"/>
  <c r="F12" i="29" s="1"/>
  <c r="E14" i="29"/>
  <c r="F14" i="29" s="1"/>
  <c r="E16" i="29"/>
  <c r="F16" i="29" s="1"/>
  <c r="E18" i="24"/>
  <c r="F18" i="24" s="1"/>
  <c r="E30" i="24"/>
  <c r="F30" i="24" s="1"/>
  <c r="E19" i="24"/>
  <c r="F19" i="24" s="1"/>
  <c r="E31" i="24"/>
  <c r="F31" i="24" s="1"/>
  <c r="E20" i="24"/>
  <c r="F20" i="24" s="1"/>
  <c r="E32" i="24"/>
  <c r="F32" i="24" s="1"/>
  <c r="E9" i="25"/>
  <c r="F9" i="25" s="1"/>
  <c r="E9" i="24"/>
  <c r="F9" i="24" s="1"/>
  <c r="E21" i="24"/>
  <c r="F21" i="24" s="1"/>
  <c r="E33" i="24"/>
  <c r="F33" i="24" s="1"/>
  <c r="E10" i="25"/>
  <c r="F10" i="25" s="1"/>
  <c r="E11" i="25"/>
  <c r="F11" i="25" s="1"/>
  <c r="E11" i="24"/>
  <c r="F11" i="24" s="1"/>
  <c r="E23" i="24"/>
  <c r="F23" i="24" s="1"/>
  <c r="E35" i="24"/>
  <c r="F35" i="24" s="1"/>
  <c r="E12" i="25"/>
  <c r="F12" i="25" s="1"/>
  <c r="E12" i="24"/>
  <c r="F12" i="24" s="1"/>
  <c r="E36" i="24"/>
  <c r="F36" i="24" s="1"/>
  <c r="E13" i="25"/>
  <c r="F13" i="25" s="1"/>
  <c r="E13" i="24"/>
  <c r="F13" i="24" s="1"/>
  <c r="E37" i="24"/>
  <c r="F37" i="24" s="1"/>
  <c r="E14" i="24"/>
  <c r="F14" i="24" s="1"/>
  <c r="E38" i="24"/>
  <c r="F38" i="24" s="1"/>
  <c r="E15" i="25"/>
  <c r="F15" i="25" s="1"/>
  <c r="E15" i="24"/>
  <c r="F15" i="24" s="1"/>
  <c r="E27" i="24"/>
  <c r="F27" i="24" s="1"/>
  <c r="E39" i="24"/>
  <c r="F39" i="24" s="1"/>
  <c r="E16" i="25"/>
  <c r="F16" i="25" s="1"/>
  <c r="E16" i="24"/>
  <c r="F16" i="24" s="1"/>
  <c r="E40" i="24"/>
  <c r="F40" i="24" s="1"/>
  <c r="E17" i="25"/>
  <c r="F17" i="25" s="1"/>
  <c r="E17" i="24"/>
  <c r="F17" i="24" s="1"/>
  <c r="E29" i="24"/>
  <c r="F29" i="24" s="1"/>
  <c r="E10" i="24"/>
  <c r="F10" i="24" s="1"/>
  <c r="E22" i="24"/>
  <c r="F22" i="24" s="1"/>
  <c r="E34" i="24"/>
  <c r="F34" i="24" s="1"/>
  <c r="E24" i="24"/>
  <c r="F24" i="24" s="1"/>
  <c r="E25" i="24"/>
  <c r="F25" i="24" s="1"/>
  <c r="E14" i="25"/>
  <c r="F14" i="25" s="1"/>
  <c r="E26" i="24"/>
  <c r="F26" i="24" s="1"/>
  <c r="E28" i="24"/>
  <c r="F28" i="24" s="1"/>
  <c r="I40" i="2"/>
  <c r="K40" i="2" s="1"/>
  <c r="K41" i="2"/>
  <c r="O29" i="2"/>
  <c r="M33" i="2"/>
  <c r="M35" i="2" s="1"/>
  <c r="M37" i="2" s="1"/>
  <c r="I38" i="2"/>
  <c r="K38" i="2" s="1"/>
  <c r="E38" i="2"/>
  <c r="G29" i="24" l="1"/>
  <c r="G37" i="24"/>
  <c r="G21" i="24"/>
  <c r="G36" i="24"/>
  <c r="G32" i="24"/>
  <c r="G16" i="24"/>
  <c r="G20" i="24"/>
  <c r="G39" i="24"/>
  <c r="G35" i="24"/>
  <c r="G19" i="24"/>
  <c r="G17" i="24"/>
  <c r="G26" i="24"/>
  <c r="G12" i="24"/>
  <c r="G24" i="24"/>
  <c r="G22" i="24"/>
  <c r="G11" i="24"/>
  <c r="G13" i="24"/>
  <c r="G28" i="24"/>
  <c r="G40" i="24"/>
  <c r="G25" i="24"/>
  <c r="G31" i="24"/>
  <c r="G30" i="24"/>
  <c r="G15" i="24"/>
  <c r="G9" i="24"/>
  <c r="G34" i="24"/>
  <c r="G27" i="24"/>
  <c r="G23" i="24"/>
  <c r="G10" i="24"/>
  <c r="G18" i="24"/>
  <c r="M41" i="2"/>
  <c r="G19" i="29"/>
  <c r="G20" i="29"/>
  <c r="G9" i="29"/>
  <c r="G21" i="29"/>
  <c r="G13" i="29"/>
  <c r="G15" i="29"/>
  <c r="G17" i="29"/>
  <c r="G10" i="29"/>
  <c r="G11" i="29"/>
  <c r="G12" i="29"/>
  <c r="G14" i="29"/>
  <c r="G16" i="29"/>
  <c r="G18" i="29"/>
  <c r="G13" i="25"/>
  <c r="G14" i="25"/>
  <c r="G15" i="25"/>
  <c r="G16" i="25"/>
  <c r="G17" i="25"/>
  <c r="G10" i="25"/>
  <c r="G11" i="25"/>
  <c r="G9" i="25"/>
  <c r="G12" i="25"/>
  <c r="G38" i="24"/>
  <c r="G14" i="24"/>
  <c r="G33" i="24"/>
  <c r="Q29" i="2"/>
  <c r="Q33" i="2" s="1"/>
  <c r="Q35" i="2" s="1"/>
  <c r="O33" i="2"/>
  <c r="O35" i="2" s="1"/>
  <c r="O37" i="2" s="1"/>
  <c r="H40" i="24" s="1"/>
  <c r="M39" i="2"/>
  <c r="M38" i="2"/>
  <c r="M40" i="2"/>
  <c r="O41" i="2" l="1"/>
  <c r="H20" i="29"/>
  <c r="H9" i="29"/>
  <c r="H21" i="29"/>
  <c r="H10" i="29"/>
  <c r="H16" i="29"/>
  <c r="H18" i="29"/>
  <c r="H11" i="29"/>
  <c r="H12" i="29"/>
  <c r="H13" i="29"/>
  <c r="H14" i="29"/>
  <c r="H15" i="29"/>
  <c r="H17" i="29"/>
  <c r="H19" i="29"/>
  <c r="H10" i="25"/>
  <c r="H11" i="25"/>
  <c r="H12" i="25"/>
  <c r="H13" i="25"/>
  <c r="H14" i="25"/>
  <c r="H15" i="25"/>
  <c r="H17" i="25"/>
  <c r="H9" i="25"/>
  <c r="H16" i="25"/>
  <c r="H30" i="24"/>
  <c r="H23" i="24"/>
  <c r="H33" i="24"/>
  <c r="H27" i="24"/>
  <c r="H28" i="24"/>
  <c r="H35" i="24"/>
  <c r="H39" i="24"/>
  <c r="H10" i="24"/>
  <c r="H17" i="24"/>
  <c r="H9" i="24"/>
  <c r="H21" i="24"/>
  <c r="H25" i="24"/>
  <c r="H12" i="24"/>
  <c r="H14" i="24"/>
  <c r="H34" i="24"/>
  <c r="H13" i="24"/>
  <c r="H19" i="24"/>
  <c r="H15" i="24"/>
  <c r="H29" i="24"/>
  <c r="H18" i="24"/>
  <c r="H31" i="24"/>
  <c r="H36" i="24"/>
  <c r="H16" i="24"/>
  <c r="H11" i="24"/>
  <c r="H37" i="24"/>
  <c r="H20" i="24"/>
  <c r="O38" i="2"/>
  <c r="H38" i="24"/>
  <c r="H32" i="24"/>
  <c r="O39" i="2"/>
  <c r="H22" i="24"/>
  <c r="H26" i="24"/>
  <c r="H24" i="24"/>
  <c r="O40" i="2"/>
  <c r="Q37" i="2"/>
  <c r="I34" i="24" l="1"/>
  <c r="I27" i="24"/>
  <c r="I21" i="24"/>
  <c r="I26" i="24"/>
  <c r="I31" i="24"/>
  <c r="I17" i="24"/>
  <c r="I22" i="24"/>
  <c r="I18" i="24"/>
  <c r="I10" i="24"/>
  <c r="I29" i="24"/>
  <c r="I39" i="24"/>
  <c r="I15" i="24"/>
  <c r="I35" i="24"/>
  <c r="I16" i="24"/>
  <c r="I24" i="24"/>
  <c r="I36" i="24"/>
  <c r="I9" i="24"/>
  <c r="I32" i="24"/>
  <c r="I19" i="24"/>
  <c r="I38" i="24"/>
  <c r="I13" i="24"/>
  <c r="I28" i="24"/>
  <c r="I20" i="24"/>
  <c r="I14" i="24"/>
  <c r="I33" i="24"/>
  <c r="I37" i="24"/>
  <c r="I12" i="24"/>
  <c r="I23" i="24"/>
  <c r="Q41" i="2"/>
  <c r="I9" i="29"/>
  <c r="I21" i="29"/>
  <c r="I10" i="29"/>
  <c r="I11" i="29"/>
  <c r="I17" i="29"/>
  <c r="I18" i="29"/>
  <c r="I19" i="29"/>
  <c r="I12" i="29"/>
  <c r="I13" i="29"/>
  <c r="I14" i="29"/>
  <c r="I15" i="29"/>
  <c r="I16" i="29"/>
  <c r="I20" i="29"/>
  <c r="I9" i="25"/>
  <c r="I10" i="25"/>
  <c r="I13" i="25"/>
  <c r="I14" i="25"/>
  <c r="I15" i="25"/>
  <c r="I17" i="25"/>
  <c r="I11" i="25"/>
  <c r="I12" i="25"/>
  <c r="I16" i="25"/>
  <c r="I11" i="24"/>
  <c r="I25" i="24"/>
  <c r="I30" i="24"/>
  <c r="I40" i="24"/>
  <c r="Q38" i="2"/>
  <c r="Q39" i="2"/>
  <c r="Q40" i="2"/>
  <c r="F23" i="25" l="1"/>
  <c r="H23" i="25" s="1"/>
  <c r="B23" i="25"/>
  <c r="Z89" i="13"/>
  <c r="AA89" i="13" s="1"/>
  <c r="T89" i="13"/>
  <c r="U89" i="13" s="1"/>
  <c r="P89" i="13"/>
  <c r="K89" i="13"/>
  <c r="E89" i="13"/>
  <c r="D89" i="13"/>
  <c r="C89" i="13"/>
  <c r="B89" i="13"/>
  <c r="V89" i="13" l="1"/>
  <c r="W89" i="13" s="1"/>
  <c r="X89" i="13" s="1"/>
  <c r="AB89" i="13"/>
  <c r="AE89" i="13" l="1"/>
  <c r="AC89" i="13"/>
  <c r="AD89" i="13" s="1"/>
  <c r="AF89" i="13" l="1"/>
  <c r="Z137" i="13"/>
  <c r="AA137" i="13" s="1"/>
  <c r="T137" i="13"/>
  <c r="V137" i="13" s="1"/>
  <c r="P137" i="13"/>
  <c r="K137" i="13"/>
  <c r="E137" i="13"/>
  <c r="D137" i="13"/>
  <c r="C137" i="13"/>
  <c r="B137" i="13"/>
  <c r="Z136" i="13"/>
  <c r="AB136" i="13" s="1"/>
  <c r="AC136" i="13" s="1"/>
  <c r="AD136" i="13" s="1"/>
  <c r="T136" i="13"/>
  <c r="U136" i="13" s="1"/>
  <c r="P136" i="13"/>
  <c r="K136" i="13"/>
  <c r="E136" i="13"/>
  <c r="D136" i="13"/>
  <c r="C136" i="13"/>
  <c r="B136" i="13"/>
  <c r="Z135" i="13"/>
  <c r="AA135" i="13" s="1"/>
  <c r="T135" i="13"/>
  <c r="U135" i="13" s="1"/>
  <c r="W135" i="13" s="1"/>
  <c r="X135" i="13" s="1"/>
  <c r="P135" i="13"/>
  <c r="K135" i="13"/>
  <c r="E135" i="13"/>
  <c r="D135" i="13"/>
  <c r="C135" i="13"/>
  <c r="B135" i="13"/>
  <c r="Z134" i="13"/>
  <c r="AA134" i="13" s="1"/>
  <c r="T134" i="13"/>
  <c r="U134" i="13" s="1"/>
  <c r="P134" i="13"/>
  <c r="K134" i="13"/>
  <c r="E134" i="13"/>
  <c r="D134" i="13"/>
  <c r="C134" i="13"/>
  <c r="B134" i="13"/>
  <c r="Z133" i="13"/>
  <c r="AA133" i="13" s="1"/>
  <c r="T133" i="13"/>
  <c r="V133" i="13" s="1"/>
  <c r="P133" i="13"/>
  <c r="K133" i="13"/>
  <c r="E133" i="13"/>
  <c r="D133" i="13"/>
  <c r="C133" i="13"/>
  <c r="B133" i="13"/>
  <c r="Z132" i="13"/>
  <c r="AB132" i="13" s="1"/>
  <c r="T132" i="13"/>
  <c r="U132" i="13" s="1"/>
  <c r="P132" i="13"/>
  <c r="K132" i="13"/>
  <c r="E132" i="13"/>
  <c r="D132" i="13"/>
  <c r="C132" i="13"/>
  <c r="B132" i="13"/>
  <c r="Z131" i="13"/>
  <c r="AB131" i="13" s="1"/>
  <c r="T131" i="13"/>
  <c r="V131" i="13" s="1"/>
  <c r="P131" i="13"/>
  <c r="K131" i="13"/>
  <c r="E131" i="13"/>
  <c r="D131" i="13"/>
  <c r="C131" i="13"/>
  <c r="B131" i="13"/>
  <c r="Z130" i="13"/>
  <c r="AB130" i="13" s="1"/>
  <c r="AC130" i="13" s="1"/>
  <c r="AD130" i="13" s="1"/>
  <c r="T130" i="13"/>
  <c r="V130" i="13" s="1"/>
  <c r="P130" i="13"/>
  <c r="K130" i="13"/>
  <c r="E130" i="13"/>
  <c r="D130" i="13"/>
  <c r="C130" i="13"/>
  <c r="B130" i="13"/>
  <c r="Z129" i="13"/>
  <c r="AB129" i="13" s="1"/>
  <c r="T129" i="13"/>
  <c r="V129" i="13" s="1"/>
  <c r="P129" i="13"/>
  <c r="K129" i="13"/>
  <c r="E129" i="13"/>
  <c r="D129" i="13"/>
  <c r="C129" i="13"/>
  <c r="B129" i="13"/>
  <c r="Z128" i="13"/>
  <c r="AA128" i="13" s="1"/>
  <c r="T128" i="13"/>
  <c r="V128" i="13" s="1"/>
  <c r="P128" i="13"/>
  <c r="K128" i="13"/>
  <c r="E128" i="13"/>
  <c r="D128" i="13"/>
  <c r="C128" i="13"/>
  <c r="B128" i="13"/>
  <c r="Z127" i="13"/>
  <c r="AA127" i="13" s="1"/>
  <c r="T127" i="13"/>
  <c r="U127" i="13" s="1"/>
  <c r="P127" i="13"/>
  <c r="K127" i="13"/>
  <c r="E127" i="13"/>
  <c r="D127" i="13"/>
  <c r="C127" i="13"/>
  <c r="B127" i="13"/>
  <c r="K126" i="13"/>
  <c r="AB135" i="13" l="1"/>
  <c r="AC135" i="13" s="1"/>
  <c r="AD135" i="13" s="1"/>
  <c r="AB134" i="13"/>
  <c r="AC134" i="13" s="1"/>
  <c r="AD134" i="13" s="1"/>
  <c r="V132" i="13"/>
  <c r="W132" i="13" s="1"/>
  <c r="X132" i="13" s="1"/>
  <c r="V127" i="13"/>
  <c r="W127" i="13" s="1"/>
  <c r="X127" i="13" s="1"/>
  <c r="AA136" i="13"/>
  <c r="AB128" i="13"/>
  <c r="AC128" i="13" s="1"/>
  <c r="AD128" i="13" s="1"/>
  <c r="V135" i="13"/>
  <c r="U129" i="13"/>
  <c r="W129" i="13" s="1"/>
  <c r="X129" i="13" s="1"/>
  <c r="AB127" i="13"/>
  <c r="AA130" i="13"/>
  <c r="AB133" i="13"/>
  <c r="AE133" i="13" s="1"/>
  <c r="U133" i="13"/>
  <c r="W133" i="13" s="1"/>
  <c r="X133" i="13" s="1"/>
  <c r="V134" i="13"/>
  <c r="W134" i="13" s="1"/>
  <c r="X134" i="13" s="1"/>
  <c r="AE130" i="13"/>
  <c r="AE129" i="13"/>
  <c r="AC129" i="13"/>
  <c r="AD129" i="13" s="1"/>
  <c r="AC131" i="13"/>
  <c r="AD131" i="13" s="1"/>
  <c r="AE131" i="13"/>
  <c r="AC132" i="13"/>
  <c r="AD132" i="13" s="1"/>
  <c r="U128" i="13"/>
  <c r="W128" i="13" s="1"/>
  <c r="X128" i="13" s="1"/>
  <c r="AA129" i="13"/>
  <c r="U130" i="13"/>
  <c r="W130" i="13" s="1"/>
  <c r="X130" i="13" s="1"/>
  <c r="AA131" i="13"/>
  <c r="U131" i="13"/>
  <c r="W131" i="13" s="1"/>
  <c r="X131" i="13" s="1"/>
  <c r="AA132" i="13"/>
  <c r="V136" i="13"/>
  <c r="AE136" i="13" s="1"/>
  <c r="U137" i="13"/>
  <c r="W137" i="13" s="1"/>
  <c r="X137" i="13" s="1"/>
  <c r="AB137" i="13"/>
  <c r="Z20" i="13"/>
  <c r="AB20" i="13" s="1"/>
  <c r="T20" i="13"/>
  <c r="V20" i="13" s="1"/>
  <c r="P20" i="13"/>
  <c r="K20" i="13"/>
  <c r="E20" i="13"/>
  <c r="D20" i="13"/>
  <c r="C20" i="13"/>
  <c r="B20" i="13"/>
  <c r="Z5" i="13"/>
  <c r="AA5" i="13" s="1"/>
  <c r="T5" i="13"/>
  <c r="V5" i="13" s="1"/>
  <c r="P5" i="13"/>
  <c r="K5" i="13"/>
  <c r="E5" i="13"/>
  <c r="D5" i="13"/>
  <c r="C5" i="13"/>
  <c r="B5" i="13"/>
  <c r="W136" i="13" l="1"/>
  <c r="X136" i="13" s="1"/>
  <c r="AE135" i="13"/>
  <c r="AF134" i="13"/>
  <c r="AE132" i="13"/>
  <c r="AE134" i="13"/>
  <c r="AE127" i="13"/>
  <c r="AC127" i="13"/>
  <c r="AE128" i="13"/>
  <c r="AC133" i="13"/>
  <c r="AD133" i="13" s="1"/>
  <c r="AF135" i="13"/>
  <c r="AF132" i="13"/>
  <c r="AC137" i="13"/>
  <c r="AD137" i="13" s="1"/>
  <c r="AE137" i="13"/>
  <c r="AF131" i="13"/>
  <c r="AF130" i="13"/>
  <c r="AF129" i="13"/>
  <c r="AF128" i="13"/>
  <c r="AC20" i="13"/>
  <c r="AD20" i="13" s="1"/>
  <c r="AE20" i="13"/>
  <c r="U20" i="13"/>
  <c r="W20" i="13" s="1"/>
  <c r="X20" i="13" s="1"/>
  <c r="AA20" i="13"/>
  <c r="U5" i="13"/>
  <c r="W5" i="13" s="1"/>
  <c r="X5" i="13" s="1"/>
  <c r="AB5" i="13"/>
  <c r="AF127" i="13" l="1"/>
  <c r="AD127" i="13"/>
  <c r="AF136" i="13"/>
  <c r="AF133" i="13"/>
  <c r="AF137" i="13"/>
  <c r="AF20" i="13"/>
  <c r="AC5" i="13"/>
  <c r="AD5" i="13" s="1"/>
  <c r="AE5" i="13"/>
  <c r="K9" i="13"/>
  <c r="AF5" i="13" l="1"/>
  <c r="Z107" i="13" l="1"/>
  <c r="AB107" i="13" s="1"/>
  <c r="T107" i="13"/>
  <c r="V107" i="13" s="1"/>
  <c r="P107" i="13"/>
  <c r="K107" i="13"/>
  <c r="E107" i="13"/>
  <c r="D107" i="13"/>
  <c r="C107" i="13"/>
  <c r="B107" i="13"/>
  <c r="Z118" i="13"/>
  <c r="AB118" i="13" s="1"/>
  <c r="T118" i="13"/>
  <c r="V118" i="13" s="1"/>
  <c r="P118" i="13"/>
  <c r="K118" i="13"/>
  <c r="E118" i="13"/>
  <c r="D118" i="13"/>
  <c r="C118" i="13"/>
  <c r="B118" i="13"/>
  <c r="Z101" i="13"/>
  <c r="AB101" i="13" s="1"/>
  <c r="T101" i="13"/>
  <c r="V101" i="13" s="1"/>
  <c r="P101" i="13"/>
  <c r="K101" i="13"/>
  <c r="E101" i="13"/>
  <c r="D101" i="13"/>
  <c r="C101" i="13"/>
  <c r="B101" i="13"/>
  <c r="Z100" i="13"/>
  <c r="AB100" i="13" s="1"/>
  <c r="T100" i="13"/>
  <c r="V100" i="13" s="1"/>
  <c r="P100" i="13"/>
  <c r="K100" i="13"/>
  <c r="E100" i="13"/>
  <c r="D100" i="13"/>
  <c r="C100" i="13"/>
  <c r="B100" i="13"/>
  <c r="Z126" i="13"/>
  <c r="AA126" i="13" s="1"/>
  <c r="T126" i="13"/>
  <c r="P126" i="13"/>
  <c r="E126" i="13"/>
  <c r="D126" i="13"/>
  <c r="C126" i="13"/>
  <c r="B126" i="13"/>
  <c r="Z125" i="13"/>
  <c r="AA125" i="13" s="1"/>
  <c r="T125" i="13"/>
  <c r="V125" i="13" s="1"/>
  <c r="P125" i="13"/>
  <c r="K125" i="13"/>
  <c r="E125" i="13"/>
  <c r="D125" i="13"/>
  <c r="C125" i="13"/>
  <c r="B125" i="13"/>
  <c r="Z124" i="13"/>
  <c r="AB124" i="13" s="1"/>
  <c r="AC124" i="13" s="1"/>
  <c r="AD124" i="13" s="1"/>
  <c r="T124" i="13"/>
  <c r="V124" i="13" s="1"/>
  <c r="P124" i="13"/>
  <c r="K124" i="13"/>
  <c r="E124" i="13"/>
  <c r="D124" i="13"/>
  <c r="C124" i="13"/>
  <c r="B124" i="13"/>
  <c r="Z123" i="13"/>
  <c r="T123" i="13"/>
  <c r="V123" i="13" s="1"/>
  <c r="P123" i="13"/>
  <c r="K123" i="13"/>
  <c r="E123" i="13"/>
  <c r="D123" i="13"/>
  <c r="C123" i="13"/>
  <c r="B123" i="13"/>
  <c r="Z122" i="13"/>
  <c r="AA122" i="13" s="1"/>
  <c r="T122" i="13"/>
  <c r="P122" i="13"/>
  <c r="K122" i="13"/>
  <c r="E122" i="13"/>
  <c r="D122" i="13"/>
  <c r="C122" i="13"/>
  <c r="B122" i="13"/>
  <c r="Z121" i="13"/>
  <c r="AB121" i="13" s="1"/>
  <c r="T121" i="13"/>
  <c r="V121" i="13" s="1"/>
  <c r="P121" i="13"/>
  <c r="K121" i="13"/>
  <c r="E121" i="13"/>
  <c r="D121" i="13"/>
  <c r="C121" i="13"/>
  <c r="B121" i="13"/>
  <c r="Z120" i="13"/>
  <c r="AB120" i="13" s="1"/>
  <c r="AC120" i="13" s="1"/>
  <c r="AD120" i="13" s="1"/>
  <c r="T120" i="13"/>
  <c r="U120" i="13" s="1"/>
  <c r="P120" i="13"/>
  <c r="K120" i="13"/>
  <c r="E120" i="13"/>
  <c r="D120" i="13"/>
  <c r="C120" i="13"/>
  <c r="B120" i="13"/>
  <c r="Z119" i="13"/>
  <c r="AB119" i="13" s="1"/>
  <c r="T119" i="13"/>
  <c r="U119" i="13" s="1"/>
  <c r="P119" i="13"/>
  <c r="K119" i="13"/>
  <c r="E119" i="13"/>
  <c r="D119" i="13"/>
  <c r="C119" i="13"/>
  <c r="B119" i="13"/>
  <c r="Z117" i="13"/>
  <c r="AB117" i="13" s="1"/>
  <c r="T117" i="13"/>
  <c r="V117" i="13" s="1"/>
  <c r="P117" i="13"/>
  <c r="K117" i="13"/>
  <c r="E117" i="13"/>
  <c r="D117" i="13"/>
  <c r="C117" i="13"/>
  <c r="B117" i="13"/>
  <c r="Z116" i="13"/>
  <c r="AA116" i="13" s="1"/>
  <c r="T116" i="13"/>
  <c r="V116" i="13" s="1"/>
  <c r="P116" i="13"/>
  <c r="K116" i="13"/>
  <c r="E116" i="13"/>
  <c r="D116" i="13"/>
  <c r="C116" i="13"/>
  <c r="B116" i="13"/>
  <c r="Z115" i="13"/>
  <c r="AB115" i="13" s="1"/>
  <c r="AC115" i="13" s="1"/>
  <c r="AD115" i="13" s="1"/>
  <c r="T115" i="13"/>
  <c r="U115" i="13" s="1"/>
  <c r="P115" i="13"/>
  <c r="K115" i="13"/>
  <c r="E115" i="13"/>
  <c r="D115" i="13"/>
  <c r="C115" i="13"/>
  <c r="B115" i="13"/>
  <c r="Z114" i="13"/>
  <c r="AB114" i="13" s="1"/>
  <c r="T114" i="13"/>
  <c r="V114" i="13" s="1"/>
  <c r="P114" i="13"/>
  <c r="K114" i="13"/>
  <c r="E114" i="13"/>
  <c r="D114" i="13"/>
  <c r="C114" i="13"/>
  <c r="B114" i="13"/>
  <c r="Z113" i="13"/>
  <c r="AB113" i="13" s="1"/>
  <c r="T113" i="13"/>
  <c r="V113" i="13" s="1"/>
  <c r="P113" i="13"/>
  <c r="K113" i="13"/>
  <c r="E113" i="13"/>
  <c r="D113" i="13"/>
  <c r="C113" i="13"/>
  <c r="B113" i="13"/>
  <c r="Z112" i="13"/>
  <c r="AA112" i="13" s="1"/>
  <c r="T112" i="13"/>
  <c r="V112" i="13" s="1"/>
  <c r="P112" i="13"/>
  <c r="K112" i="13"/>
  <c r="E112" i="13"/>
  <c r="D112" i="13"/>
  <c r="C112" i="13"/>
  <c r="B112" i="13"/>
  <c r="Z111" i="13"/>
  <c r="AB111" i="13" s="1"/>
  <c r="AC111" i="13" s="1"/>
  <c r="AD111" i="13" s="1"/>
  <c r="T111" i="13"/>
  <c r="U111" i="13" s="1"/>
  <c r="P111" i="13"/>
  <c r="K111" i="13"/>
  <c r="E111" i="13"/>
  <c r="D111" i="13"/>
  <c r="C111" i="13"/>
  <c r="B111" i="13"/>
  <c r="Z110" i="13"/>
  <c r="AB110" i="13" s="1"/>
  <c r="T110" i="13"/>
  <c r="V110" i="13" s="1"/>
  <c r="P110" i="13"/>
  <c r="K110" i="13"/>
  <c r="E110" i="13"/>
  <c r="D110" i="13"/>
  <c r="C110" i="13"/>
  <c r="B110" i="13"/>
  <c r="Z109" i="13"/>
  <c r="AB109" i="13" s="1"/>
  <c r="T109" i="13"/>
  <c r="V109" i="13" s="1"/>
  <c r="P109" i="13"/>
  <c r="K109" i="13"/>
  <c r="E109" i="13"/>
  <c r="D109" i="13"/>
  <c r="C109" i="13"/>
  <c r="B109" i="13"/>
  <c r="Z108" i="13"/>
  <c r="AA108" i="13" s="1"/>
  <c r="T108" i="13"/>
  <c r="V108" i="13" s="1"/>
  <c r="P108" i="13"/>
  <c r="K108" i="13"/>
  <c r="E108" i="13"/>
  <c r="D108" i="13"/>
  <c r="C108" i="13"/>
  <c r="B108" i="13"/>
  <c r="Z60" i="13"/>
  <c r="AB60" i="13" s="1"/>
  <c r="T60" i="13"/>
  <c r="V60" i="13" s="1"/>
  <c r="P60" i="13"/>
  <c r="K60" i="13"/>
  <c r="E60" i="13"/>
  <c r="D60" i="13"/>
  <c r="C60" i="13"/>
  <c r="B60" i="13"/>
  <c r="Z59" i="13"/>
  <c r="AA59" i="13" s="1"/>
  <c r="T59" i="13"/>
  <c r="V59" i="13" s="1"/>
  <c r="P59" i="13"/>
  <c r="K59" i="13"/>
  <c r="E59" i="13"/>
  <c r="D59" i="13"/>
  <c r="C59" i="13"/>
  <c r="B59" i="13"/>
  <c r="Z58" i="13"/>
  <c r="AA58" i="13" s="1"/>
  <c r="T58" i="13"/>
  <c r="U58" i="13" s="1"/>
  <c r="P58" i="13"/>
  <c r="K58" i="13"/>
  <c r="E58" i="13"/>
  <c r="D58" i="13"/>
  <c r="C58" i="13"/>
  <c r="B58" i="13"/>
  <c r="Z57" i="13"/>
  <c r="AB57" i="13" s="1"/>
  <c r="T57" i="13"/>
  <c r="V57" i="13" s="1"/>
  <c r="P57" i="13"/>
  <c r="K57" i="13"/>
  <c r="E57" i="13"/>
  <c r="D57" i="13"/>
  <c r="C57" i="13"/>
  <c r="B57" i="13"/>
  <c r="Z61" i="13"/>
  <c r="AB61" i="13" s="1"/>
  <c r="T61" i="13"/>
  <c r="V61" i="13" s="1"/>
  <c r="P61" i="13"/>
  <c r="K61" i="13"/>
  <c r="E61" i="13"/>
  <c r="D61" i="13"/>
  <c r="C61" i="13"/>
  <c r="B61" i="13"/>
  <c r="U125" i="13" l="1"/>
  <c r="W125" i="13" s="1"/>
  <c r="X125" i="13" s="1"/>
  <c r="AA111" i="13"/>
  <c r="U107" i="13"/>
  <c r="W107" i="13" s="1"/>
  <c r="X107" i="13" s="1"/>
  <c r="AC107" i="13"/>
  <c r="AD107" i="13" s="1"/>
  <c r="AE107" i="13"/>
  <c r="AA107" i="13"/>
  <c r="U100" i="13"/>
  <c r="W100" i="13" s="1"/>
  <c r="X100" i="13" s="1"/>
  <c r="U101" i="13"/>
  <c r="W101" i="13" s="1"/>
  <c r="X101" i="13" s="1"/>
  <c r="U118" i="13"/>
  <c r="W118" i="13" s="1"/>
  <c r="X118" i="13" s="1"/>
  <c r="AC118" i="13"/>
  <c r="AD118" i="13" s="1"/>
  <c r="AE118" i="13"/>
  <c r="AA118" i="13"/>
  <c r="V115" i="13"/>
  <c r="W115" i="13" s="1"/>
  <c r="X115" i="13" s="1"/>
  <c r="AB125" i="13"/>
  <c r="AE125" i="13" s="1"/>
  <c r="AB108" i="13"/>
  <c r="AE108" i="13" s="1"/>
  <c r="U110" i="13"/>
  <c r="W110" i="13" s="1"/>
  <c r="X110" i="13" s="1"/>
  <c r="V119" i="13"/>
  <c r="AE119" i="13" s="1"/>
  <c r="AE124" i="13"/>
  <c r="AC101" i="13"/>
  <c r="AD101" i="13" s="1"/>
  <c r="AE101" i="13"/>
  <c r="AA101" i="13"/>
  <c r="AA120" i="13"/>
  <c r="AB116" i="13"/>
  <c r="AE116" i="13" s="1"/>
  <c r="U124" i="13"/>
  <c r="W124" i="13" s="1"/>
  <c r="X124" i="13" s="1"/>
  <c r="AC100" i="13"/>
  <c r="AD100" i="13" s="1"/>
  <c r="AE100" i="13"/>
  <c r="AA100" i="13"/>
  <c r="V111" i="13"/>
  <c r="AE111" i="13" s="1"/>
  <c r="AB112" i="13"/>
  <c r="AC112" i="13" s="1"/>
  <c r="AD112" i="13" s="1"/>
  <c r="U114" i="13"/>
  <c r="W114" i="13" s="1"/>
  <c r="X114" i="13" s="1"/>
  <c r="AA115" i="13"/>
  <c r="V120" i="13"/>
  <c r="AE120" i="13" s="1"/>
  <c r="AB122" i="13"/>
  <c r="AC122" i="13" s="1"/>
  <c r="AD122" i="13" s="1"/>
  <c r="AB126" i="13"/>
  <c r="AC126" i="13" s="1"/>
  <c r="AD126" i="13" s="1"/>
  <c r="U123" i="13"/>
  <c r="W123" i="13" s="1"/>
  <c r="X123" i="13" s="1"/>
  <c r="AA124" i="13"/>
  <c r="AE117" i="13"/>
  <c r="AC117" i="13"/>
  <c r="AD117" i="13" s="1"/>
  <c r="AC121" i="13"/>
  <c r="AD121" i="13" s="1"/>
  <c r="AE121" i="13"/>
  <c r="AC109" i="13"/>
  <c r="AD109" i="13" s="1"/>
  <c r="AE109" i="13"/>
  <c r="AC114" i="13"/>
  <c r="AD114" i="13" s="1"/>
  <c r="AE114" i="13"/>
  <c r="AC110" i="13"/>
  <c r="AD110" i="13" s="1"/>
  <c r="AE110" i="13"/>
  <c r="AC113" i="13"/>
  <c r="AD113" i="13" s="1"/>
  <c r="AE113" i="13"/>
  <c r="AC119" i="13"/>
  <c r="AD119" i="13" s="1"/>
  <c r="U109" i="13"/>
  <c r="W109" i="13" s="1"/>
  <c r="X109" i="13" s="1"/>
  <c r="AA110" i="13"/>
  <c r="AA114" i="13"/>
  <c r="U117" i="13"/>
  <c r="W117" i="13" s="1"/>
  <c r="X117" i="13" s="1"/>
  <c r="AA119" i="13"/>
  <c r="V122" i="13"/>
  <c r="U122" i="13"/>
  <c r="W122" i="13" s="1"/>
  <c r="X122" i="13" s="1"/>
  <c r="V126" i="13"/>
  <c r="U126" i="13"/>
  <c r="U112" i="13"/>
  <c r="W112" i="13" s="1"/>
  <c r="X112" i="13" s="1"/>
  <c r="U116" i="13"/>
  <c r="W116" i="13" s="1"/>
  <c r="X116" i="13" s="1"/>
  <c r="AA117" i="13"/>
  <c r="U121" i="13"/>
  <c r="W121" i="13" s="1"/>
  <c r="X121" i="13" s="1"/>
  <c r="AA121" i="13"/>
  <c r="U113" i="13"/>
  <c r="W113" i="13" s="1"/>
  <c r="X113" i="13" s="1"/>
  <c r="U108" i="13"/>
  <c r="W108" i="13" s="1"/>
  <c r="X108" i="13" s="1"/>
  <c r="AA109" i="13"/>
  <c r="AA113" i="13"/>
  <c r="AB123" i="13"/>
  <c r="AA123" i="13"/>
  <c r="U57" i="13"/>
  <c r="W57" i="13" s="1"/>
  <c r="X57" i="13" s="1"/>
  <c r="U60" i="13"/>
  <c r="W60" i="13" s="1"/>
  <c r="X60" i="13" s="1"/>
  <c r="AB58" i="13"/>
  <c r="AC58" i="13" s="1"/>
  <c r="AD58" i="13" s="1"/>
  <c r="AA57" i="13"/>
  <c r="V58" i="13"/>
  <c r="W58" i="13" s="1"/>
  <c r="X58" i="13" s="1"/>
  <c r="AB59" i="13"/>
  <c r="AC59" i="13" s="1"/>
  <c r="AD59" i="13" s="1"/>
  <c r="AC57" i="13"/>
  <c r="AD57" i="13" s="1"/>
  <c r="AE57" i="13"/>
  <c r="AC60" i="13"/>
  <c r="AD60" i="13" s="1"/>
  <c r="AE60" i="13"/>
  <c r="U59" i="13"/>
  <c r="W59" i="13" s="1"/>
  <c r="X59" i="13" s="1"/>
  <c r="AA60" i="13"/>
  <c r="U61" i="13"/>
  <c r="W61" i="13" s="1"/>
  <c r="X61" i="13" s="1"/>
  <c r="AC61" i="13"/>
  <c r="AD61" i="13" s="1"/>
  <c r="AE61" i="13"/>
  <c r="AA61" i="13"/>
  <c r="Z47" i="13"/>
  <c r="AA47" i="13" s="1"/>
  <c r="T47" i="13"/>
  <c r="V47" i="13" s="1"/>
  <c r="P47" i="13"/>
  <c r="K47" i="13"/>
  <c r="E47" i="13"/>
  <c r="D47" i="13"/>
  <c r="C47" i="13"/>
  <c r="B47" i="13"/>
  <c r="Z46" i="13"/>
  <c r="AB46" i="13" s="1"/>
  <c r="T46" i="13"/>
  <c r="V46" i="13" s="1"/>
  <c r="P46" i="13"/>
  <c r="K46" i="13"/>
  <c r="E46" i="13"/>
  <c r="D46" i="13"/>
  <c r="C46" i="13"/>
  <c r="B46" i="13"/>
  <c r="E29" i="13"/>
  <c r="D29" i="13"/>
  <c r="C29" i="13"/>
  <c r="B29" i="13"/>
  <c r="K29" i="13"/>
  <c r="P29" i="13"/>
  <c r="T29" i="13"/>
  <c r="U29" i="13" s="1"/>
  <c r="T28" i="13"/>
  <c r="Z29" i="13"/>
  <c r="AB29" i="13" s="1"/>
  <c r="AC29" i="13" s="1"/>
  <c r="AD29" i="13" s="1"/>
  <c r="W126" i="13" l="1"/>
  <c r="X126" i="13" s="1"/>
  <c r="W119" i="13"/>
  <c r="W120" i="13"/>
  <c r="X120" i="13" s="1"/>
  <c r="AE115" i="13"/>
  <c r="AF115" i="13"/>
  <c r="W111" i="13"/>
  <c r="X111" i="13" s="1"/>
  <c r="AE126" i="13"/>
  <c r="AC125" i="13"/>
  <c r="AD125" i="13" s="1"/>
  <c r="AE112" i="13"/>
  <c r="AC108" i="13"/>
  <c r="AD108" i="13" s="1"/>
  <c r="AF107" i="13"/>
  <c r="AE122" i="13"/>
  <c r="AF124" i="13"/>
  <c r="AF118" i="13"/>
  <c r="AF122" i="13"/>
  <c r="AF101" i="13"/>
  <c r="AE59" i="13"/>
  <c r="AC116" i="13"/>
  <c r="AF100" i="13"/>
  <c r="AF112" i="13"/>
  <c r="AF110" i="13"/>
  <c r="AF109" i="13"/>
  <c r="AF121" i="13"/>
  <c r="AF113" i="13"/>
  <c r="AF117" i="13"/>
  <c r="AC123" i="13"/>
  <c r="AD123" i="13" s="1"/>
  <c r="AE123" i="13"/>
  <c r="AF114" i="13"/>
  <c r="AE58" i="13"/>
  <c r="AF59" i="13"/>
  <c r="AF58" i="13"/>
  <c r="AF60" i="13"/>
  <c r="AF57" i="13"/>
  <c r="AF61" i="13"/>
  <c r="U47" i="13"/>
  <c r="W47" i="13" s="1"/>
  <c r="X47" i="13" s="1"/>
  <c r="AB47" i="13"/>
  <c r="AA29" i="13"/>
  <c r="AE46" i="13"/>
  <c r="AC46" i="13"/>
  <c r="AD46" i="13" s="1"/>
  <c r="U46" i="13"/>
  <c r="W46" i="13" s="1"/>
  <c r="X46" i="13" s="1"/>
  <c r="AA46" i="13"/>
  <c r="V29" i="13"/>
  <c r="AE29" i="13" s="1"/>
  <c r="AF116" i="13" l="1"/>
  <c r="AD116" i="13"/>
  <c r="AF119" i="13"/>
  <c r="X119" i="13"/>
  <c r="AF126" i="13"/>
  <c r="AF120" i="13"/>
  <c r="W29" i="13"/>
  <c r="X29" i="13" s="1"/>
  <c r="AF125" i="13"/>
  <c r="AF111" i="13"/>
  <c r="AF108" i="13"/>
  <c r="AF123" i="13"/>
  <c r="AC47" i="13"/>
  <c r="AD47" i="13" s="1"/>
  <c r="AE47" i="13"/>
  <c r="AF46" i="13"/>
  <c r="T38" i="13"/>
  <c r="U38" i="13" s="1"/>
  <c r="Z38" i="13"/>
  <c r="T39" i="13"/>
  <c r="Z39" i="13"/>
  <c r="T40" i="13"/>
  <c r="Z40" i="13"/>
  <c r="T41" i="13"/>
  <c r="Z41" i="13"/>
  <c r="AB41" i="13" s="1"/>
  <c r="T42" i="13"/>
  <c r="U42" i="13" s="1"/>
  <c r="Z42" i="13"/>
  <c r="T43" i="13"/>
  <c r="V43" i="13" s="1"/>
  <c r="Z43" i="13"/>
  <c r="AB43" i="13" s="1"/>
  <c r="T44" i="13"/>
  <c r="Z44" i="13"/>
  <c r="T45" i="13"/>
  <c r="Z45" i="13"/>
  <c r="T48" i="13"/>
  <c r="V48" i="13" s="1"/>
  <c r="Z48" i="13"/>
  <c r="T49" i="13"/>
  <c r="Z49" i="13"/>
  <c r="T50" i="13"/>
  <c r="Z50" i="13"/>
  <c r="T51" i="13"/>
  <c r="Z51" i="13"/>
  <c r="AB51" i="13" s="1"/>
  <c r="T52" i="13"/>
  <c r="V52" i="13" s="1"/>
  <c r="Z52" i="13"/>
  <c r="AB52" i="13" s="1"/>
  <c r="AC52" i="13" s="1"/>
  <c r="AD52" i="13" s="1"/>
  <c r="T53" i="13"/>
  <c r="V53" i="13" s="1"/>
  <c r="Z53" i="13"/>
  <c r="T54" i="13"/>
  <c r="Z54" i="13"/>
  <c r="T55" i="13"/>
  <c r="U55" i="13" s="1"/>
  <c r="Z55" i="13"/>
  <c r="T56" i="13"/>
  <c r="Z56" i="13"/>
  <c r="AB56" i="13" s="1"/>
  <c r="T62" i="13"/>
  <c r="Z62" i="13"/>
  <c r="T63" i="13"/>
  <c r="Z63" i="13"/>
  <c r="T64" i="13"/>
  <c r="U64" i="13" s="1"/>
  <c r="W64" i="13" s="1"/>
  <c r="X64" i="13" s="1"/>
  <c r="Z64" i="13"/>
  <c r="AB64" i="13" s="1"/>
  <c r="T65" i="13"/>
  <c r="U65" i="13" s="1"/>
  <c r="Z65" i="13"/>
  <c r="AB65" i="13" s="1"/>
  <c r="AC65" i="13" s="1"/>
  <c r="AD65" i="13" s="1"/>
  <c r="T66" i="13"/>
  <c r="V66" i="13" s="1"/>
  <c r="Z66" i="13"/>
  <c r="T67" i="13"/>
  <c r="Z67" i="13"/>
  <c r="AB67" i="13" s="1"/>
  <c r="AC67" i="13" s="1"/>
  <c r="AD67" i="13" s="1"/>
  <c r="T68" i="13"/>
  <c r="U68" i="13" s="1"/>
  <c r="Z68" i="13"/>
  <c r="AA68" i="13" s="1"/>
  <c r="T69" i="13"/>
  <c r="U69" i="13" s="1"/>
  <c r="Z69" i="13"/>
  <c r="T70" i="13"/>
  <c r="Z70" i="13"/>
  <c r="T71" i="13"/>
  <c r="Z71" i="13"/>
  <c r="AA71" i="13" s="1"/>
  <c r="T72" i="13"/>
  <c r="Z72" i="13"/>
  <c r="AB72" i="13" s="1"/>
  <c r="T73" i="13"/>
  <c r="V73" i="13" s="1"/>
  <c r="Z73" i="13"/>
  <c r="T74" i="13"/>
  <c r="Z74" i="13"/>
  <c r="T75" i="13"/>
  <c r="Z75" i="13"/>
  <c r="AA75" i="13" s="1"/>
  <c r="T76" i="13"/>
  <c r="V76" i="13" s="1"/>
  <c r="Z76" i="13"/>
  <c r="T77" i="13"/>
  <c r="Z77" i="13"/>
  <c r="T78" i="13"/>
  <c r="Z78" i="13"/>
  <c r="AA78" i="13" s="1"/>
  <c r="T79" i="13"/>
  <c r="U79" i="13" s="1"/>
  <c r="Z79" i="13"/>
  <c r="AB79" i="13" s="1"/>
  <c r="AC79" i="13" s="1"/>
  <c r="AD79" i="13" s="1"/>
  <c r="T80" i="13"/>
  <c r="U80" i="13" s="1"/>
  <c r="Z80" i="13"/>
  <c r="AB80" i="13" s="1"/>
  <c r="T81" i="13"/>
  <c r="V81" i="13" s="1"/>
  <c r="Z81" i="13"/>
  <c r="T82" i="13"/>
  <c r="Z82" i="13"/>
  <c r="T83" i="13"/>
  <c r="U83" i="13" s="1"/>
  <c r="Z83" i="13"/>
  <c r="AA83" i="13" s="1"/>
  <c r="T84" i="13"/>
  <c r="Z84" i="13"/>
  <c r="AB84" i="13" s="1"/>
  <c r="T85" i="13"/>
  <c r="U85" i="13" s="1"/>
  <c r="Z85" i="13"/>
  <c r="T86" i="13"/>
  <c r="Z86" i="13"/>
  <c r="T87" i="13"/>
  <c r="Z87" i="13"/>
  <c r="AB87" i="13" s="1"/>
  <c r="AC87" i="13" s="1"/>
  <c r="AD87" i="13" s="1"/>
  <c r="T88" i="13"/>
  <c r="V88" i="13" s="1"/>
  <c r="Z88" i="13"/>
  <c r="T90" i="13"/>
  <c r="Z90" i="13"/>
  <c r="AB90" i="13" s="1"/>
  <c r="AC90" i="13" s="1"/>
  <c r="AD90" i="13" s="1"/>
  <c r="T91" i="13"/>
  <c r="Z91" i="13"/>
  <c r="AA91" i="13" s="1"/>
  <c r="T92" i="13"/>
  <c r="U92" i="13" s="1"/>
  <c r="Z92" i="13"/>
  <c r="T93" i="13"/>
  <c r="Z93" i="13"/>
  <c r="T94" i="13"/>
  <c r="Z94" i="13"/>
  <c r="AA94" i="13" s="1"/>
  <c r="T95" i="13"/>
  <c r="Z95" i="13"/>
  <c r="T96" i="13"/>
  <c r="Z96" i="13"/>
  <c r="T97" i="13"/>
  <c r="Z97" i="13"/>
  <c r="T98" i="13"/>
  <c r="Z98" i="13"/>
  <c r="T99" i="13"/>
  <c r="V99" i="13" s="1"/>
  <c r="Z99" i="13"/>
  <c r="AB99" i="13" s="1"/>
  <c r="T102" i="13"/>
  <c r="V102" i="13" s="1"/>
  <c r="Z102" i="13"/>
  <c r="AB102" i="13" s="1"/>
  <c r="AC102" i="13" s="1"/>
  <c r="AD102" i="13" s="1"/>
  <c r="T103" i="13"/>
  <c r="V103" i="13" s="1"/>
  <c r="Z103" i="13"/>
  <c r="AA103" i="13" s="1"/>
  <c r="T104" i="13"/>
  <c r="U104" i="13" s="1"/>
  <c r="Z104" i="13"/>
  <c r="AB104" i="13" s="1"/>
  <c r="T105" i="13"/>
  <c r="V105" i="13" s="1"/>
  <c r="Z105" i="13"/>
  <c r="T106" i="13"/>
  <c r="V106" i="13" s="1"/>
  <c r="Z106" i="13"/>
  <c r="AB106" i="13" s="1"/>
  <c r="AC106" i="13" s="1"/>
  <c r="AD106" i="13" s="1"/>
  <c r="T7" i="13"/>
  <c r="U7" i="13" s="1"/>
  <c r="Z7" i="13"/>
  <c r="AA7" i="13" s="1"/>
  <c r="T8" i="13"/>
  <c r="Z8" i="13"/>
  <c r="AB8" i="13" s="1"/>
  <c r="AC8" i="13" s="1"/>
  <c r="AD8" i="13" s="1"/>
  <c r="T9" i="13"/>
  <c r="V9" i="13" s="1"/>
  <c r="Z9" i="13"/>
  <c r="T10" i="13"/>
  <c r="Z10" i="13"/>
  <c r="AA10" i="13" s="1"/>
  <c r="T11" i="13"/>
  <c r="U11" i="13" s="1"/>
  <c r="Z11" i="13"/>
  <c r="AA11" i="13" s="1"/>
  <c r="T12" i="13"/>
  <c r="V12" i="13" s="1"/>
  <c r="Z12" i="13"/>
  <c r="AB12" i="13" s="1"/>
  <c r="AC12" i="13" s="1"/>
  <c r="AD12" i="13" s="1"/>
  <c r="T13" i="13"/>
  <c r="V13" i="13" s="1"/>
  <c r="Z13" i="13"/>
  <c r="T14" i="13"/>
  <c r="Z14" i="13"/>
  <c r="AA14" i="13" s="1"/>
  <c r="T15" i="13"/>
  <c r="U15" i="13" s="1"/>
  <c r="Z15" i="13"/>
  <c r="AB15" i="13" s="1"/>
  <c r="AC15" i="13" s="1"/>
  <c r="AD15" i="13" s="1"/>
  <c r="T16" i="13"/>
  <c r="U16" i="13" s="1"/>
  <c r="Z16" i="13"/>
  <c r="T17" i="13"/>
  <c r="Z17" i="13"/>
  <c r="T18" i="13"/>
  <c r="Z18" i="13"/>
  <c r="AA18" i="13" s="1"/>
  <c r="T19" i="13"/>
  <c r="U19" i="13" s="1"/>
  <c r="Z19" i="13"/>
  <c r="AA19" i="13" s="1"/>
  <c r="T21" i="13"/>
  <c r="Z21" i="13"/>
  <c r="T22" i="13"/>
  <c r="V22" i="13" s="1"/>
  <c r="Z22" i="13"/>
  <c r="T23" i="13"/>
  <c r="Z23" i="13"/>
  <c r="AA23" i="13" s="1"/>
  <c r="T24" i="13"/>
  <c r="U24" i="13" s="1"/>
  <c r="Z24" i="13"/>
  <c r="AB24" i="13" s="1"/>
  <c r="AC24" i="13" s="1"/>
  <c r="AD24" i="13" s="1"/>
  <c r="T25" i="13"/>
  <c r="U25" i="13" s="1"/>
  <c r="Z25" i="13"/>
  <c r="AB25" i="13" s="1"/>
  <c r="AC25" i="13" s="1"/>
  <c r="AD25" i="13" s="1"/>
  <c r="T26" i="13"/>
  <c r="V26" i="13" s="1"/>
  <c r="Z26" i="13"/>
  <c r="T27" i="13"/>
  <c r="Z27" i="13"/>
  <c r="AA27" i="13" s="1"/>
  <c r="Z28" i="13"/>
  <c r="AB28" i="13" s="1"/>
  <c r="AC28" i="13" s="1"/>
  <c r="AD28" i="13" s="1"/>
  <c r="T30" i="13"/>
  <c r="U30" i="13" s="1"/>
  <c r="Z30" i="13"/>
  <c r="AB30" i="13" s="1"/>
  <c r="AC30" i="13" s="1"/>
  <c r="AD30" i="13" s="1"/>
  <c r="T31" i="13"/>
  <c r="V31" i="13" s="1"/>
  <c r="Z31" i="13"/>
  <c r="T32" i="13"/>
  <c r="Z32" i="13"/>
  <c r="AA32" i="13" s="1"/>
  <c r="T33" i="13"/>
  <c r="U33" i="13" s="1"/>
  <c r="Z33" i="13"/>
  <c r="AA33" i="13" s="1"/>
  <c r="T34" i="13"/>
  <c r="U34" i="13" s="1"/>
  <c r="Z34" i="13"/>
  <c r="AB34" i="13" s="1"/>
  <c r="AC34" i="13" s="1"/>
  <c r="AD34" i="13" s="1"/>
  <c r="T35" i="13"/>
  <c r="U35" i="13" s="1"/>
  <c r="Z35" i="13"/>
  <c r="AB35" i="13" s="1"/>
  <c r="AC35" i="13" s="1"/>
  <c r="AD35" i="13" s="1"/>
  <c r="T36" i="13"/>
  <c r="V36" i="13" s="1"/>
  <c r="Z36" i="13"/>
  <c r="AA36" i="13" s="1"/>
  <c r="T37" i="13"/>
  <c r="U37" i="13" s="1"/>
  <c r="Z37" i="13"/>
  <c r="AB37" i="13" s="1"/>
  <c r="AC37" i="13" s="1"/>
  <c r="AD37" i="13" s="1"/>
  <c r="AA15" i="13" l="1"/>
  <c r="AF29" i="13"/>
  <c r="AF47" i="13"/>
  <c r="AA64" i="13"/>
  <c r="AB33" i="13"/>
  <c r="AC33" i="13" s="1"/>
  <c r="AD33" i="13" s="1"/>
  <c r="AA35" i="13"/>
  <c r="V34" i="13"/>
  <c r="AE34" i="13" s="1"/>
  <c r="V16" i="13"/>
  <c r="W16" i="13" s="1"/>
  <c r="X16" i="13" s="1"/>
  <c r="AA99" i="13"/>
  <c r="AA67" i="13"/>
  <c r="AB23" i="13"/>
  <c r="AC23" i="13" s="1"/>
  <c r="AD23" i="13" s="1"/>
  <c r="V19" i="13"/>
  <c r="W19" i="13" s="1"/>
  <c r="X19" i="13" s="1"/>
  <c r="AB78" i="13"/>
  <c r="AC78" i="13" s="1"/>
  <c r="AD78" i="13" s="1"/>
  <c r="AB7" i="13"/>
  <c r="AC7" i="13" s="1"/>
  <c r="AD7" i="13" s="1"/>
  <c r="AA24" i="13"/>
  <c r="AB83" i="13"/>
  <c r="AC83" i="13" s="1"/>
  <c r="AD83" i="13" s="1"/>
  <c r="U73" i="13"/>
  <c r="W73" i="13" s="1"/>
  <c r="X73" i="13" s="1"/>
  <c r="AB71" i="13"/>
  <c r="AC71" i="13" s="1"/>
  <c r="AD71" i="13" s="1"/>
  <c r="AA25" i="13"/>
  <c r="U99" i="13"/>
  <c r="W99" i="13" s="1"/>
  <c r="X99" i="13" s="1"/>
  <c r="U76" i="13"/>
  <c r="W76" i="13" s="1"/>
  <c r="X76" i="13" s="1"/>
  <c r="U43" i="13"/>
  <c r="W43" i="13" s="1"/>
  <c r="X43" i="13" s="1"/>
  <c r="AA43" i="13"/>
  <c r="AB32" i="13"/>
  <c r="AC32" i="13" s="1"/>
  <c r="AD32" i="13" s="1"/>
  <c r="U26" i="13"/>
  <c r="W26" i="13" s="1"/>
  <c r="X26" i="13" s="1"/>
  <c r="V25" i="13"/>
  <c r="AE25" i="13" s="1"/>
  <c r="V24" i="13"/>
  <c r="AE24" i="13" s="1"/>
  <c r="AA8" i="13"/>
  <c r="U106" i="13"/>
  <c r="W106" i="13" s="1"/>
  <c r="U105" i="13"/>
  <c r="W105" i="13" s="1"/>
  <c r="X105" i="13" s="1"/>
  <c r="U102" i="13"/>
  <c r="W102" i="13" s="1"/>
  <c r="X102" i="13" s="1"/>
  <c r="V92" i="13"/>
  <c r="W92" i="13" s="1"/>
  <c r="X92" i="13" s="1"/>
  <c r="AA87" i="13"/>
  <c r="AA79" i="13"/>
  <c r="AA72" i="13"/>
  <c r="V68" i="13"/>
  <c r="W68" i="13" s="1"/>
  <c r="X68" i="13" s="1"/>
  <c r="V55" i="13"/>
  <c r="W55" i="13" s="1"/>
  <c r="X55" i="13" s="1"/>
  <c r="U48" i="13"/>
  <c r="W48" i="13" s="1"/>
  <c r="X48" i="13" s="1"/>
  <c r="V42" i="13"/>
  <c r="AE52" i="13"/>
  <c r="AE102" i="13"/>
  <c r="AA51" i="13"/>
  <c r="AB11" i="13"/>
  <c r="AC11" i="13" s="1"/>
  <c r="AD11" i="13" s="1"/>
  <c r="AE106" i="13"/>
  <c r="AB94" i="13"/>
  <c r="AC94" i="13" s="1"/>
  <c r="AD94" i="13" s="1"/>
  <c r="V80" i="13"/>
  <c r="AE80" i="13" s="1"/>
  <c r="V69" i="13"/>
  <c r="W69" i="13" s="1"/>
  <c r="X69" i="13" s="1"/>
  <c r="AB68" i="13"/>
  <c r="V65" i="13"/>
  <c r="AE65" i="13" s="1"/>
  <c r="AA37" i="13"/>
  <c r="AB18" i="13"/>
  <c r="AC18" i="13" s="1"/>
  <c r="AD18" i="13" s="1"/>
  <c r="AB14" i="13"/>
  <c r="AC14" i="13" s="1"/>
  <c r="AD14" i="13" s="1"/>
  <c r="V7" i="13"/>
  <c r="AA106" i="13"/>
  <c r="AB91" i="13"/>
  <c r="AC91" i="13" s="1"/>
  <c r="AD91" i="13" s="1"/>
  <c r="AA90" i="13"/>
  <c r="AA41" i="13"/>
  <c r="V17" i="13"/>
  <c r="U17" i="13"/>
  <c r="U95" i="13"/>
  <c r="V95" i="13"/>
  <c r="U28" i="13"/>
  <c r="V28" i="13"/>
  <c r="AE28" i="13" s="1"/>
  <c r="V90" i="13"/>
  <c r="AE90" i="13" s="1"/>
  <c r="U90" i="13"/>
  <c r="AB76" i="13"/>
  <c r="AA76" i="13"/>
  <c r="AB48" i="13"/>
  <c r="AA48" i="13"/>
  <c r="V44" i="13"/>
  <c r="U44" i="13"/>
  <c r="AA38" i="13"/>
  <c r="AB38" i="13"/>
  <c r="V35" i="13"/>
  <c r="AE35" i="13" s="1"/>
  <c r="V33" i="13"/>
  <c r="W33" i="13" s="1"/>
  <c r="X33" i="13" s="1"/>
  <c r="V30" i="13"/>
  <c r="AE30" i="13" s="1"/>
  <c r="AA28" i="13"/>
  <c r="AB19" i="13"/>
  <c r="U12" i="13"/>
  <c r="W12" i="13" s="1"/>
  <c r="X12" i="13" s="1"/>
  <c r="AC99" i="13"/>
  <c r="AD99" i="13" s="1"/>
  <c r="AE99" i="13"/>
  <c r="V93" i="13"/>
  <c r="U93" i="13"/>
  <c r="AA82" i="13"/>
  <c r="AB82" i="13"/>
  <c r="AC82" i="13" s="1"/>
  <c r="AD82" i="13" s="1"/>
  <c r="V79" i="13"/>
  <c r="AE79" i="13" s="1"/>
  <c r="V74" i="13"/>
  <c r="U74" i="13"/>
  <c r="AA55" i="13"/>
  <c r="AB55" i="13"/>
  <c r="AC55" i="13" s="1"/>
  <c r="AD55" i="13" s="1"/>
  <c r="AC51" i="13"/>
  <c r="AD51" i="13" s="1"/>
  <c r="AB98" i="13"/>
  <c r="AC98" i="13" s="1"/>
  <c r="AD98" i="13" s="1"/>
  <c r="AA98" i="13"/>
  <c r="AC84" i="13"/>
  <c r="AD84" i="13" s="1"/>
  <c r="AA50" i="13"/>
  <c r="AB50" i="13"/>
  <c r="AC50" i="13" s="1"/>
  <c r="AD50" i="13" s="1"/>
  <c r="U96" i="13"/>
  <c r="V96" i="13"/>
  <c r="V37" i="13"/>
  <c r="W37" i="13" s="1"/>
  <c r="X37" i="13" s="1"/>
  <c r="AA34" i="13"/>
  <c r="U21" i="13"/>
  <c r="AB16" i="13"/>
  <c r="AA16" i="13"/>
  <c r="V11" i="13"/>
  <c r="W11" i="13" s="1"/>
  <c r="X11" i="13" s="1"/>
  <c r="U8" i="13"/>
  <c r="V8" i="13"/>
  <c r="AE8" i="13" s="1"/>
  <c r="AA92" i="13"/>
  <c r="AB92" i="13"/>
  <c r="AC92" i="13" s="1"/>
  <c r="AD92" i="13" s="1"/>
  <c r="AA84" i="13"/>
  <c r="AA63" i="13"/>
  <c r="AB63" i="13"/>
  <c r="AC63" i="13" s="1"/>
  <c r="AD63" i="13" s="1"/>
  <c r="AA56" i="13"/>
  <c r="V15" i="13"/>
  <c r="W15" i="13" s="1"/>
  <c r="X15" i="13" s="1"/>
  <c r="AB10" i="13"/>
  <c r="AC10" i="13" s="1"/>
  <c r="AD10" i="13" s="1"/>
  <c r="U9" i="13"/>
  <c r="W9" i="13" s="1"/>
  <c r="X9" i="13" s="1"/>
  <c r="AA104" i="13"/>
  <c r="U88" i="13"/>
  <c r="W88" i="13" s="1"/>
  <c r="X88" i="13" s="1"/>
  <c r="U84" i="13"/>
  <c r="V84" i="13"/>
  <c r="AE84" i="13" s="1"/>
  <c r="V83" i="13"/>
  <c r="W83" i="13" s="1"/>
  <c r="X83" i="13" s="1"/>
  <c r="V77" i="13"/>
  <c r="U77" i="13"/>
  <c r="U72" i="13"/>
  <c r="V72" i="13"/>
  <c r="AE72" i="13" s="1"/>
  <c r="V64" i="13"/>
  <c r="AE64" i="13" s="1"/>
  <c r="U56" i="13"/>
  <c r="V56" i="13"/>
  <c r="AE56" i="13" s="1"/>
  <c r="U52" i="13"/>
  <c r="W52" i="13" s="1"/>
  <c r="U51" i="13"/>
  <c r="V51" i="13"/>
  <c r="AE51" i="13" s="1"/>
  <c r="AA45" i="13"/>
  <c r="AB45" i="13"/>
  <c r="AC45" i="13" s="1"/>
  <c r="AD45" i="13" s="1"/>
  <c r="AA42" i="13"/>
  <c r="AB42" i="13"/>
  <c r="AC42" i="13" s="1"/>
  <c r="AD42" i="13" s="1"/>
  <c r="AA95" i="13"/>
  <c r="AB95" i="13"/>
  <c r="AA86" i="13"/>
  <c r="AB86" i="13"/>
  <c r="AC86" i="13" s="1"/>
  <c r="AD86" i="13" s="1"/>
  <c r="U75" i="13"/>
  <c r="AB73" i="13"/>
  <c r="AA73" i="13"/>
  <c r="AC64" i="13"/>
  <c r="AA54" i="13"/>
  <c r="AB54" i="13"/>
  <c r="AC54" i="13" s="1"/>
  <c r="AD54" i="13" s="1"/>
  <c r="V49" i="13"/>
  <c r="U49" i="13"/>
  <c r="U39" i="13"/>
  <c r="V39" i="13"/>
  <c r="W42" i="13"/>
  <c r="X42" i="13" s="1"/>
  <c r="V38" i="13"/>
  <c r="W38" i="13" s="1"/>
  <c r="X38" i="13" s="1"/>
  <c r="V94" i="13"/>
  <c r="U94" i="13"/>
  <c r="AA105" i="13"/>
  <c r="AB105" i="13"/>
  <c r="V70" i="13"/>
  <c r="U70" i="13"/>
  <c r="AB103" i="13"/>
  <c r="V97" i="13"/>
  <c r="U97" i="13"/>
  <c r="V40" i="13"/>
  <c r="U40" i="13"/>
  <c r="V91" i="13"/>
  <c r="U91" i="13"/>
  <c r="V98" i="13"/>
  <c r="U98" i="13"/>
  <c r="U78" i="13"/>
  <c r="V78" i="13"/>
  <c r="AC104" i="13"/>
  <c r="AD104" i="13" s="1"/>
  <c r="AA85" i="13"/>
  <c r="AC72" i="13"/>
  <c r="AD72" i="13" s="1"/>
  <c r="U103" i="13"/>
  <c r="W103" i="13" s="1"/>
  <c r="X103" i="13" s="1"/>
  <c r="AB96" i="13"/>
  <c r="AA96" i="13"/>
  <c r="AB93" i="13"/>
  <c r="AA93" i="13"/>
  <c r="AB88" i="13"/>
  <c r="AA88" i="13"/>
  <c r="U81" i="13"/>
  <c r="W81" i="13" s="1"/>
  <c r="X81" i="13" s="1"/>
  <c r="AB97" i="13"/>
  <c r="AA97" i="13"/>
  <c r="AA53" i="13"/>
  <c r="AB53" i="13"/>
  <c r="V104" i="13"/>
  <c r="W104" i="13" s="1"/>
  <c r="X104" i="13" s="1"/>
  <c r="AA102" i="13"/>
  <c r="U87" i="13"/>
  <c r="V87" i="13"/>
  <c r="AE87" i="13" s="1"/>
  <c r="U86" i="13"/>
  <c r="V86" i="13"/>
  <c r="AA80" i="13"/>
  <c r="U71" i="13"/>
  <c r="V71" i="13"/>
  <c r="AC80" i="13"/>
  <c r="AD80" i="13" s="1"/>
  <c r="AA77" i="13"/>
  <c r="AB77" i="13"/>
  <c r="AA66" i="13"/>
  <c r="AB66" i="13"/>
  <c r="V62" i="13"/>
  <c r="U62" i="13"/>
  <c r="AA40" i="13"/>
  <c r="AB40" i="13"/>
  <c r="AA70" i="13"/>
  <c r="AB70" i="13"/>
  <c r="U67" i="13"/>
  <c r="V67" i="13"/>
  <c r="AE67" i="13" s="1"/>
  <c r="U54" i="13"/>
  <c r="V54" i="13"/>
  <c r="AC43" i="13"/>
  <c r="AD43" i="13" s="1"/>
  <c r="AE43" i="13"/>
  <c r="AB39" i="13"/>
  <c r="AA39" i="13"/>
  <c r="U82" i="13"/>
  <c r="V82" i="13"/>
  <c r="AA81" i="13"/>
  <c r="AB81" i="13"/>
  <c r="AB69" i="13"/>
  <c r="AA69" i="13"/>
  <c r="AC56" i="13"/>
  <c r="AD56" i="13" s="1"/>
  <c r="AC41" i="13"/>
  <c r="AD41" i="13" s="1"/>
  <c r="U41" i="13"/>
  <c r="V41" i="13"/>
  <c r="AE41" i="13" s="1"/>
  <c r="U66" i="13"/>
  <c r="W66" i="13" s="1"/>
  <c r="X66" i="13" s="1"/>
  <c r="AA65" i="13"/>
  <c r="U63" i="13"/>
  <c r="V63" i="13"/>
  <c r="AA62" i="13"/>
  <c r="AB62" i="13"/>
  <c r="U53" i="13"/>
  <c r="W53" i="13" s="1"/>
  <c r="X53" i="13" s="1"/>
  <c r="AA52" i="13"/>
  <c r="U45" i="13"/>
  <c r="V45" i="13"/>
  <c r="AA44" i="13"/>
  <c r="AB44" i="13"/>
  <c r="AA74" i="13"/>
  <c r="AB74" i="13"/>
  <c r="U50" i="13"/>
  <c r="V50" i="13"/>
  <c r="AA49" i="13"/>
  <c r="AB49" i="13"/>
  <c r="AA9" i="13"/>
  <c r="AB9" i="13"/>
  <c r="U32" i="13"/>
  <c r="W32" i="13" s="1"/>
  <c r="X32" i="13" s="1"/>
  <c r="V32" i="13"/>
  <c r="AA31" i="13"/>
  <c r="AB31" i="13"/>
  <c r="AA22" i="13"/>
  <c r="AB22" i="13"/>
  <c r="AA13" i="13"/>
  <c r="AB13" i="13"/>
  <c r="W30" i="13"/>
  <c r="X30" i="13" s="1"/>
  <c r="U10" i="13"/>
  <c r="V10" i="13"/>
  <c r="U23" i="13"/>
  <c r="V23" i="13"/>
  <c r="U14" i="13"/>
  <c r="V14" i="13"/>
  <c r="AE12" i="13"/>
  <c r="AB36" i="13"/>
  <c r="U36" i="13"/>
  <c r="W36" i="13" s="1"/>
  <c r="X36" i="13" s="1"/>
  <c r="U31" i="13"/>
  <c r="W31" i="13" s="1"/>
  <c r="X31" i="13" s="1"/>
  <c r="AA30" i="13"/>
  <c r="U27" i="13"/>
  <c r="AA26" i="13"/>
  <c r="AB26" i="13"/>
  <c r="U22" i="13"/>
  <c r="W22" i="13" s="1"/>
  <c r="X22" i="13" s="1"/>
  <c r="AA21" i="13"/>
  <c r="U18" i="13"/>
  <c r="V18" i="13"/>
  <c r="AA17" i="13"/>
  <c r="AB17" i="13"/>
  <c r="U13" i="13"/>
  <c r="W13" i="13" s="1"/>
  <c r="X13" i="13" s="1"/>
  <c r="AA12" i="13"/>
  <c r="E94" i="13"/>
  <c r="D94" i="13"/>
  <c r="C94" i="13"/>
  <c r="B94" i="13"/>
  <c r="K94" i="13"/>
  <c r="P94" i="13"/>
  <c r="K103" i="13"/>
  <c r="AF52" i="13" l="1"/>
  <c r="X52" i="13"/>
  <c r="AF64" i="13"/>
  <c r="AD64" i="13"/>
  <c r="AF106" i="13"/>
  <c r="X106" i="13"/>
  <c r="W34" i="13"/>
  <c r="W8" i="13"/>
  <c r="W78" i="13"/>
  <c r="X78" i="13" s="1"/>
  <c r="W67" i="13"/>
  <c r="X67" i="13" s="1"/>
  <c r="W79" i="13"/>
  <c r="W24" i="13"/>
  <c r="W80" i="13"/>
  <c r="W40" i="13"/>
  <c r="X40" i="13" s="1"/>
  <c r="AE45" i="13"/>
  <c r="AF33" i="13"/>
  <c r="W65" i="13"/>
  <c r="AE83" i="13"/>
  <c r="W35" i="13"/>
  <c r="AE7" i="13"/>
  <c r="AE50" i="13"/>
  <c r="AE23" i="13"/>
  <c r="W49" i="13"/>
  <c r="X49" i="13" s="1"/>
  <c r="AE98" i="13"/>
  <c r="W74" i="13"/>
  <c r="X74" i="13" s="1"/>
  <c r="AE18" i="13"/>
  <c r="W97" i="13"/>
  <c r="X97" i="13" s="1"/>
  <c r="W39" i="13"/>
  <c r="X39" i="13" s="1"/>
  <c r="W84" i="13"/>
  <c r="W90" i="13"/>
  <c r="W17" i="13"/>
  <c r="X17" i="13" s="1"/>
  <c r="W25" i="13"/>
  <c r="AE33" i="13"/>
  <c r="W96" i="13"/>
  <c r="X96" i="13" s="1"/>
  <c r="W7" i="13"/>
  <c r="AE54" i="13"/>
  <c r="AE78" i="13"/>
  <c r="AF32" i="13"/>
  <c r="AE63" i="13"/>
  <c r="AE71" i="13"/>
  <c r="AE10" i="13"/>
  <c r="AE14" i="13"/>
  <c r="AE94" i="13"/>
  <c r="AE86" i="13"/>
  <c r="AE91" i="13"/>
  <c r="AF42" i="13"/>
  <c r="AE37" i="13"/>
  <c r="AE32" i="13"/>
  <c r="AE55" i="13"/>
  <c r="AE92" i="13"/>
  <c r="AE11" i="13"/>
  <c r="AC68" i="13"/>
  <c r="AE68" i="13"/>
  <c r="AF99" i="13"/>
  <c r="AF15" i="13"/>
  <c r="AF37" i="13"/>
  <c r="AF12" i="13"/>
  <c r="AC95" i="13"/>
  <c r="AD95" i="13" s="1"/>
  <c r="AE95" i="13"/>
  <c r="AF11" i="13"/>
  <c r="AC38" i="13"/>
  <c r="AD38" i="13" s="1"/>
  <c r="AE38" i="13"/>
  <c r="AC76" i="13"/>
  <c r="AD76" i="13" s="1"/>
  <c r="AE76" i="13"/>
  <c r="W95" i="13"/>
  <c r="X95" i="13" s="1"/>
  <c r="AE15" i="13"/>
  <c r="W18" i="13"/>
  <c r="W10" i="13"/>
  <c r="X10" i="13" s="1"/>
  <c r="AE42" i="13"/>
  <c r="W63" i="13"/>
  <c r="W41" i="13"/>
  <c r="X41" i="13" s="1"/>
  <c r="AE82" i="13"/>
  <c r="AE104" i="13"/>
  <c r="W51" i="13"/>
  <c r="X51" i="13" s="1"/>
  <c r="W72" i="13"/>
  <c r="X72" i="13" s="1"/>
  <c r="AF55" i="13"/>
  <c r="AC19" i="13"/>
  <c r="AD19" i="13" s="1"/>
  <c r="AE19" i="13"/>
  <c r="AC48" i="13"/>
  <c r="AD48" i="13" s="1"/>
  <c r="AE48" i="13"/>
  <c r="W28" i="13"/>
  <c r="X28" i="13" s="1"/>
  <c r="W14" i="13"/>
  <c r="W87" i="13"/>
  <c r="W56" i="13"/>
  <c r="X56" i="13" s="1"/>
  <c r="AC16" i="13"/>
  <c r="AD16" i="13" s="1"/>
  <c r="AE16" i="13"/>
  <c r="W62" i="13"/>
  <c r="X62" i="13" s="1"/>
  <c r="W91" i="13"/>
  <c r="AF102" i="13"/>
  <c r="AC73" i="13"/>
  <c r="AD73" i="13" s="1"/>
  <c r="AE73" i="13"/>
  <c r="W77" i="13"/>
  <c r="X77" i="13" s="1"/>
  <c r="W93" i="13"/>
  <c r="X93" i="13" s="1"/>
  <c r="W44" i="13"/>
  <c r="X44" i="13" s="1"/>
  <c r="AE44" i="13"/>
  <c r="AC44" i="13"/>
  <c r="AD44" i="13" s="1"/>
  <c r="AF92" i="13"/>
  <c r="AE93" i="13"/>
  <c r="AC93" i="13"/>
  <c r="AD93" i="13" s="1"/>
  <c r="AF83" i="13"/>
  <c r="W50" i="13"/>
  <c r="X50" i="13" s="1"/>
  <c r="AC69" i="13"/>
  <c r="AD69" i="13" s="1"/>
  <c r="AE69" i="13"/>
  <c r="AE49" i="13"/>
  <c r="AC49" i="13"/>
  <c r="AD49" i="13" s="1"/>
  <c r="AC74" i="13"/>
  <c r="AD74" i="13" s="1"/>
  <c r="AE74" i="13"/>
  <c r="W45" i="13"/>
  <c r="X45" i="13" s="1"/>
  <c r="W82" i="13"/>
  <c r="X82" i="13" s="1"/>
  <c r="AC39" i="13"/>
  <c r="AD39" i="13" s="1"/>
  <c r="AE39" i="13"/>
  <c r="AE70" i="13"/>
  <c r="AC70" i="13"/>
  <c r="AD70" i="13" s="1"/>
  <c r="W71" i="13"/>
  <c r="X71" i="13" s="1"/>
  <c r="AE97" i="13"/>
  <c r="AC97" i="13"/>
  <c r="AD97" i="13" s="1"/>
  <c r="AC96" i="13"/>
  <c r="AD96" i="13" s="1"/>
  <c r="AE96" i="13"/>
  <c r="AF104" i="13"/>
  <c r="W98" i="13"/>
  <c r="X98" i="13" s="1"/>
  <c r="W70" i="13"/>
  <c r="X70" i="13" s="1"/>
  <c r="W94" i="13"/>
  <c r="AE81" i="13"/>
  <c r="AC81" i="13"/>
  <c r="AD81" i="13" s="1"/>
  <c r="AE40" i="13"/>
  <c r="AC40" i="13"/>
  <c r="AD40" i="13" s="1"/>
  <c r="AE66" i="13"/>
  <c r="AC66" i="13"/>
  <c r="AD66" i="13" s="1"/>
  <c r="AE77" i="13"/>
  <c r="AC77" i="13"/>
  <c r="AD77" i="13" s="1"/>
  <c r="AC88" i="13"/>
  <c r="AD88" i="13" s="1"/>
  <c r="AE88" i="13"/>
  <c r="AE62" i="13"/>
  <c r="AC62" i="13"/>
  <c r="AD62" i="13" s="1"/>
  <c r="AF43" i="13"/>
  <c r="AE103" i="13"/>
  <c r="D8" i="19" s="1"/>
  <c r="AC103" i="13"/>
  <c r="AD103" i="13" s="1"/>
  <c r="W54" i="13"/>
  <c r="X54" i="13" s="1"/>
  <c r="W86" i="13"/>
  <c r="AE53" i="13"/>
  <c r="AC53" i="13"/>
  <c r="AD53" i="13" s="1"/>
  <c r="AC105" i="13"/>
  <c r="AD105" i="13" s="1"/>
  <c r="AE105" i="13"/>
  <c r="AE36" i="13"/>
  <c r="AC36" i="13"/>
  <c r="AD36" i="13" s="1"/>
  <c r="AE26" i="13"/>
  <c r="AC26" i="13"/>
  <c r="AD26" i="13" s="1"/>
  <c r="W23" i="13"/>
  <c r="X23" i="13" s="1"/>
  <c r="AE13" i="13"/>
  <c r="AC13" i="13"/>
  <c r="AD13" i="13" s="1"/>
  <c r="AE22" i="13"/>
  <c r="AC22" i="13"/>
  <c r="AD22" i="13" s="1"/>
  <c r="AE31" i="13"/>
  <c r="AC31" i="13"/>
  <c r="AD31" i="13" s="1"/>
  <c r="AF30" i="13"/>
  <c r="AE17" i="13"/>
  <c r="AC17" i="13"/>
  <c r="AD17" i="13" s="1"/>
  <c r="AE9" i="13"/>
  <c r="AC9" i="13"/>
  <c r="AD9" i="13" s="1"/>
  <c r="P30" i="13"/>
  <c r="K30" i="13"/>
  <c r="E30" i="13"/>
  <c r="D30" i="13"/>
  <c r="C30" i="13"/>
  <c r="B30" i="13"/>
  <c r="P28" i="13"/>
  <c r="K28" i="13"/>
  <c r="E28" i="13"/>
  <c r="D28" i="13"/>
  <c r="C28" i="13"/>
  <c r="B28" i="13"/>
  <c r="P95" i="13"/>
  <c r="K95" i="13"/>
  <c r="E95" i="13"/>
  <c r="D95" i="13"/>
  <c r="C95" i="13"/>
  <c r="B95" i="13"/>
  <c r="P82" i="13"/>
  <c r="K82" i="13"/>
  <c r="E82" i="13"/>
  <c r="D82" i="13"/>
  <c r="C82" i="13"/>
  <c r="B82" i="13"/>
  <c r="AF78" i="13" l="1"/>
  <c r="AF67" i="13"/>
  <c r="AF18" i="13"/>
  <c r="X18" i="13"/>
  <c r="AF80" i="13"/>
  <c r="X80" i="13"/>
  <c r="AF8" i="13"/>
  <c r="X8" i="13"/>
  <c r="AF86" i="13"/>
  <c r="X86" i="13"/>
  <c r="AF7" i="13"/>
  <c r="X7" i="13"/>
  <c r="AF34" i="13"/>
  <c r="X34" i="13"/>
  <c r="AF68" i="13"/>
  <c r="AD68" i="13"/>
  <c r="AF25" i="13"/>
  <c r="X25" i="13"/>
  <c r="AF84" i="13"/>
  <c r="X84" i="13"/>
  <c r="AF24" i="13"/>
  <c r="X24" i="13"/>
  <c r="AF91" i="13"/>
  <c r="X91" i="13"/>
  <c r="AF87" i="13"/>
  <c r="X87" i="13"/>
  <c r="AF63" i="13"/>
  <c r="X63" i="13"/>
  <c r="AF35" i="13"/>
  <c r="X35" i="13"/>
  <c r="AF65" i="13"/>
  <c r="X65" i="13"/>
  <c r="AF79" i="13"/>
  <c r="X79" i="13"/>
  <c r="AF94" i="13"/>
  <c r="X94" i="13"/>
  <c r="AF14" i="13"/>
  <c r="X14" i="13"/>
  <c r="AF90" i="13"/>
  <c r="X90" i="13"/>
  <c r="AF95" i="13"/>
  <c r="AF73" i="13"/>
  <c r="AF19" i="13"/>
  <c r="AF10" i="13"/>
  <c r="AF41" i="13"/>
  <c r="AF51" i="13"/>
  <c r="AF76" i="13"/>
  <c r="AF38" i="13"/>
  <c r="AF56" i="13"/>
  <c r="AF72" i="13"/>
  <c r="AF16" i="13"/>
  <c r="AF28" i="13"/>
  <c r="AF48" i="13"/>
  <c r="AF103" i="13"/>
  <c r="E8" i="19" s="1"/>
  <c r="F8" i="19" s="1"/>
  <c r="AF74" i="13"/>
  <c r="AF77" i="13"/>
  <c r="AF40" i="13"/>
  <c r="AF49" i="13"/>
  <c r="AF98" i="13"/>
  <c r="AF44" i="13"/>
  <c r="AF88" i="13"/>
  <c r="AF105" i="13"/>
  <c r="AF62" i="13"/>
  <c r="AF54" i="13"/>
  <c r="AF66" i="13"/>
  <c r="AF81" i="13"/>
  <c r="AF96" i="13"/>
  <c r="AF97" i="13"/>
  <c r="AF70" i="13"/>
  <c r="AF82" i="13"/>
  <c r="AF50" i="13"/>
  <c r="AF93" i="13"/>
  <c r="AF53" i="13"/>
  <c r="AF71" i="13"/>
  <c r="AF39" i="13"/>
  <c r="AF45" i="13"/>
  <c r="AF69" i="13"/>
  <c r="AF31" i="13"/>
  <c r="AF13" i="13"/>
  <c r="AF26" i="13"/>
  <c r="AF9" i="13"/>
  <c r="AF22" i="13"/>
  <c r="AF17" i="13"/>
  <c r="AF23" i="13"/>
  <c r="AF36" i="13"/>
  <c r="AB27" i="13" l="1"/>
  <c r="V27" i="13"/>
  <c r="W27" i="13" s="1"/>
  <c r="X27" i="13" s="1"/>
  <c r="AB75" i="13"/>
  <c r="V75" i="13"/>
  <c r="W75" i="13" s="1"/>
  <c r="X75" i="13" s="1"/>
  <c r="AB85" i="13"/>
  <c r="V85" i="13"/>
  <c r="W85" i="13" s="1"/>
  <c r="X85" i="13" s="1"/>
  <c r="AB21" i="13"/>
  <c r="V21" i="13"/>
  <c r="W21" i="13" s="1"/>
  <c r="X21" i="13" s="1"/>
  <c r="AC21" i="13" l="1"/>
  <c r="AD21" i="13" s="1"/>
  <c r="AE21" i="13"/>
  <c r="AC75" i="13"/>
  <c r="AD75" i="13" s="1"/>
  <c r="AE75" i="13"/>
  <c r="AC85" i="13"/>
  <c r="AD85" i="13" s="1"/>
  <c r="AE85" i="13"/>
  <c r="AC27" i="13"/>
  <c r="AD27" i="13" s="1"/>
  <c r="AE27" i="13"/>
  <c r="F21" i="25"/>
  <c r="F22" i="25"/>
  <c r="F24" i="25"/>
  <c r="AF27" i="13" l="1"/>
  <c r="AF21" i="13"/>
  <c r="AF85" i="13"/>
  <c r="AF7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1" i="13"/>
  <c r="E22" i="13"/>
  <c r="E23" i="13"/>
  <c r="E24" i="13"/>
  <c r="E25" i="13"/>
  <c r="E26" i="13"/>
  <c r="E27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8" i="13"/>
  <c r="E49" i="13"/>
  <c r="E50" i="13"/>
  <c r="E51" i="13"/>
  <c r="E52" i="13"/>
  <c r="E53" i="13"/>
  <c r="E54" i="13"/>
  <c r="E55" i="13"/>
  <c r="E56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3" i="13"/>
  <c r="E84" i="13"/>
  <c r="E85" i="13"/>
  <c r="E86" i="13"/>
  <c r="E87" i="13"/>
  <c r="E88" i="13"/>
  <c r="E90" i="13"/>
  <c r="E91" i="13"/>
  <c r="E92" i="13"/>
  <c r="E93" i="13"/>
  <c r="E96" i="13"/>
  <c r="E97" i="13"/>
  <c r="E98" i="13"/>
  <c r="E99" i="13"/>
  <c r="E102" i="13"/>
  <c r="E103" i="13"/>
  <c r="E104" i="13"/>
  <c r="E105" i="13"/>
  <c r="E106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1" i="13"/>
  <c r="D22" i="13"/>
  <c r="D23" i="13"/>
  <c r="D24" i="13"/>
  <c r="D25" i="13"/>
  <c r="D26" i="13"/>
  <c r="D27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8" i="13"/>
  <c r="D49" i="13"/>
  <c r="D50" i="13"/>
  <c r="D51" i="13"/>
  <c r="D52" i="13"/>
  <c r="D53" i="13"/>
  <c r="D54" i="13"/>
  <c r="D55" i="13"/>
  <c r="D56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3" i="13"/>
  <c r="D84" i="13"/>
  <c r="D85" i="13"/>
  <c r="D86" i="13"/>
  <c r="D87" i="13"/>
  <c r="D88" i="13"/>
  <c r="D90" i="13"/>
  <c r="D91" i="13"/>
  <c r="D92" i="13"/>
  <c r="D93" i="13"/>
  <c r="D96" i="13"/>
  <c r="D97" i="13"/>
  <c r="D98" i="13"/>
  <c r="D99" i="13"/>
  <c r="D102" i="13"/>
  <c r="D103" i="13"/>
  <c r="D104" i="13"/>
  <c r="D105" i="13"/>
  <c r="D106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1" i="13"/>
  <c r="C22" i="13"/>
  <c r="C23" i="13"/>
  <c r="C24" i="13"/>
  <c r="C25" i="13"/>
  <c r="C26" i="13"/>
  <c r="C27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8" i="13"/>
  <c r="C49" i="13"/>
  <c r="C50" i="13"/>
  <c r="C51" i="13"/>
  <c r="C52" i="13"/>
  <c r="C53" i="13"/>
  <c r="C54" i="13"/>
  <c r="C55" i="13"/>
  <c r="C56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3" i="13"/>
  <c r="C84" i="13"/>
  <c r="C85" i="13"/>
  <c r="C86" i="13"/>
  <c r="C87" i="13"/>
  <c r="C88" i="13"/>
  <c r="C90" i="13"/>
  <c r="C91" i="13"/>
  <c r="C92" i="13"/>
  <c r="C93" i="13"/>
  <c r="C96" i="13"/>
  <c r="C97" i="13"/>
  <c r="C98" i="13"/>
  <c r="C99" i="13"/>
  <c r="C102" i="13"/>
  <c r="C103" i="13"/>
  <c r="C104" i="13"/>
  <c r="C105" i="13"/>
  <c r="C106" i="13"/>
  <c r="B13" i="19" l="1"/>
  <c r="T6" i="13" l="1"/>
  <c r="B24" i="25"/>
  <c r="B22" i="25"/>
  <c r="B21" i="25"/>
  <c r="C7" i="19"/>
  <c r="P6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1" i="13"/>
  <c r="P22" i="13"/>
  <c r="P23" i="13"/>
  <c r="P24" i="13"/>
  <c r="P25" i="13"/>
  <c r="P26" i="13"/>
  <c r="P27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8" i="13"/>
  <c r="P49" i="13"/>
  <c r="P50" i="13"/>
  <c r="P51" i="13"/>
  <c r="P52" i="13"/>
  <c r="P53" i="13"/>
  <c r="P54" i="13"/>
  <c r="P55" i="13"/>
  <c r="P56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3" i="13"/>
  <c r="P84" i="13"/>
  <c r="P85" i="13"/>
  <c r="P86" i="13"/>
  <c r="P87" i="13"/>
  <c r="P88" i="13"/>
  <c r="P90" i="13"/>
  <c r="P91" i="13"/>
  <c r="P92" i="13"/>
  <c r="P93" i="13"/>
  <c r="P96" i="13"/>
  <c r="P97" i="13"/>
  <c r="P98" i="13"/>
  <c r="P99" i="13"/>
  <c r="P102" i="13"/>
  <c r="P103" i="13"/>
  <c r="P104" i="13"/>
  <c r="P105" i="13"/>
  <c r="P106" i="13"/>
  <c r="K25" i="13"/>
  <c r="K26" i="13"/>
  <c r="K27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8" i="13"/>
  <c r="K49" i="13"/>
  <c r="K50" i="13"/>
  <c r="K51" i="13"/>
  <c r="K52" i="13"/>
  <c r="K53" i="13"/>
  <c r="K54" i="13"/>
  <c r="K55" i="13"/>
  <c r="K56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3" i="13"/>
  <c r="K84" i="13"/>
  <c r="K85" i="13"/>
  <c r="K86" i="13"/>
  <c r="K87" i="13"/>
  <c r="K88" i="13"/>
  <c r="K90" i="13"/>
  <c r="K91" i="13"/>
  <c r="K92" i="13"/>
  <c r="K93" i="13"/>
  <c r="K96" i="13"/>
  <c r="K97" i="13"/>
  <c r="K98" i="13"/>
  <c r="K99" i="13"/>
  <c r="K102" i="13"/>
  <c r="K104" i="13"/>
  <c r="K105" i="13"/>
  <c r="K106" i="13"/>
  <c r="B7" i="19" l="1"/>
  <c r="H21" i="25"/>
  <c r="H22" i="25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1" i="13"/>
  <c r="B22" i="13"/>
  <c r="B23" i="13"/>
  <c r="B24" i="13"/>
  <c r="B25" i="13"/>
  <c r="B26" i="13"/>
  <c r="B27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8" i="13"/>
  <c r="B49" i="13"/>
  <c r="B50" i="13"/>
  <c r="B51" i="13"/>
  <c r="B52" i="13"/>
  <c r="B53" i="13"/>
  <c r="B54" i="13"/>
  <c r="B55" i="13"/>
  <c r="B56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3" i="13"/>
  <c r="B84" i="13"/>
  <c r="B85" i="13"/>
  <c r="B86" i="13"/>
  <c r="B87" i="13"/>
  <c r="B88" i="13"/>
  <c r="B90" i="13"/>
  <c r="B91" i="13"/>
  <c r="B92" i="13"/>
  <c r="B93" i="13"/>
  <c r="B96" i="13"/>
  <c r="B97" i="13"/>
  <c r="B98" i="13"/>
  <c r="B99" i="13"/>
  <c r="B102" i="13"/>
  <c r="B103" i="13"/>
  <c r="B104" i="13"/>
  <c r="B105" i="13"/>
  <c r="B106" i="13"/>
  <c r="B6" i="13"/>
  <c r="B27" i="29" l="1"/>
  <c r="B28" i="29"/>
  <c r="B25" i="29"/>
  <c r="B24" i="29"/>
  <c r="B26" i="29"/>
  <c r="D13" i="19"/>
  <c r="H32" i="25"/>
  <c r="D15" i="19" l="1"/>
  <c r="Z6" i="13"/>
  <c r="AA6" i="13" s="1"/>
  <c r="K7" i="13"/>
  <c r="K8" i="13"/>
  <c r="K10" i="13"/>
  <c r="K11" i="13"/>
  <c r="K12" i="13"/>
  <c r="K13" i="13"/>
  <c r="K14" i="13"/>
  <c r="K15" i="13"/>
  <c r="K16" i="13"/>
  <c r="K17" i="13"/>
  <c r="K18" i="13"/>
  <c r="K19" i="13"/>
  <c r="K21" i="13"/>
  <c r="K22" i="13"/>
  <c r="K23" i="13"/>
  <c r="K24" i="13"/>
  <c r="K6" i="13"/>
  <c r="C9" i="19" l="1"/>
  <c r="AB6" i="13"/>
  <c r="AC6" i="13" l="1"/>
  <c r="AD6" i="13" s="1"/>
  <c r="AG98" i="13" l="1"/>
  <c r="AG95" i="13"/>
  <c r="AG56" i="13"/>
  <c r="AG19" i="13"/>
  <c r="AG48" i="13"/>
  <c r="AG96" i="13"/>
  <c r="AG120" i="13"/>
  <c r="AG126" i="13"/>
  <c r="AG29" i="13"/>
  <c r="AG28" i="13"/>
  <c r="AG85" i="13"/>
  <c r="AG27" i="13"/>
  <c r="AG77" i="13"/>
  <c r="AG49" i="13"/>
  <c r="AG11" i="13"/>
  <c r="AG72" i="13"/>
  <c r="AG71" i="13"/>
  <c r="AG8" i="13"/>
  <c r="AG12" i="13"/>
  <c r="AG68" i="13"/>
  <c r="AG64" i="13"/>
  <c r="AG67" i="13"/>
  <c r="AG87" i="13"/>
  <c r="AG63" i="13"/>
  <c r="AG82" i="13"/>
  <c r="AG50" i="13"/>
  <c r="AG7" i="13"/>
  <c r="AG94" i="13"/>
  <c r="AG41" i="13"/>
  <c r="AG91" i="13"/>
  <c r="AG51" i="13"/>
  <c r="AG42" i="13"/>
  <c r="AG97" i="13"/>
  <c r="AG62" i="13"/>
  <c r="AG76" i="13"/>
  <c r="AG93" i="13"/>
  <c r="AG36" i="13"/>
  <c r="AG74" i="13"/>
  <c r="AG16" i="13"/>
  <c r="AG38" i="13"/>
  <c r="AG70" i="13"/>
  <c r="AG39" i="13"/>
  <c r="AG33" i="13"/>
  <c r="AG14" i="13"/>
  <c r="AG106" i="13"/>
  <c r="AG23" i="13"/>
  <c r="AG52" i="13"/>
  <c r="F13" i="19"/>
  <c r="F15" i="19" s="1"/>
  <c r="AG17" i="13"/>
  <c r="AG21" i="13"/>
  <c r="AG24" i="13"/>
  <c r="V6" i="13"/>
  <c r="AE6" i="13" s="1"/>
  <c r="U6" i="13"/>
  <c r="AG73" i="13" l="1"/>
  <c r="AG15" i="13"/>
  <c r="AG44" i="13"/>
  <c r="AG65" i="13"/>
  <c r="AG83" i="13"/>
  <c r="AG31" i="13"/>
  <c r="AG18" i="13"/>
  <c r="AG104" i="13"/>
  <c r="AG75" i="13"/>
  <c r="AG32" i="13"/>
  <c r="AG88" i="13"/>
  <c r="AG66" i="13"/>
  <c r="AG37" i="13"/>
  <c r="AG10" i="13"/>
  <c r="AG86" i="13"/>
  <c r="AG53" i="13"/>
  <c r="AG69" i="13"/>
  <c r="AG54" i="13"/>
  <c r="AG22" i="13"/>
  <c r="AG84" i="13"/>
  <c r="AG45" i="13"/>
  <c r="AG25" i="13"/>
  <c r="AG30" i="13"/>
  <c r="AG100" i="13"/>
  <c r="AG60" i="13"/>
  <c r="AG112" i="13"/>
  <c r="AG133" i="13"/>
  <c r="AG130" i="13"/>
  <c r="AG136" i="13"/>
  <c r="AG111" i="13"/>
  <c r="AG115" i="13"/>
  <c r="AG127" i="13"/>
  <c r="AG108" i="13"/>
  <c r="AG61" i="13"/>
  <c r="AG107" i="13"/>
  <c r="AG122" i="13"/>
  <c r="AG118" i="13"/>
  <c r="AG116" i="13"/>
  <c r="AG101" i="13"/>
  <c r="AG57" i="13"/>
  <c r="AG20" i="13"/>
  <c r="AG129" i="13"/>
  <c r="AG134" i="13"/>
  <c r="AG92" i="13"/>
  <c r="AG125" i="13"/>
  <c r="AG59" i="13"/>
  <c r="AG117" i="13"/>
  <c r="AG114" i="13"/>
  <c r="AG124" i="13"/>
  <c r="AG137" i="13"/>
  <c r="AG131" i="13"/>
  <c r="AG132" i="13"/>
  <c r="AG47" i="13"/>
  <c r="AG123" i="13"/>
  <c r="AG121" i="13"/>
  <c r="AG119" i="13"/>
  <c r="AG113" i="13"/>
  <c r="AG135" i="13"/>
  <c r="AG128" i="13"/>
  <c r="AG89" i="13"/>
  <c r="AG46" i="13"/>
  <c r="AG109" i="13"/>
  <c r="AG58" i="13"/>
  <c r="AG110" i="13"/>
  <c r="AG5" i="13"/>
  <c r="AG99" i="13"/>
  <c r="AG78" i="13"/>
  <c r="AG81" i="13"/>
  <c r="AG35" i="13"/>
  <c r="AG79" i="13"/>
  <c r="AG34" i="13"/>
  <c r="AG102" i="13"/>
  <c r="AG90" i="13"/>
  <c r="AG13" i="13"/>
  <c r="AG55" i="13"/>
  <c r="AG80" i="13"/>
  <c r="AG9" i="13"/>
  <c r="AG40" i="13"/>
  <c r="AG103" i="13"/>
  <c r="AG43" i="13"/>
  <c r="AG26" i="13"/>
  <c r="AG105" i="13"/>
  <c r="W6" i="13"/>
  <c r="C14" i="19" l="1"/>
  <c r="G14" i="19" s="1"/>
  <c r="G8" i="19"/>
  <c r="H8" i="19" s="1"/>
  <c r="X6" i="13"/>
  <c r="AG6" i="13" s="1"/>
  <c r="AF6" i="13"/>
  <c r="D7" i="19" l="1"/>
  <c r="D9" i="19" s="1"/>
  <c r="G7" i="19" l="1"/>
  <c r="E7" i="19" l="1"/>
  <c r="E9" i="19" s="1"/>
  <c r="C13" i="19"/>
  <c r="G13" i="19" s="1"/>
  <c r="G15" i="19" s="1"/>
  <c r="G9" i="19"/>
  <c r="H7" i="19"/>
  <c r="F9" i="19" l="1"/>
  <c r="H9" i="19"/>
  <c r="C15" i="19"/>
</calcChain>
</file>

<file path=xl/sharedStrings.xml><?xml version="1.0" encoding="utf-8"?>
<sst xmlns="http://schemas.openxmlformats.org/spreadsheetml/2006/main" count="1916" uniqueCount="721">
  <si>
    <t>1 x per maand</t>
  </si>
  <si>
    <t>5 x per week</t>
  </si>
  <si>
    <t>5w</t>
  </si>
  <si>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</si>
  <si>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</si>
  <si>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</si>
  <si>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</si>
  <si>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</si>
  <si>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</si>
  <si>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</si>
  <si>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</si>
  <si>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</si>
  <si>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3 x per week</t>
  </si>
  <si>
    <t>1 x per week</t>
  </si>
  <si>
    <t>2 x per week</t>
  </si>
  <si>
    <t>1w</t>
  </si>
  <si>
    <t>1m</t>
  </si>
  <si>
    <t>2w</t>
  </si>
  <si>
    <t>3w</t>
  </si>
  <si>
    <t>10w</t>
  </si>
  <si>
    <t>4w</t>
  </si>
  <si>
    <t>4 x per week</t>
  </si>
  <si>
    <t>Sanitair</t>
  </si>
  <si>
    <t>Ruimte code</t>
  </si>
  <si>
    <t>Weekend</t>
  </si>
  <si>
    <t>2ww</t>
  </si>
  <si>
    <t>1ww</t>
  </si>
  <si>
    <t>1 x per weekend</t>
  </si>
  <si>
    <t>2 x per weekend</t>
  </si>
  <si>
    <t>5 x per week met naloop</t>
  </si>
  <si>
    <t>Plaats</t>
  </si>
  <si>
    <t>Gebouw gedeelte</t>
  </si>
  <si>
    <t>Oppervlak (netto)</t>
  </si>
  <si>
    <t>Totaal</t>
  </si>
  <si>
    <t>Code</t>
  </si>
  <si>
    <t>Tariefsopbouw</t>
  </si>
  <si>
    <t>kosten / jaar</t>
  </si>
  <si>
    <t>uren / jaar</t>
  </si>
  <si>
    <t>Kantine</t>
  </si>
  <si>
    <t>Tapijt</t>
  </si>
  <si>
    <t>Vloer afwerking</t>
  </si>
  <si>
    <t>Entree</t>
  </si>
  <si>
    <t>Publieksruimte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</si>
  <si>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</si>
  <si>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</si>
  <si>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</si>
  <si>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</si>
  <si>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</si>
  <si>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</si>
  <si>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</si>
  <si>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</si>
  <si>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</si>
  <si>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</si>
  <si>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</si>
  <si>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</si>
  <si>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</si>
  <si>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</si>
  <si>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</si>
  <si>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</si>
  <si>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</si>
  <si>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Wastafel</t>
  </si>
  <si>
    <t>Magazijnen/bergingen</t>
  </si>
  <si>
    <t>Kantoren</t>
  </si>
  <si>
    <t>Reproruimte</t>
  </si>
  <si>
    <t>Vergader/spreekkamers</t>
  </si>
  <si>
    <t>Gangen/hallen</t>
  </si>
  <si>
    <t>Trappenhuizen/lift</t>
  </si>
  <si>
    <t>Keuken/pantry</t>
  </si>
  <si>
    <t>Kleedruimten</t>
  </si>
  <si>
    <t>Niet in onderhoud</t>
  </si>
  <si>
    <t>Postcode</t>
  </si>
  <si>
    <t>Adres</t>
  </si>
  <si>
    <t>Gymzaal</t>
  </si>
  <si>
    <t>Toestelberging</t>
  </si>
  <si>
    <t>Inspectie categorie</t>
  </si>
  <si>
    <t>Schoonmaakmedewerker</t>
  </si>
  <si>
    <t>Meewerkend leidinggevende</t>
  </si>
  <si>
    <t>Totaal geindexeerd uurloon</t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</si>
  <si>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</si>
  <si>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</si>
  <si>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</si>
  <si>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</si>
  <si>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</si>
  <si>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</si>
  <si>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</si>
  <si>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</si>
  <si>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</si>
  <si>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</si>
  <si>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</si>
  <si>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</si>
  <si>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</si>
  <si>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</si>
  <si>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</si>
  <si>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</si>
  <si>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</si>
  <si>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</si>
  <si>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</si>
  <si>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</si>
  <si>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</si>
  <si>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</si>
  <si>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</si>
  <si>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</si>
  <si>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Tarief 
excl. 21% BTW</t>
  </si>
  <si>
    <t>Tarief 
incl. 21% BTW</t>
  </si>
  <si>
    <t>% opslag op loonkosten</t>
  </si>
  <si>
    <t>Tarief</t>
  </si>
  <si>
    <t xml:space="preserve">Over te nemen personeel </t>
  </si>
  <si>
    <t>Totale berekende productieve ureninzet (contractjaar 1)</t>
  </si>
  <si>
    <t>Norm (5w)</t>
  </si>
  <si>
    <t>Ruimte omschrijving</t>
  </si>
  <si>
    <t>Vloersoort omschrijving</t>
  </si>
  <si>
    <t>Aanpassing norm</t>
  </si>
  <si>
    <t>T</t>
  </si>
  <si>
    <t>L</t>
  </si>
  <si>
    <t>S</t>
  </si>
  <si>
    <t>P</t>
  </si>
  <si>
    <t>Vloerafwerkingen met beschermlaag, zoals linoleum, marmoleum e.d.</t>
  </si>
  <si>
    <t>Textiele vloerafwerking, zoals tapijt, schoonloopmat, flotex e.d.</t>
  </si>
  <si>
    <t>Harde vloeren zonder zonder extra behandeling, zoals steen, beton e.d.</t>
  </si>
  <si>
    <t>Vloeren zonder beschermlaag, die wel behandeling nodig hebben, zoals pvc e.d.</t>
  </si>
  <si>
    <t>Aanpassing standaardnorm o.b.v. frequentie</t>
  </si>
  <si>
    <t>Frequentie omschrijving</t>
  </si>
  <si>
    <t>2,5w</t>
  </si>
  <si>
    <t>2,5 x per week (om-de-dag)</t>
  </si>
  <si>
    <t>Prestatie</t>
  </si>
  <si>
    <t>Etage</t>
  </si>
  <si>
    <t>Ruimte- nummer</t>
  </si>
  <si>
    <t>Ruimtesoort</t>
  </si>
  <si>
    <t>Vloer code</t>
  </si>
  <si>
    <t>Frequentie werkdagen</t>
  </si>
  <si>
    <t>Frequentie weekend</t>
  </si>
  <si>
    <t>Aantal weken/jr</t>
  </si>
  <si>
    <t>Norm (m2/uur)</t>
  </si>
  <si>
    <t>Prest. (m2 /jaar)</t>
  </si>
  <si>
    <t>Steen</t>
  </si>
  <si>
    <t>PVC</t>
  </si>
  <si>
    <t>Pantry</t>
  </si>
  <si>
    <t>Naam</t>
  </si>
  <si>
    <t>Lino</t>
  </si>
  <si>
    <t>Oppervlakte n.i.o.</t>
  </si>
  <si>
    <t>Opmerking</t>
  </si>
  <si>
    <t>uren / jaar werkdagen</t>
  </si>
  <si>
    <t>kosten / jaar werkdagen</t>
  </si>
  <si>
    <t>Uitvoeringen werkdagen</t>
  </si>
  <si>
    <t>Norm (m2/uur) werkdagen</t>
  </si>
  <si>
    <t>Prest. (m2 /jaar) werkdagen</t>
  </si>
  <si>
    <t>Norm (m2/uur) weekend</t>
  </si>
  <si>
    <t>Prest. (m2 /jaar) weekend</t>
  </si>
  <si>
    <t>uren / jaar weekend</t>
  </si>
  <si>
    <t>kosten / jaar weekend</t>
  </si>
  <si>
    <t>Uitvoeringen weekend</t>
  </si>
  <si>
    <t>Locatie</t>
  </si>
  <si>
    <t>Kosten/jaar excl. BTW</t>
  </si>
  <si>
    <t>Eenheid</t>
  </si>
  <si>
    <t>Prijs</t>
  </si>
  <si>
    <t>Werkzaamheden</t>
  </si>
  <si>
    <t>Prijs per m2 per beurt, incl. in- en uitruimen</t>
  </si>
  <si>
    <t>Prijs per m2 per beurt, incl. in- en uitruimen, minimaal 2 lagen, kruislings</t>
  </si>
  <si>
    <t>Tapijtreinigen, sproei-extractiemethode</t>
  </si>
  <si>
    <t>Tapijtreinigen, poedermethode</t>
  </si>
  <si>
    <t>Vloersoort</t>
  </si>
  <si>
    <t>Oppervlakte</t>
  </si>
  <si>
    <t>Sprayen/opblokken</t>
  </si>
  <si>
    <t>Topstrippen en conserveren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</si>
  <si>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</si>
  <si>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</si>
  <si>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</si>
  <si>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</si>
  <si>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</si>
  <si>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Ruimtestaat</t>
  </si>
  <si>
    <t>Oppervlakte i/o</t>
  </si>
  <si>
    <t>Uren / jaar</t>
  </si>
  <si>
    <t>Kosten / jaar</t>
  </si>
  <si>
    <t>Kosten / m2</t>
  </si>
  <si>
    <t>Vloeronderhoud
Kosten / jaar</t>
  </si>
  <si>
    <t>Extra Werkzaamheden
Kosten / jaar</t>
  </si>
  <si>
    <t>Totalisatie (excl. BTW)</t>
  </si>
  <si>
    <t>Schoonmaakonderhoud
Kosten / jaar</t>
  </si>
  <si>
    <t>Prijs excl. BTW</t>
  </si>
  <si>
    <t xml:space="preserve">Aan genoemde aantallen kunnen geen rechten worden ontleend. 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</si>
  <si>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</si>
  <si>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</si>
  <si>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</si>
  <si>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</si>
  <si>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</si>
  <si>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</si>
  <si>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Servicewerkzaamheden (eenvoudige facilitaire dienstverlening, gastheer/-vrouw etc, 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</si>
  <si>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</si>
  <si>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</si>
  <si>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</si>
  <si>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</si>
  <si>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</si>
  <si>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</si>
  <si>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</si>
  <si>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Prijs per stuk per jaar</t>
  </si>
  <si>
    <t>Buiten</t>
  </si>
  <si>
    <t>Intensief reinigen voegen tegelwanden</t>
  </si>
  <si>
    <t>Regie per uur</t>
  </si>
  <si>
    <t>De opgegeven prijzen zijn tijdens de gehele contractduur van toepassing als afroepprijs.</t>
  </si>
  <si>
    <t>Machinaal schrobben en droogzuigen</t>
  </si>
  <si>
    <t>Natuursteen conserveren, bijv. marmer, travertin of leisteen</t>
  </si>
  <si>
    <t>Textiel reinigen</t>
  </si>
  <si>
    <t>Dieptereiniging sanitair</t>
  </si>
  <si>
    <t>Fantomatten sanitaire ruimte</t>
  </si>
  <si>
    <t>Stoomreinigen sanitaire ruimte</t>
  </si>
  <si>
    <t>Wanden en plafonds</t>
  </si>
  <si>
    <t>Matten</t>
  </si>
  <si>
    <t>Schoonloopmat klein (85x150) incl. levering en tweewekelijks wisselen</t>
  </si>
  <si>
    <t>Schoonloopmat middel (115x150) incl. levering en tweewekelijks wisselen</t>
  </si>
  <si>
    <t>Schoonloopmat groot (150x200) incl. levering en tweewekelijks wisselen</t>
  </si>
  <si>
    <t>Inspectiecategorie</t>
  </si>
  <si>
    <t>Gemiddeld brutoloon</t>
  </si>
  <si>
    <t>Code Locatie</t>
  </si>
  <si>
    <t>Code Taak</t>
  </si>
  <si>
    <t>Alle groen gearceerde velden dienen ingevuld te worden, overige cellen mogen niet gewijzigd worden</t>
  </si>
  <si>
    <t>Totalisatie</t>
  </si>
  <si>
    <t>Totaalprijs
Kosten / jaar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</si>
  <si>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</si>
  <si>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</si>
  <si>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</si>
  <si>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</si>
  <si>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</si>
  <si>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</si>
  <si>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</si>
  <si>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Samenvatting schoonmaakonderhoud</t>
  </si>
  <si>
    <t>prijs per toiletunit*</t>
  </si>
  <si>
    <t>* zie tabblad Werkprogramma voor definities</t>
  </si>
  <si>
    <t>……………</t>
  </si>
  <si>
    <t>Kooklokaal/leskeuken</t>
  </si>
  <si>
    <t>HV/Technieklokaal</t>
  </si>
  <si>
    <t>Leslokalen theorie</t>
  </si>
  <si>
    <t>Praktijklokalen binas/zorg</t>
  </si>
  <si>
    <t>Mediatheek / OLC</t>
  </si>
  <si>
    <t>V  (Verkeersruimte)</t>
  </si>
  <si>
    <t>S  (Sanitair)</t>
  </si>
  <si>
    <t>L  (Lesruimte)</t>
  </si>
  <si>
    <t>B  (Bureauruimte)</t>
  </si>
  <si>
    <t>Sp  (Sportruimte)</t>
  </si>
  <si>
    <t>De opgegeven prijzen zijn tijdens de gehele contractduur van toepassing als all-in afroepprijs.</t>
  </si>
  <si>
    <t>Aanpassing standaardnorm schoonmaakonderhoud o.b.v. locatie</t>
  </si>
  <si>
    <t>Standaardnorm schoonmaakonderhoud per ruimtegroep / werkprogramma</t>
  </si>
  <si>
    <t>Aanpassing standaardnorm schoonmaakonderhoud o.b.v. vloersoort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</si>
  <si>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</si>
  <si>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</si>
  <si>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</si>
  <si>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</si>
  <si>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Werkdagen</t>
  </si>
  <si>
    <t>Weekenddagen</t>
  </si>
  <si>
    <t>Totaal (werkdagen + weekenddagen</t>
  </si>
  <si>
    <t>Reinigen van keukenkastjes binnen- en buitenzijde</t>
  </si>
  <si>
    <t>Lift</t>
  </si>
  <si>
    <t>Aan genoemde aantallen kunnen geen rechten worden ontleend. Werkzaamheden worden enkel in overleg met en na opdracht van Opdrachtgever uitgevoerd.</t>
  </si>
  <si>
    <t>Indexatie</t>
  </si>
  <si>
    <t>Soort indexatie</t>
  </si>
  <si>
    <t>Percentage</t>
  </si>
  <si>
    <t>Tarief excl btw</t>
  </si>
  <si>
    <t>CAO</t>
  </si>
  <si>
    <t>Gemiddelde
indexering</t>
  </si>
  <si>
    <t>2028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</si>
  <si>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</si>
  <si>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</si>
  <si>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</si>
  <si>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</si>
  <si>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</si>
  <si>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</si>
  <si>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</si>
  <si>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</si>
  <si>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</si>
  <si>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 xml:space="preserve">Aanrechtblad </t>
  </si>
  <si>
    <t>Geheel buitenzijde</t>
  </si>
  <si>
    <t>Stof-, vlek-, aanslag en streepvrij</t>
  </si>
  <si>
    <t>Lichte stofvorming, enkele vingertasten en zichtbare vlekken max. 1 tot 3 st.</t>
  </si>
  <si>
    <t>Audiovisuele middelen</t>
  </si>
  <si>
    <t>Lichte stofvorming bovenzijde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</si>
  <si>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</si>
  <si>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</si>
  <si>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</si>
  <si>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</si>
  <si>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Geheel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</si>
  <si>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</si>
  <si>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</si>
  <si>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</si>
  <si>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</si>
  <si>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</si>
  <si>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</si>
  <si>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</si>
  <si>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</si>
  <si>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</si>
  <si>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</si>
  <si>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</si>
  <si>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</si>
  <si>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</si>
  <si>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</si>
  <si>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</si>
  <si>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</si>
  <si>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</si>
  <si>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</si>
  <si>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</si>
  <si>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</si>
  <si>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</si>
  <si>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</si>
  <si>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PC, incl. toebehoren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</si>
  <si>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</si>
  <si>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</si>
  <si>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</si>
  <si>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</si>
  <si>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</si>
  <si>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</si>
  <si>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</si>
  <si>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</si>
  <si>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</si>
  <si>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</si>
  <si>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</si>
  <si>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</si>
  <si>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</si>
  <si>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</si>
  <si>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</si>
  <si>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Separatieglas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</si>
  <si>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</si>
  <si>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</si>
  <si>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</si>
  <si>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</si>
  <si>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</si>
  <si>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</si>
  <si>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</si>
  <si>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</si>
  <si>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</si>
  <si>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</si>
  <si>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</si>
  <si>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</si>
  <si>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</si>
  <si>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</si>
  <si>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</si>
  <si>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</si>
  <si>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</si>
  <si>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</si>
  <si>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Buitenzijde entree</t>
  </si>
  <si>
    <t>Grofvuil-, stof-, vlek-, aanslag en streepvrij</t>
  </si>
  <si>
    <t>Geen losliggend en/of zichtbaar vuil en enkele zichtbare vlekken max 8 st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</si>
  <si>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</si>
  <si>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</si>
  <si>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</si>
  <si>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</si>
  <si>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</si>
  <si>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</si>
  <si>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</si>
  <si>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</si>
  <si>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</si>
  <si>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</si>
  <si>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</si>
  <si>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</si>
  <si>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</si>
  <si>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</si>
  <si>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</si>
  <si>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</si>
  <si>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</si>
  <si>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</si>
  <si>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</si>
  <si>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</si>
  <si>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</si>
  <si>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</si>
  <si>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</si>
  <si>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</si>
  <si>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</si>
  <si>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</si>
  <si>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</si>
  <si>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</si>
  <si>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</si>
  <si>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</si>
  <si>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</si>
  <si>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</si>
  <si>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</si>
  <si>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Sport ruimten</t>
  </si>
  <si>
    <t>Linoleum</t>
  </si>
  <si>
    <t>Grofvuil-, stof-, vlekvrij</t>
  </si>
  <si>
    <t>Opleverstaat schoonmaak periodiek (tijdens vakanties uitvoeren) 2 x per jaar</t>
  </si>
  <si>
    <t>Handeling</t>
  </si>
  <si>
    <t>vochtig afnemen</t>
  </si>
  <si>
    <t>Radiatoren</t>
  </si>
  <si>
    <t>Verlichtingsarmatuur en buizen &gt; 2.00 m</t>
  </si>
  <si>
    <t>Toiletborstel/-houder</t>
  </si>
  <si>
    <t>Sanitaire ruimte</t>
  </si>
  <si>
    <t>Diepreiniging volgens programma</t>
  </si>
  <si>
    <t>periodiek vloeronderhoud conform afspraak</t>
  </si>
  <si>
    <t>Alarmsensoren</t>
  </si>
  <si>
    <t>Geen zichtbare spinrag, geen stofvorming en kleine zichtbare vlekken max. 3 stuks</t>
  </si>
  <si>
    <t>Omschrijving</t>
  </si>
  <si>
    <t>Handelingen dieptereiniging 2 x per jaar</t>
  </si>
  <si>
    <t>Glasbewassing</t>
  </si>
  <si>
    <t>Code taak</t>
  </si>
  <si>
    <t>Glassoort/voorziening</t>
  </si>
  <si>
    <t>Gevelglas binnenzijde</t>
  </si>
  <si>
    <t>Prijs per m2 per beurt</t>
  </si>
  <si>
    <t>Gevelglas buitenzijde</t>
  </si>
  <si>
    <t>Separatieglas (enkel gemeten, dubbel te wassen)</t>
  </si>
  <si>
    <t>Fietsenstalling</t>
  </si>
  <si>
    <t>Beplating wassen</t>
  </si>
  <si>
    <t>Lichtkoepels (enkel gemeten, dubbel te wassen)</t>
  </si>
  <si>
    <t>Overkapping</t>
  </si>
  <si>
    <t>Voorzetramen</t>
  </si>
  <si>
    <t>Glazen wandtuin</t>
  </si>
  <si>
    <t>H1</t>
  </si>
  <si>
    <t>Hoogwerker buiten max 12 meter</t>
  </si>
  <si>
    <t>H2</t>
  </si>
  <si>
    <t>Hoogwerker buiten max 16 meter</t>
  </si>
  <si>
    <t>H3</t>
  </si>
  <si>
    <t>Hoogwerker buiten max 20 meter</t>
  </si>
  <si>
    <t>H4</t>
  </si>
  <si>
    <t>Spinhoogwerker</t>
  </si>
  <si>
    <t>Oppervlakte of dagen</t>
  </si>
  <si>
    <t>Frequentie</t>
  </si>
  <si>
    <t>Kosten/jaar incl. BTW</t>
  </si>
  <si>
    <t>Handelingen dieptereiniging per toilet unit</t>
  </si>
  <si>
    <t>Toiletpot</t>
  </si>
  <si>
    <t>-</t>
  </si>
  <si>
    <t>verwijderen van vervuiling in spoelranden, afvoersluitingen en restant van de binnenzijde van het toilet</t>
  </si>
  <si>
    <t>reinigen van het toilet aan de buitenzijde</t>
  </si>
  <si>
    <t>bevestiging en aansluiting op het afvoersysteem controleren; waar nodig vernieuwen van pluggen en schroeven en afdichten van onregelmatige aansluiting op de afvoer</t>
  </si>
  <si>
    <t>de toiletbril ontdoen van aanslag, demonteren van een bril met brugstuk (teneinde het vuil eronder te verwijderen) en weer monteren</t>
  </si>
  <si>
    <t>binnen- en buitenzijde van de stortbak ontdoen van aanslag en vuil (gietijzer alleen buitenzijde)</t>
  </si>
  <si>
    <t>stortbak controleren op het functioneren van het mechanisme, het waterniveau en de bevestiging ervan</t>
  </si>
  <si>
    <t>stopkraan van de stortbak ontkalken en controleren op goede werking</t>
  </si>
  <si>
    <t>valpijp ontdoen van aanslag en controleren op losse of defecte bevestigingsbeugels en op de aansluiting van het toilet</t>
  </si>
  <si>
    <t>bij een inbouwstortbak de voorplaat reinigen, het waterniveau controleren en eventueel opnieuw afstellen</t>
  </si>
  <si>
    <t>de drukspoeler controleren op goede werking en ontdoen van aanslag op de buitenzijde</t>
  </si>
  <si>
    <t>spoelpijp ontdoen van aanslag en controleren op losse of defecte bevestigingsbeugels op de aansluiting van de pot en op lekkage</t>
  </si>
  <si>
    <t>reinigen van de deur (beide zijden), tegelwanden en vloeren</t>
  </si>
  <si>
    <t>Urinoir</t>
  </si>
  <si>
    <t>verwijderen van organische en anorganische vervuiling in spoelranden en afvoeraansluitingen en restant van de binnenzijde van de pot</t>
  </si>
  <si>
    <t>reinigen van de buitenzijde van het urinoir</t>
  </si>
  <si>
    <t>bevestiging en aansluiting op het afvoersysteem controleren en afdichten van onregelmatige aansluiting op de afvoer</t>
  </si>
  <si>
    <t>bij wandurinoirs controleren op bevestigingen en afsluitingen op vloerpijp en afvoer</t>
  </si>
  <si>
    <t>verwijderen van vervuiling van schaamschotten</t>
  </si>
  <si>
    <t>schaamschotten controleren op bevestiging</t>
  </si>
  <si>
    <t>tegelwand tot 1 meter aan weerszijde van de urninoir(s) tot aan de bovenzijde reinigen</t>
  </si>
  <si>
    <t>vloer tot 1 meter aan weerszijde van de urninoir(s) en 1 meter vanaf de wand reinigen</t>
  </si>
  <si>
    <t>verwijderen van organische en anorganische vervuiling op de binnen- en buitenzijde</t>
  </si>
  <si>
    <t>kranen ontkalken en controleren op functioneren en eventuele rubbers vervangen</t>
  </si>
  <si>
    <t>perlators demonteren en ontkalken en eventueel vervangen</t>
  </si>
  <si>
    <t>sifon in- en uitwendig reinigen, zonodig nieuwe pakkingring aanbrengen</t>
  </si>
  <si>
    <t>spiegels reinigen</t>
  </si>
  <si>
    <t>tegelwand tot 1 meter aan weerszijde van de wastafel(s) tot aan bovenzijde reinigen</t>
  </si>
  <si>
    <t>vloer tot 1 meter aan weerszijde van de wastafel(s) en 1 meter vanaf de wand reinigen</t>
  </si>
  <si>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</si>
  <si>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</si>
  <si>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</si>
  <si>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</si>
  <si>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</si>
  <si>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</si>
  <si>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</si>
  <si>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</si>
  <si>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</si>
  <si>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</si>
  <si>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</si>
  <si>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</si>
  <si>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</si>
  <si>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</si>
  <si>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</si>
  <si>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2029</t>
  </si>
  <si>
    <t>Opmerkingen</t>
  </si>
  <si>
    <t>Glasbewassing
Kosten / jaar</t>
  </si>
  <si>
    <t>CBS DPI</t>
  </si>
  <si>
    <t>Bijlage 4 dient in Excel format te worden toegevoegd, deze pagina dient daarnaast rechtsgeldig ondertekend als PDF te worden toegevoegd.</t>
  </si>
  <si>
    <t>2031</t>
  </si>
  <si>
    <t>2030</t>
  </si>
  <si>
    <t>Volledig (diep)reinigen van de deur (beide zijden), (tegel-)wanden, vloeren en putjes (in- en uitwendig)</t>
  </si>
  <si>
    <t>De gehele vloer en alle wanden reinigen met stoomreiniging bv fantomat</t>
  </si>
  <si>
    <r>
      <rPr>
        <b/>
        <sz val="9"/>
        <rFont val="Aptos"/>
        <family val="2"/>
      </rPr>
      <t>Alle</t>
    </r>
    <r>
      <rPr>
        <sz val="9"/>
        <rFont val="Aptos"/>
        <family val="2"/>
      </rPr>
      <t xml:space="preserve"> groen gearceerde velden dienen ingevuld te worden, overige cellen mogen niet gewijzigd worden</t>
    </r>
  </si>
  <si>
    <r>
      <t xml:space="preserve">Alle </t>
    </r>
    <r>
      <rPr>
        <sz val="9"/>
        <rFont val="Aptos"/>
        <family val="2"/>
      </rPr>
      <t>groen gearceerde velden dienen ingevuld te worden, overige cellen mogen niet gewijzigd worden</t>
    </r>
  </si>
  <si>
    <t>PU-coating</t>
  </si>
  <si>
    <r>
      <t>Prijs per m</t>
    </r>
    <r>
      <rPr>
        <vertAlign val="superscript"/>
        <sz val="9"/>
        <rFont val="Aptos"/>
        <family val="2"/>
      </rPr>
      <t>2</t>
    </r>
  </si>
  <si>
    <r>
      <t>Prijs per m</t>
    </r>
    <r>
      <rPr>
        <vertAlign val="superscript"/>
        <sz val="9"/>
        <rFont val="Aptos"/>
        <family val="2"/>
      </rPr>
      <t xml:space="preserve">2 </t>
    </r>
    <r>
      <rPr>
        <sz val="9"/>
        <rFont val="Aptos"/>
        <family val="2"/>
      </rPr>
      <t>per beurt</t>
    </r>
  </si>
  <si>
    <r>
      <t>Sanitaire eenheid:</t>
    </r>
    <r>
      <rPr>
        <sz val="10"/>
        <rFont val="Aptos"/>
        <family val="2"/>
      </rPr>
      <t xml:space="preserve"> bestaat uit 2 toiletpotten (of 1 toiletpot en 1 urinoir) en 1 wastafel</t>
    </r>
  </si>
  <si>
    <r>
      <t>Alle groen gearceerde velden dienen ingevuld te worden, overige cellen mogen niet gewijzigd worden (</t>
    </r>
    <r>
      <rPr>
        <sz val="9"/>
        <rFont val="Aptos"/>
        <family val="2"/>
      </rPr>
      <t>m.u.v. de tabel Rechtsgeldige Ondertekening), waar alle stippellijnen ingevuld dienen te worden)</t>
    </r>
  </si>
  <si>
    <t>Hoofdgebouw</t>
  </si>
  <si>
    <t>Sterrenlaan 16</t>
  </si>
  <si>
    <t>5631 KA</t>
  </si>
  <si>
    <t>Eindhoven</t>
  </si>
  <si>
    <t>BG</t>
  </si>
  <si>
    <t>0.01</t>
  </si>
  <si>
    <t>Hoofdentree</t>
  </si>
  <si>
    <t>0.02</t>
  </si>
  <si>
    <t>0.02A</t>
  </si>
  <si>
    <t>Centraal Trappenhuis</t>
  </si>
  <si>
    <t>0.03</t>
  </si>
  <si>
    <t>Gang naar toiletgroep</t>
  </si>
  <si>
    <t>0.04</t>
  </si>
  <si>
    <t>Toiletgroep jongens</t>
  </si>
  <si>
    <t>0.05</t>
  </si>
  <si>
    <t>Toiletgroep meisjes</t>
  </si>
  <si>
    <t>0.06</t>
  </si>
  <si>
    <t>Werkkast</t>
  </si>
  <si>
    <t>0.07</t>
  </si>
  <si>
    <t>0.08</t>
  </si>
  <si>
    <t>0.09</t>
  </si>
  <si>
    <t>Trappenhuis</t>
  </si>
  <si>
    <t>0.09A</t>
  </si>
  <si>
    <t xml:space="preserve">Trap </t>
  </si>
  <si>
    <t>0.10</t>
  </si>
  <si>
    <t>0.10A</t>
  </si>
  <si>
    <t>Trap</t>
  </si>
  <si>
    <t>0.11</t>
  </si>
  <si>
    <t>Zij-entree</t>
  </si>
  <si>
    <t>0.12</t>
  </si>
  <si>
    <t>0.13</t>
  </si>
  <si>
    <t>Keuken</t>
  </si>
  <si>
    <t>0.14</t>
  </si>
  <si>
    <t>Opslag/werkkast</t>
  </si>
  <si>
    <t>0.15</t>
  </si>
  <si>
    <t>Technische ruimte</t>
  </si>
  <si>
    <t>0.16</t>
  </si>
  <si>
    <t>Euritmie</t>
  </si>
  <si>
    <t>0.17</t>
  </si>
  <si>
    <t>Repro</t>
  </si>
  <si>
    <t>0.18</t>
  </si>
  <si>
    <t>Toneelopslag</t>
  </si>
  <si>
    <t>0.19</t>
  </si>
  <si>
    <t>0.20</t>
  </si>
  <si>
    <t>Kantoor administratie</t>
  </si>
  <si>
    <t>0.21</t>
  </si>
  <si>
    <t>Kantoor rector</t>
  </si>
  <si>
    <t>0.22</t>
  </si>
  <si>
    <t>Miva toilet</t>
  </si>
  <si>
    <t>0.23</t>
  </si>
  <si>
    <t>0.24</t>
  </si>
  <si>
    <t>Toilet personeel heren</t>
  </si>
  <si>
    <t>0.25</t>
  </si>
  <si>
    <t>Toilet personeel dames</t>
  </si>
  <si>
    <t>0.26</t>
  </si>
  <si>
    <t>archief</t>
  </si>
  <si>
    <t>0.30</t>
  </si>
  <si>
    <t>Leslokaal</t>
  </si>
  <si>
    <t>0.31</t>
  </si>
  <si>
    <t>0.32</t>
  </si>
  <si>
    <t>0.40</t>
  </si>
  <si>
    <t>0.41</t>
  </si>
  <si>
    <t>Lokaal houtbewerking</t>
  </si>
  <si>
    <t>0.42</t>
  </si>
  <si>
    <t>Lokaal metaalbewerking</t>
  </si>
  <si>
    <t>0.50</t>
  </si>
  <si>
    <t>Kantoor</t>
  </si>
  <si>
    <t>0.51</t>
  </si>
  <si>
    <t>0.52</t>
  </si>
  <si>
    <t>Personeelsruimte</t>
  </si>
  <si>
    <t>0.53</t>
  </si>
  <si>
    <t>Stilteruimte personeel</t>
  </si>
  <si>
    <t>1e verd</t>
  </si>
  <si>
    <t>1.02</t>
  </si>
  <si>
    <t>1.03</t>
  </si>
  <si>
    <t>1.03A</t>
  </si>
  <si>
    <t>1.04</t>
  </si>
  <si>
    <t>1.05</t>
  </si>
  <si>
    <t>1.06</t>
  </si>
  <si>
    <t>1.08</t>
  </si>
  <si>
    <t>1.09</t>
  </si>
  <si>
    <t>1.09A</t>
  </si>
  <si>
    <t>1.10</t>
  </si>
  <si>
    <t>1.11</t>
  </si>
  <si>
    <t>Decanaat</t>
  </si>
  <si>
    <t>1.12</t>
  </si>
  <si>
    <t>1.13</t>
  </si>
  <si>
    <t>Zorg</t>
  </si>
  <si>
    <t>1.14</t>
  </si>
  <si>
    <t>1.15</t>
  </si>
  <si>
    <t>1.16</t>
  </si>
  <si>
    <t>Lokaal scheikunde</t>
  </si>
  <si>
    <t>1.17</t>
  </si>
  <si>
    <t>Toa</t>
  </si>
  <si>
    <t>1.18</t>
  </si>
  <si>
    <t>Lokaal natuurkunde</t>
  </si>
  <si>
    <t>1.19</t>
  </si>
  <si>
    <t>Opslag natuurkunde</t>
  </si>
  <si>
    <t>1.20</t>
  </si>
  <si>
    <t>Lokaal biologie</t>
  </si>
  <si>
    <t>1.21</t>
  </si>
  <si>
    <t>Opslag biologie</t>
  </si>
  <si>
    <t>1.22</t>
  </si>
  <si>
    <t>1.30</t>
  </si>
  <si>
    <t>1.31</t>
  </si>
  <si>
    <t>1.32</t>
  </si>
  <si>
    <t>1.40</t>
  </si>
  <si>
    <t>1.41</t>
  </si>
  <si>
    <t>Lokaal handvaardigheid</t>
  </si>
  <si>
    <t>1.42</t>
  </si>
  <si>
    <t>Praktijklokaal koken</t>
  </si>
  <si>
    <t>1.50</t>
  </si>
  <si>
    <t>Vergaderruimte</t>
  </si>
  <si>
    <t>1.51</t>
  </si>
  <si>
    <t>Tekenlokaal</t>
  </si>
  <si>
    <t>2e verd</t>
  </si>
  <si>
    <t>2.02</t>
  </si>
  <si>
    <t>2.03</t>
  </si>
  <si>
    <t>2.03A</t>
  </si>
  <si>
    <t>Centrale Trap</t>
  </si>
  <si>
    <t>2.04</t>
  </si>
  <si>
    <t>2.05</t>
  </si>
  <si>
    <t>2.06</t>
  </si>
  <si>
    <t>2.08</t>
  </si>
  <si>
    <t>2.09</t>
  </si>
  <si>
    <t>2.09A</t>
  </si>
  <si>
    <t>2.10</t>
  </si>
  <si>
    <t>2.10A</t>
  </si>
  <si>
    <t>2.11</t>
  </si>
  <si>
    <t>Serverruimte</t>
  </si>
  <si>
    <t>2.12</t>
  </si>
  <si>
    <t>2.13</t>
  </si>
  <si>
    <t>Roostermaker</t>
  </si>
  <si>
    <t>2.14</t>
  </si>
  <si>
    <t>Toestellen berging</t>
  </si>
  <si>
    <t>2.15</t>
  </si>
  <si>
    <t>2.16</t>
  </si>
  <si>
    <t>Douche meisjes</t>
  </si>
  <si>
    <t>2.17</t>
  </si>
  <si>
    <t>Kleedruimte meisjes</t>
  </si>
  <si>
    <t>2.18</t>
  </si>
  <si>
    <t>Kleedruimte jongens</t>
  </si>
  <si>
    <t>2.19</t>
  </si>
  <si>
    <t>Douches jongens</t>
  </si>
  <si>
    <t>2.20</t>
  </si>
  <si>
    <t>Kleedruimte personeel</t>
  </si>
  <si>
    <t>2.30</t>
  </si>
  <si>
    <t>2.31</t>
  </si>
  <si>
    <t>2.32</t>
  </si>
  <si>
    <t>2.40</t>
  </si>
  <si>
    <t>Handvaardigheidslokaal</t>
  </si>
  <si>
    <t>2.41</t>
  </si>
  <si>
    <t>Muzieklokaal</t>
  </si>
  <si>
    <t>2.42</t>
  </si>
  <si>
    <t>2.50</t>
  </si>
  <si>
    <t>Computerlokaal</t>
  </si>
  <si>
    <t>Nieuw BG</t>
  </si>
  <si>
    <t>071</t>
  </si>
  <si>
    <t>Lokaal 1</t>
  </si>
  <si>
    <t>072</t>
  </si>
  <si>
    <t>Lokaal 2</t>
  </si>
  <si>
    <t>073</t>
  </si>
  <si>
    <t>Spreekkamer</t>
  </si>
  <si>
    <t>074</t>
  </si>
  <si>
    <t>Lokaal 3</t>
  </si>
  <si>
    <t>076</t>
  </si>
  <si>
    <t>075</t>
  </si>
  <si>
    <t>Lokaal 4</t>
  </si>
  <si>
    <t>077</t>
  </si>
  <si>
    <t>078A</t>
  </si>
  <si>
    <t>entree</t>
  </si>
  <si>
    <t>079/079A</t>
  </si>
  <si>
    <t>toilet heren</t>
  </si>
  <si>
    <t>080</t>
  </si>
  <si>
    <t>toilet dames</t>
  </si>
  <si>
    <t>081</t>
  </si>
  <si>
    <t>toilet MIVA</t>
  </si>
  <si>
    <t>082</t>
  </si>
  <si>
    <t>Teamleiders/concierge</t>
  </si>
  <si>
    <t>083</t>
  </si>
  <si>
    <t>Lokaal 5</t>
  </si>
  <si>
    <t>084</t>
  </si>
  <si>
    <t>Lokaal 6</t>
  </si>
  <si>
    <t>085</t>
  </si>
  <si>
    <t>Lokaal 7</t>
  </si>
  <si>
    <t>086</t>
  </si>
  <si>
    <t>verkeersruimte</t>
  </si>
  <si>
    <t>087</t>
  </si>
  <si>
    <t>leerlingwerkplekken</t>
  </si>
  <si>
    <t>087A</t>
  </si>
  <si>
    <t>werkplekken</t>
  </si>
  <si>
    <t>089</t>
  </si>
  <si>
    <t>Nuts</t>
  </si>
  <si>
    <t>090</t>
  </si>
  <si>
    <t>Nieuw 1e etage</t>
  </si>
  <si>
    <t>1.71</t>
  </si>
  <si>
    <t>Lokaal 8</t>
  </si>
  <si>
    <t>1.72</t>
  </si>
  <si>
    <t>Lokaal 9</t>
  </si>
  <si>
    <t>1.73</t>
  </si>
  <si>
    <t>Lokaal 10</t>
  </si>
  <si>
    <t>1.74</t>
  </si>
  <si>
    <t>Lokaal 11</t>
  </si>
  <si>
    <t>1.75</t>
  </si>
  <si>
    <t>Lokaal 12</t>
  </si>
  <si>
    <t>1.76</t>
  </si>
  <si>
    <t>trappenhuis</t>
  </si>
  <si>
    <t>1.78</t>
  </si>
  <si>
    <t>1.79/A/B</t>
  </si>
  <si>
    <t>Toilet dames</t>
  </si>
  <si>
    <t>1.80/A</t>
  </si>
  <si>
    <t>Tolet heren</t>
  </si>
  <si>
    <t>1.81</t>
  </si>
  <si>
    <t>Lokaal 13</t>
  </si>
  <si>
    <t>1.82</t>
  </si>
  <si>
    <t>Lokaal 14</t>
  </si>
  <si>
    <t>1.83</t>
  </si>
  <si>
    <t>Leerlingwerkplekken</t>
  </si>
  <si>
    <t>1.84</t>
  </si>
  <si>
    <t>1.85</t>
  </si>
  <si>
    <t>werkkast</t>
  </si>
  <si>
    <t>1.86</t>
  </si>
  <si>
    <t>berging/serverruimte</t>
  </si>
  <si>
    <t>schoonloopmat</t>
  </si>
  <si>
    <t>H</t>
  </si>
  <si>
    <t>Hout</t>
  </si>
  <si>
    <t>Tegels</t>
  </si>
  <si>
    <t>Rubber</t>
  </si>
  <si>
    <t>hout</t>
  </si>
  <si>
    <t>steen</t>
  </si>
  <si>
    <t>Bamboe</t>
  </si>
  <si>
    <t>Beton</t>
  </si>
  <si>
    <t>gietvloer</t>
  </si>
  <si>
    <t>Vloeren zonder beschermlaag, die wel behandeling nodig hebben</t>
  </si>
  <si>
    <t>Paviljoen Nova</t>
  </si>
  <si>
    <t>2032</t>
  </si>
  <si>
    <t>Onbepaalde tijd</t>
  </si>
  <si>
    <t>Ja</t>
  </si>
  <si>
    <t>niet aangeleverd</t>
  </si>
  <si>
    <t>Mdw alg schoonmaakonderhoud I</t>
  </si>
  <si>
    <r>
      <rPr>
        <sz val="8"/>
        <rFont val="Arial"/>
        <family val="2"/>
      </rPr>
      <t>GR1</t>
    </r>
  </si>
  <si>
    <t>n.v.t.</t>
  </si>
  <si>
    <t>n.v.t</t>
  </si>
  <si>
    <t>Novalis College</t>
  </si>
  <si>
    <t>tegelwand tot 1 meter aan weerszijde van de urinoir(s) tot aan de bovenzijde reinigen</t>
  </si>
  <si>
    <t>vloer tot 1 meter aan weerszijde van de urinoir(s) en 1 meter vanaf de wand reinigen</t>
  </si>
  <si>
    <t>Klein technisch onderhoud, verhelpen technische gebreken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</si>
</sst>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_(* #,##0_);_(* \(#,##0\);_(* &quot;-&quot;??_);_(@_)"/>
    <numFmt numFmtId="180" formatCode="#,##0.0"/>
    <numFmt numFmtId="181" formatCode="#,##0_ ;\-#,##0\ "/>
    <numFmt numFmtId="182" formatCode="#,##0.0_ ;\-#,##0.0\ "/>
    <numFmt numFmtId="183" formatCode="_ [$€-2]\ * #,##0.00_ ;_ [$€-2]\ * \-#,##0.00_ ;_ [$€-2]\ * &quot;-&quot;??_ ;_ @_ "/>
    <numFmt numFmtId="184" formatCode="&quot;€&quot;\ #,##0.00"/>
    <numFmt numFmtId="185" formatCode="_(* #,##0.0_);_(* \(#,##0.0\);_(* &quot;-&quot;??_);_(@_)"/>
    <numFmt numFmtId="186" formatCode="0.0000%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Geneva"/>
    </font>
    <font>
      <sz val="10"/>
      <color indexed="8"/>
      <name val="Arial"/>
      <family val="2"/>
    </font>
    <font>
      <sz val="9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sz val="9"/>
      <color rgb="FFFFFFFF"/>
      <name val="Aptos"/>
      <family val="2"/>
    </font>
    <font>
      <b/>
      <sz val="9"/>
      <color theme="0"/>
      <name val="Aptos"/>
      <family val="2"/>
    </font>
    <font>
      <sz val="9"/>
      <color theme="1"/>
      <name val="Aptos"/>
      <family val="2"/>
    </font>
    <font>
      <sz val="10"/>
      <color indexed="8"/>
      <name val="Aptos"/>
      <family val="2"/>
    </font>
    <font>
      <b/>
      <sz val="11"/>
      <color theme="0"/>
      <name val="Aptos"/>
      <family val="2"/>
    </font>
    <font>
      <sz val="11"/>
      <name val="Aptos"/>
      <family val="2"/>
    </font>
    <font>
      <sz val="11"/>
      <color indexed="8"/>
      <name val="Aptos"/>
      <family val="2"/>
    </font>
    <font>
      <b/>
      <sz val="12"/>
      <color theme="0"/>
      <name val="Aptos"/>
      <family val="2"/>
    </font>
    <font>
      <b/>
      <u/>
      <sz val="12"/>
      <name val="Aptos"/>
      <family val="2"/>
    </font>
    <font>
      <b/>
      <sz val="9"/>
      <name val="Aptos"/>
      <family val="2"/>
    </font>
    <font>
      <b/>
      <sz val="9"/>
      <color theme="1"/>
      <name val="Aptos"/>
      <family val="2"/>
    </font>
    <font>
      <u/>
      <sz val="9"/>
      <name val="Aptos"/>
      <family val="2"/>
    </font>
    <font>
      <sz val="9"/>
      <color theme="0"/>
      <name val="Aptos"/>
      <family val="2"/>
    </font>
    <font>
      <b/>
      <u/>
      <sz val="9"/>
      <name val="Aptos"/>
      <family val="2"/>
    </font>
    <font>
      <sz val="9"/>
      <color indexed="9"/>
      <name val="Aptos"/>
      <family val="2"/>
    </font>
    <font>
      <sz val="10"/>
      <color theme="1"/>
      <name val="Aptos"/>
      <family val="2"/>
    </font>
    <font>
      <b/>
      <sz val="9"/>
      <color rgb="FFFF0000"/>
      <name val="Aptos"/>
      <family val="2"/>
    </font>
    <font>
      <sz val="9"/>
      <color rgb="FFFF0000"/>
      <name val="Aptos"/>
      <family val="2"/>
    </font>
    <font>
      <vertAlign val="superscript"/>
      <sz val="9"/>
      <name val="Aptos"/>
      <family val="2"/>
    </font>
    <font>
      <b/>
      <sz val="12"/>
      <name val="Aptos"/>
      <family val="2"/>
    </font>
    <font>
      <u/>
      <sz val="10"/>
      <name val="Aptos"/>
      <family val="2"/>
    </font>
    <font>
      <sz val="9"/>
      <color indexed="8"/>
      <name val="Aptos"/>
      <family val="2"/>
    </font>
    <font>
      <b/>
      <sz val="9"/>
      <color indexed="8"/>
      <name val="Aptos"/>
      <family val="2"/>
    </font>
    <font>
      <sz val="9"/>
      <color rgb="FF222222"/>
      <name val="Aptos"/>
      <family val="2"/>
    </font>
    <font>
      <sz val="8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2B4155"/>
        <bgColor theme="4"/>
      </patternFill>
    </fill>
    <fill>
      <patternFill patternType="solid">
        <fgColor rgb="FF00FF00"/>
        <bgColor theme="4" tint="0.79998168889431442"/>
      </patternFill>
    </fill>
    <fill>
      <patternFill patternType="solid">
        <fgColor rgb="FF00FF00"/>
        <bgColor theme="4" tint="0.59999389629810485"/>
      </patternFill>
    </fill>
  </fills>
  <borders count="3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0" fillId="0" borderId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5" fillId="0" borderId="0">
      <alignment horizontal="center" vertical="center" textRotation="90" wrapText="1"/>
    </xf>
    <xf numFmtId="0" fontId="12" fillId="2" borderId="1"/>
    <xf numFmtId="174" fontId="6" fillId="0" borderId="0"/>
    <xf numFmtId="0" fontId="13" fillId="0" borderId="0" applyNumberFormat="0" applyBorder="0">
      <protection locked="0"/>
    </xf>
    <xf numFmtId="0" fontId="14" fillId="0" borderId="0"/>
    <xf numFmtId="0" fontId="15" fillId="3" borderId="2" applyNumberFormat="0" applyFont="0" applyFill="0" applyBorder="0" applyAlignment="0">
      <alignment horizontal="right"/>
    </xf>
    <xf numFmtId="0" fontId="12" fillId="4" borderId="3" applyNumberFormat="0" applyFont="0" applyBorder="0">
      <alignment horizontal="center"/>
    </xf>
    <xf numFmtId="0" fontId="8" fillId="0" borderId="0"/>
    <xf numFmtId="0" fontId="19" fillId="0" borderId="0"/>
    <xf numFmtId="0" fontId="2" fillId="0" borderId="0"/>
    <xf numFmtId="167" fontId="2" fillId="0" borderId="0" applyFont="0" applyFill="0" applyBorder="0" applyAlignment="0" applyProtection="0"/>
    <xf numFmtId="175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6" fillId="2" borderId="1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2" fillId="0" borderId="0"/>
    <xf numFmtId="0" fontId="2" fillId="0" borderId="0"/>
  </cellStyleXfs>
  <cellXfs count="350">
    <xf numFmtId="0" fontId="0" fillId="0" borderId="0" xfId="0"/>
    <xf numFmtId="0" fontId="25" fillId="0" borderId="0" xfId="30" applyFont="1" applyAlignment="1">
      <alignment vertical="center"/>
    </xf>
    <xf numFmtId="0" fontId="26" fillId="0" borderId="0" xfId="47" applyFont="1"/>
    <xf numFmtId="0" fontId="25" fillId="0" borderId="0" xfId="47" applyFont="1"/>
    <xf numFmtId="0" fontId="25" fillId="0" borderId="0" xfId="47" applyFont="1" applyAlignment="1">
      <alignment horizontal="left" indent="1"/>
    </xf>
    <xf numFmtId="0" fontId="26" fillId="0" borderId="0" xfId="47" applyFont="1" applyAlignment="1">
      <alignment horizontal="left" indent="1"/>
    </xf>
    <xf numFmtId="0" fontId="27" fillId="13" borderId="9" xfId="0" applyFont="1" applyFill="1" applyBorder="1" applyAlignment="1">
      <alignment horizontal="left" vertical="center" wrapText="1"/>
    </xf>
    <xf numFmtId="0" fontId="28" fillId="13" borderId="9" xfId="0" applyFont="1" applyFill="1" applyBorder="1" applyAlignment="1">
      <alignment vertical="center" wrapText="1"/>
    </xf>
    <xf numFmtId="0" fontId="25" fillId="0" borderId="0" xfId="0" applyFont="1"/>
    <xf numFmtId="0" fontId="29" fillId="0" borderId="9" xfId="0" applyFont="1" applyBorder="1" applyAlignment="1">
      <alignment horizontal="right" vertical="center"/>
    </xf>
    <xf numFmtId="14" fontId="29" fillId="0" borderId="9" xfId="0" applyNumberFormat="1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168" fontId="29" fillId="0" borderId="9" xfId="20" applyFont="1" applyBorder="1" applyAlignment="1">
      <alignment horizontal="right" vertical="center"/>
    </xf>
    <xf numFmtId="0" fontId="29" fillId="0" borderId="9" xfId="0" applyFont="1" applyBorder="1" applyAlignment="1">
      <alignment horizontal="center" vertical="center"/>
    </xf>
    <xf numFmtId="184" fontId="29" fillId="0" borderId="9" xfId="45" applyNumberFormat="1" applyFont="1" applyBorder="1" applyAlignment="1">
      <alignment horizontal="center" vertical="center"/>
    </xf>
    <xf numFmtId="44" fontId="29" fillId="0" borderId="9" xfId="45" applyFont="1" applyBorder="1" applyAlignment="1">
      <alignment vertical="center"/>
    </xf>
    <xf numFmtId="185" fontId="29" fillId="0" borderId="9" xfId="20" applyNumberFormat="1" applyFont="1" applyBorder="1" applyAlignment="1">
      <alignment vertic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24" fillId="0" borderId="0" xfId="3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4" fillId="6" borderId="0" xfId="0" applyFont="1" applyFill="1" applyAlignment="1">
      <alignment horizontal="center"/>
    </xf>
    <xf numFmtId="0" fontId="24" fillId="6" borderId="0" xfId="0" applyFont="1" applyFill="1"/>
    <xf numFmtId="2" fontId="24" fillId="6" borderId="0" xfId="0" applyNumberFormat="1" applyFont="1" applyFill="1"/>
    <xf numFmtId="2" fontId="36" fillId="6" borderId="0" xfId="0" applyNumberFormat="1" applyFont="1" applyFill="1" applyAlignment="1">
      <alignment vertical="center"/>
    </xf>
    <xf numFmtId="0" fontId="24" fillId="6" borderId="0" xfId="0" applyFont="1" applyFill="1" applyAlignment="1">
      <alignment vertical="center"/>
    </xf>
    <xf numFmtId="2" fontId="28" fillId="13" borderId="15" xfId="0" applyNumberFormat="1" applyFont="1" applyFill="1" applyBorder="1" applyAlignment="1">
      <alignment vertical="center" wrapText="1"/>
    </xf>
    <xf numFmtId="2" fontId="28" fillId="13" borderId="16" xfId="0" applyNumberFormat="1" applyFont="1" applyFill="1" applyBorder="1" applyAlignment="1">
      <alignment vertical="center" wrapText="1"/>
    </xf>
    <xf numFmtId="0" fontId="28" fillId="14" borderId="17" xfId="0" applyFont="1" applyFill="1" applyBorder="1" applyAlignment="1">
      <alignment horizontal="center" vertical="center" wrapText="1"/>
    </xf>
    <xf numFmtId="0" fontId="28" fillId="13" borderId="16" xfId="0" applyFont="1" applyFill="1" applyBorder="1" applyAlignment="1">
      <alignment vertical="center" wrapText="1"/>
    </xf>
    <xf numFmtId="169" fontId="24" fillId="13" borderId="0" xfId="0" applyNumberFormat="1" applyFont="1" applyFill="1" applyAlignment="1">
      <alignment vertical="center"/>
    </xf>
    <xf numFmtId="0" fontId="24" fillId="13" borderId="0" xfId="0" applyFont="1" applyFill="1" applyAlignment="1">
      <alignment vertical="center"/>
    </xf>
    <xf numFmtId="0" fontId="29" fillId="0" borderId="18" xfId="30" applyFont="1" applyBorder="1" applyAlignment="1">
      <alignment horizontal="center" vertical="center"/>
    </xf>
    <xf numFmtId="0" fontId="29" fillId="0" borderId="19" xfId="30" applyFont="1" applyBorder="1" applyAlignment="1">
      <alignment vertical="center"/>
    </xf>
    <xf numFmtId="0" fontId="36" fillId="6" borderId="0" xfId="0" applyFont="1" applyFill="1" applyAlignment="1">
      <alignment horizontal="left" vertical="center"/>
    </xf>
    <xf numFmtId="0" fontId="24" fillId="13" borderId="0" xfId="30" applyFont="1" applyFill="1" applyAlignment="1">
      <alignment horizontal="center" vertical="center" wrapText="1"/>
    </xf>
    <xf numFmtId="0" fontId="24" fillId="13" borderId="0" xfId="30" applyFont="1" applyFill="1" applyAlignment="1">
      <alignment vertical="center" wrapText="1"/>
    </xf>
    <xf numFmtId="0" fontId="24" fillId="13" borderId="0" xfId="0" applyFont="1" applyFill="1" applyAlignment="1">
      <alignment vertical="center" wrapText="1"/>
    </xf>
    <xf numFmtId="0" fontId="24" fillId="0" borderId="0" xfId="3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0" fontId="24" fillId="6" borderId="0" xfId="0" applyFont="1" applyFill="1" applyAlignment="1">
      <alignment wrapText="1"/>
    </xf>
    <xf numFmtId="0" fontId="24" fillId="6" borderId="0" xfId="0" applyFont="1" applyFill="1" applyAlignment="1">
      <alignment horizontal="center" wrapText="1"/>
    </xf>
    <xf numFmtId="0" fontId="24" fillId="0" borderId="0" xfId="0" applyFont="1" applyAlignment="1">
      <alignment wrapText="1"/>
    </xf>
    <xf numFmtId="2" fontId="36" fillId="6" borderId="0" xfId="0" applyNumberFormat="1" applyFont="1" applyFill="1" applyAlignment="1">
      <alignment horizontal="center" vertical="center"/>
    </xf>
    <xf numFmtId="2" fontId="24" fillId="6" borderId="0" xfId="0" applyNumberFormat="1" applyFont="1" applyFill="1" applyAlignment="1">
      <alignment vertical="center"/>
    </xf>
    <xf numFmtId="2" fontId="36" fillId="0" borderId="0" xfId="0" applyNumberFormat="1" applyFont="1" applyAlignment="1">
      <alignment horizontal="center" vertical="center"/>
    </xf>
    <xf numFmtId="2" fontId="24" fillId="13" borderId="0" xfId="0" applyNumberFormat="1" applyFont="1" applyFill="1" applyAlignment="1">
      <alignment vertical="center" wrapText="1"/>
    </xf>
    <xf numFmtId="2" fontId="24" fillId="13" borderId="0" xfId="0" applyNumberFormat="1" applyFont="1" applyFill="1" applyAlignment="1">
      <alignment horizontal="center" vertical="center" wrapText="1"/>
    </xf>
    <xf numFmtId="0" fontId="24" fillId="13" borderId="0" xfId="0" applyFont="1" applyFill="1" applyAlignment="1">
      <alignment horizontal="center" vertical="center" wrapText="1"/>
    </xf>
    <xf numFmtId="0" fontId="40" fillId="0" borderId="0" xfId="30" applyFont="1" applyAlignment="1">
      <alignment horizontal="center" vertical="center"/>
    </xf>
    <xf numFmtId="169" fontId="24" fillId="6" borderId="0" xfId="0" applyNumberFormat="1" applyFont="1" applyFill="1"/>
    <xf numFmtId="0" fontId="24" fillId="0" borderId="0" xfId="0" applyFont="1"/>
    <xf numFmtId="1" fontId="29" fillId="8" borderId="0" xfId="30" applyNumberFormat="1" applyFont="1" applyFill="1" applyAlignment="1">
      <alignment horizontal="center" vertical="center"/>
    </xf>
    <xf numFmtId="0" fontId="29" fillId="8" borderId="0" xfId="30" applyFont="1" applyFill="1" applyAlignment="1">
      <alignment horizontal="left" vertical="center"/>
    </xf>
    <xf numFmtId="1" fontId="29" fillId="7" borderId="0" xfId="30" applyNumberFormat="1" applyFont="1" applyFill="1" applyAlignment="1">
      <alignment horizontal="center" vertical="center"/>
    </xf>
    <xf numFmtId="0" fontId="29" fillId="7" borderId="0" xfId="30" applyFont="1" applyFill="1" applyAlignment="1">
      <alignment horizontal="left" vertical="center"/>
    </xf>
    <xf numFmtId="17" fontId="24" fillId="6" borderId="0" xfId="0" applyNumberFormat="1" applyFont="1" applyFill="1" applyAlignment="1">
      <alignment horizontal="center" vertical="center"/>
    </xf>
    <xf numFmtId="0" fontId="36" fillId="6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2" fontId="24" fillId="0" borderId="0" xfId="0" applyNumberFormat="1" applyFont="1"/>
    <xf numFmtId="0" fontId="24" fillId="0" borderId="0" xfId="0" applyFont="1" applyAlignment="1">
      <alignment horizontal="center"/>
    </xf>
    <xf numFmtId="0" fontId="24" fillId="13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3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4" fontId="24" fillId="0" borderId="0" xfId="0" applyNumberFormat="1" applyFont="1" applyAlignment="1">
      <alignment horizontal="center" vertical="center"/>
    </xf>
    <xf numFmtId="164" fontId="24" fillId="0" borderId="0" xfId="8" applyFont="1" applyAlignment="1">
      <alignment horizontal="right" vertical="center"/>
    </xf>
    <xf numFmtId="164" fontId="24" fillId="0" borderId="0" xfId="8" applyFont="1" applyAlignment="1">
      <alignment vertical="center"/>
    </xf>
    <xf numFmtId="2" fontId="41" fillId="0" borderId="0" xfId="0" applyNumberFormat="1" applyFont="1" applyAlignment="1">
      <alignment horizontal="left" vertical="center"/>
    </xf>
    <xf numFmtId="2" fontId="41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164" fontId="39" fillId="14" borderId="0" xfId="0" applyNumberFormat="1" applyFont="1" applyFill="1" applyAlignment="1">
      <alignment horizontal="center" vertical="center" wrapText="1"/>
    </xf>
    <xf numFmtId="0" fontId="39" fillId="14" borderId="0" xfId="0" applyFont="1" applyFill="1" applyAlignment="1">
      <alignment horizontal="center" vertical="center" wrapText="1"/>
    </xf>
    <xf numFmtId="0" fontId="29" fillId="8" borderId="0" xfId="0" applyFont="1" applyFill="1" applyAlignment="1">
      <alignment horizontal="center" vertical="center"/>
    </xf>
    <xf numFmtId="0" fontId="29" fillId="8" borderId="0" xfId="0" applyFont="1" applyFill="1" applyAlignment="1">
      <alignment vertical="center"/>
    </xf>
    <xf numFmtId="0" fontId="29" fillId="8" borderId="0" xfId="0" applyFont="1" applyFill="1" applyAlignment="1">
      <alignment horizontal="left" vertical="center"/>
    </xf>
    <xf numFmtId="44" fontId="29" fillId="0" borderId="20" xfId="45" applyFont="1" applyFill="1" applyBorder="1" applyAlignment="1">
      <alignment horizontal="left" vertical="center"/>
    </xf>
    <xf numFmtId="0" fontId="29" fillId="7" borderId="0" xfId="0" applyFont="1" applyFill="1" applyAlignment="1">
      <alignment horizontal="center" vertical="center"/>
    </xf>
    <xf numFmtId="0" fontId="29" fillId="7" borderId="0" xfId="0" applyFont="1" applyFill="1" applyAlignment="1">
      <alignment vertical="center"/>
    </xf>
    <xf numFmtId="4" fontId="29" fillId="7" borderId="0" xfId="0" applyNumberFormat="1" applyFont="1" applyFill="1" applyAlignment="1">
      <alignment horizontal="left" vertical="center"/>
    </xf>
    <xf numFmtId="4" fontId="29" fillId="8" borderId="0" xfId="0" applyNumberFormat="1" applyFont="1" applyFill="1" applyAlignment="1">
      <alignment horizontal="left" vertical="center"/>
    </xf>
    <xf numFmtId="4" fontId="39" fillId="14" borderId="0" xfId="0" applyNumberFormat="1" applyFont="1" applyFill="1" applyAlignment="1">
      <alignment horizontal="center" vertical="center" wrapText="1"/>
    </xf>
    <xf numFmtId="4" fontId="39" fillId="14" borderId="0" xfId="0" applyNumberFormat="1" applyFont="1" applyFill="1" applyAlignment="1">
      <alignment horizontal="right" vertical="center" wrapText="1"/>
    </xf>
    <xf numFmtId="164" fontId="39" fillId="14" borderId="0" xfId="8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4" fontId="29" fillId="0" borderId="0" xfId="0" applyNumberFormat="1" applyFont="1" applyAlignment="1">
      <alignment vertical="center"/>
    </xf>
    <xf numFmtId="4" fontId="29" fillId="0" borderId="0" xfId="0" applyNumberFormat="1" applyFont="1" applyAlignment="1">
      <alignment horizontal="center" vertical="center"/>
    </xf>
    <xf numFmtId="4" fontId="29" fillId="0" borderId="0" xfId="0" applyNumberFormat="1" applyFont="1" applyAlignment="1">
      <alignment horizontal="right" vertical="center"/>
    </xf>
    <xf numFmtId="173" fontId="29" fillId="0" borderId="0" xfId="0" applyNumberFormat="1" applyFont="1" applyAlignment="1">
      <alignment horizontal="center" vertical="center"/>
    </xf>
    <xf numFmtId="0" fontId="29" fillId="10" borderId="0" xfId="0" applyFont="1" applyFill="1" applyAlignment="1">
      <alignment horizontal="center" vertical="center"/>
    </xf>
    <xf numFmtId="0" fontId="29" fillId="10" borderId="0" xfId="0" applyFont="1" applyFill="1" applyAlignment="1">
      <alignment horizontal="left" vertical="center"/>
    </xf>
    <xf numFmtId="0" fontId="29" fillId="10" borderId="0" xfId="0" applyFont="1" applyFill="1" applyAlignment="1">
      <alignment vertical="center"/>
    </xf>
    <xf numFmtId="0" fontId="29" fillId="10" borderId="0" xfId="0" applyFont="1" applyFill="1" applyAlignment="1">
      <alignment horizontal="right" vertical="center"/>
    </xf>
    <xf numFmtId="173" fontId="29" fillId="10" borderId="0" xfId="0" applyNumberFormat="1" applyFont="1" applyFill="1" applyAlignment="1">
      <alignment horizontal="center" vertical="center"/>
    </xf>
    <xf numFmtId="0" fontId="36" fillId="0" borderId="0" xfId="0" applyFont="1" applyAlignment="1">
      <alignment vertical="center"/>
    </xf>
    <xf numFmtId="3" fontId="24" fillId="0" borderId="0" xfId="8" applyNumberFormat="1" applyFont="1" applyAlignment="1">
      <alignment vertical="center"/>
    </xf>
    <xf numFmtId="44" fontId="29" fillId="0" borderId="23" xfId="45" applyFont="1" applyFill="1" applyBorder="1" applyAlignment="1">
      <alignment horizontal="left" vertical="center"/>
    </xf>
    <xf numFmtId="44" fontId="29" fillId="0" borderId="20" xfId="0" applyNumberFormat="1" applyFont="1" applyBorder="1" applyAlignment="1">
      <alignment horizontal="left" vertical="center"/>
    </xf>
    <xf numFmtId="44" fontId="24" fillId="0" borderId="0" xfId="0" applyNumberFormat="1" applyFont="1" applyAlignment="1">
      <alignment vertical="center"/>
    </xf>
    <xf numFmtId="44" fontId="24" fillId="0" borderId="0" xfId="0" applyNumberFormat="1" applyFont="1" applyAlignment="1">
      <alignment horizontal="right" vertical="center"/>
    </xf>
    <xf numFmtId="44" fontId="24" fillId="0" borderId="0" xfId="0" applyNumberFormat="1" applyFont="1" applyAlignment="1">
      <alignment horizontal="center" vertical="center"/>
    </xf>
    <xf numFmtId="4" fontId="25" fillId="0" borderId="0" xfId="0" applyNumberFormat="1" applyFont="1" applyAlignment="1">
      <alignment vertical="center"/>
    </xf>
    <xf numFmtId="0" fontId="35" fillId="0" borderId="0" xfId="3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9" fillId="14" borderId="0" xfId="0" applyFont="1" applyFill="1" applyAlignment="1">
      <alignment vertical="center" wrapText="1"/>
    </xf>
    <xf numFmtId="0" fontId="29" fillId="0" borderId="0" xfId="0" applyFont="1" applyAlignment="1">
      <alignment vertical="center"/>
    </xf>
    <xf numFmtId="0" fontId="28" fillId="14" borderId="0" xfId="0" applyFont="1" applyFill="1" applyAlignment="1">
      <alignment horizontal="center" vertical="center" wrapText="1"/>
    </xf>
    <xf numFmtId="4" fontId="28" fillId="14" borderId="0" xfId="0" applyNumberFormat="1" applyFont="1" applyFill="1" applyAlignment="1">
      <alignment horizontal="center" vertical="center" wrapText="1"/>
    </xf>
    <xf numFmtId="164" fontId="28" fillId="14" borderId="0" xfId="40" applyFont="1" applyFill="1" applyAlignment="1">
      <alignment horizontal="center" vertical="center" wrapText="1"/>
    </xf>
    <xf numFmtId="4" fontId="28" fillId="14" borderId="5" xfId="40" applyNumberFormat="1" applyFont="1" applyFill="1" applyBorder="1" applyAlignment="1">
      <alignment horizontal="center" vertical="center" wrapText="1"/>
    </xf>
    <xf numFmtId="4" fontId="28" fillId="14" borderId="5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29" fillId="9" borderId="0" xfId="0" applyFont="1" applyFill="1" applyAlignment="1">
      <alignment horizontal="center" vertical="center"/>
    </xf>
    <xf numFmtId="0" fontId="29" fillId="9" borderId="0" xfId="0" applyFont="1" applyFill="1" applyAlignment="1">
      <alignment horizontal="left" vertical="center"/>
    </xf>
    <xf numFmtId="0" fontId="29" fillId="9" borderId="0" xfId="0" applyFont="1" applyFill="1" applyAlignment="1">
      <alignment vertical="center"/>
    </xf>
    <xf numFmtId="173" fontId="29" fillId="9" borderId="0" xfId="0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6" borderId="0" xfId="0" applyFont="1" applyFill="1" applyAlignment="1">
      <alignment horizontal="center" vertical="center" textRotation="90"/>
    </xf>
    <xf numFmtId="0" fontId="24" fillId="0" borderId="0" xfId="0" applyFont="1" applyAlignment="1">
      <alignment horizontal="center" vertical="center" textRotation="90" wrapText="1"/>
    </xf>
    <xf numFmtId="0" fontId="24" fillId="0" borderId="0" xfId="0" applyFont="1" applyAlignment="1">
      <alignment horizontal="left" vertical="center" wrapText="1"/>
    </xf>
    <xf numFmtId="44" fontId="24" fillId="0" borderId="20" xfId="45" applyFont="1" applyFill="1" applyBorder="1" applyAlignment="1">
      <alignment horizontal="left" vertical="center"/>
    </xf>
    <xf numFmtId="44" fontId="24" fillId="0" borderId="20" xfId="0" applyNumberFormat="1" applyFont="1" applyBorder="1" applyAlignment="1">
      <alignment horizontal="left" vertical="center"/>
    </xf>
    <xf numFmtId="44" fontId="24" fillId="0" borderId="0" xfId="0" applyNumberFormat="1" applyFont="1" applyAlignment="1">
      <alignment horizontal="left" vertical="center"/>
    </xf>
    <xf numFmtId="173" fontId="24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center" vertical="center" textRotation="90"/>
    </xf>
    <xf numFmtId="0" fontId="29" fillId="11" borderId="0" xfId="0" applyFont="1" applyFill="1" applyAlignment="1">
      <alignment horizontal="left" vertical="center" wrapText="1"/>
    </xf>
    <xf numFmtId="0" fontId="24" fillId="0" borderId="0" xfId="0" applyFont="1" applyAlignment="1">
      <alignment horizontal="center" vertical="center" textRotation="90"/>
    </xf>
    <xf numFmtId="0" fontId="25" fillId="0" borderId="24" xfId="0" applyFont="1" applyBorder="1" applyAlignment="1">
      <alignment horizontal="center"/>
    </xf>
    <xf numFmtId="0" fontId="46" fillId="0" borderId="2" xfId="0" applyFont="1" applyBorder="1"/>
    <xf numFmtId="0" fontId="25" fillId="0" borderId="25" xfId="0" applyFont="1" applyBorder="1"/>
    <xf numFmtId="0" fontId="25" fillId="0" borderId="26" xfId="0" applyFont="1" applyBorder="1" applyAlignment="1">
      <alignment horizontal="center"/>
    </xf>
    <xf numFmtId="0" fontId="25" fillId="0" borderId="27" xfId="0" applyFont="1" applyBorder="1"/>
    <xf numFmtId="0" fontId="47" fillId="0" borderId="0" xfId="0" applyFont="1"/>
    <xf numFmtId="0" fontId="26" fillId="0" borderId="0" xfId="0" applyFont="1"/>
    <xf numFmtId="0" fontId="25" fillId="0" borderId="26" xfId="0" applyFont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0" fontId="26" fillId="0" borderId="0" xfId="0" applyFont="1" applyAlignment="1">
      <alignment horizontal="left" indent="1"/>
    </xf>
    <xf numFmtId="0" fontId="25" fillId="0" borderId="28" xfId="0" applyFont="1" applyBorder="1" applyAlignment="1">
      <alignment horizontal="center" vertical="center"/>
    </xf>
    <xf numFmtId="0" fontId="48" fillId="0" borderId="0" xfId="29" applyFont="1" applyAlignment="1">
      <alignment horizontal="center"/>
    </xf>
    <xf numFmtId="0" fontId="48" fillId="0" borderId="0" xfId="29" applyFont="1"/>
    <xf numFmtId="0" fontId="39" fillId="14" borderId="9" xfId="0" applyFont="1" applyFill="1" applyBorder="1" applyAlignment="1">
      <alignment horizontal="center" vertical="center" wrapText="1"/>
    </xf>
    <xf numFmtId="0" fontId="39" fillId="14" borderId="9" xfId="0" applyFont="1" applyFill="1" applyBorder="1" applyAlignment="1">
      <alignment horizontal="left" vertical="center" wrapText="1"/>
    </xf>
    <xf numFmtId="168" fontId="39" fillId="14" borderId="9" xfId="19" applyFont="1" applyFill="1" applyBorder="1" applyAlignment="1">
      <alignment horizontal="center" vertical="center" wrapText="1"/>
    </xf>
    <xf numFmtId="173" fontId="39" fillId="14" borderId="9" xfId="0" applyNumberFormat="1" applyFont="1" applyFill="1" applyBorder="1" applyAlignment="1">
      <alignment horizontal="center" vertical="center" wrapText="1"/>
    </xf>
    <xf numFmtId="173" fontId="39" fillId="14" borderId="13" xfId="0" applyNumberFormat="1" applyFont="1" applyFill="1" applyBorder="1" applyAlignment="1">
      <alignment horizontal="center" vertical="center" wrapText="1"/>
    </xf>
    <xf numFmtId="0" fontId="48" fillId="0" borderId="0" xfId="29" applyFont="1" applyAlignment="1">
      <alignment horizontal="center" vertical="center"/>
    </xf>
    <xf numFmtId="0" fontId="29" fillId="7" borderId="9" xfId="0" applyFont="1" applyFill="1" applyBorder="1" applyAlignment="1">
      <alignment horizontal="center" vertical="center"/>
    </xf>
    <xf numFmtId="0" fontId="29" fillId="7" borderId="9" xfId="0" applyFont="1" applyFill="1" applyBorder="1" applyAlignment="1">
      <alignment vertical="center"/>
    </xf>
    <xf numFmtId="3" fontId="29" fillId="7" borderId="9" xfId="0" applyNumberFormat="1" applyFont="1" applyFill="1" applyBorder="1" applyAlignment="1">
      <alignment vertical="center"/>
    </xf>
    <xf numFmtId="180" fontId="29" fillId="7" borderId="9" xfId="0" applyNumberFormat="1" applyFont="1" applyFill="1" applyBorder="1" applyAlignment="1">
      <alignment vertical="center"/>
    </xf>
    <xf numFmtId="1" fontId="29" fillId="7" borderId="9" xfId="0" applyNumberFormat="1" applyFont="1" applyFill="1" applyBorder="1" applyAlignment="1">
      <alignment vertical="center"/>
    </xf>
    <xf numFmtId="173" fontId="29" fillId="7" borderId="9" xfId="0" applyNumberFormat="1" applyFont="1" applyFill="1" applyBorder="1" applyAlignment="1">
      <alignment vertical="center"/>
    </xf>
    <xf numFmtId="173" fontId="29" fillId="7" borderId="14" xfId="0" applyNumberFormat="1" applyFont="1" applyFill="1" applyBorder="1" applyAlignment="1">
      <alignment vertical="center"/>
    </xf>
    <xf numFmtId="0" fontId="42" fillId="11" borderId="9" xfId="0" applyFont="1" applyFill="1" applyBorder="1" applyAlignment="1">
      <alignment horizontal="center" vertical="center"/>
    </xf>
    <xf numFmtId="0" fontId="42" fillId="11" borderId="9" xfId="0" applyFont="1" applyFill="1" applyBorder="1" applyAlignment="1">
      <alignment vertical="center"/>
    </xf>
    <xf numFmtId="181" fontId="42" fillId="11" borderId="9" xfId="0" applyNumberFormat="1" applyFont="1" applyFill="1" applyBorder="1" applyAlignment="1">
      <alignment vertical="center"/>
    </xf>
    <xf numFmtId="182" fontId="42" fillId="11" borderId="9" xfId="0" applyNumberFormat="1" applyFont="1" applyFill="1" applyBorder="1" applyAlignment="1">
      <alignment vertical="center"/>
    </xf>
    <xf numFmtId="173" fontId="42" fillId="11" borderId="9" xfId="0" applyNumberFormat="1" applyFont="1" applyFill="1" applyBorder="1" applyAlignment="1">
      <alignment vertical="center"/>
    </xf>
    <xf numFmtId="173" fontId="42" fillId="11" borderId="0" xfId="0" applyNumberFormat="1" applyFont="1" applyFill="1" applyAlignment="1">
      <alignment vertical="center"/>
    </xf>
    <xf numFmtId="0" fontId="49" fillId="0" borderId="0" xfId="29" applyFont="1"/>
    <xf numFmtId="173" fontId="24" fillId="7" borderId="9" xfId="0" applyNumberFormat="1" applyFont="1" applyFill="1" applyBorder="1" applyAlignment="1">
      <alignment vertical="center"/>
    </xf>
    <xf numFmtId="173" fontId="48" fillId="0" borderId="0" xfId="29" applyNumberFormat="1" applyFont="1"/>
    <xf numFmtId="0" fontId="29" fillId="7" borderId="9" xfId="0" applyFont="1" applyFill="1" applyBorder="1" applyAlignment="1">
      <alignment horizontal="left" vertical="center"/>
    </xf>
    <xf numFmtId="0" fontId="29" fillId="8" borderId="9" xfId="0" applyFont="1" applyFill="1" applyBorder="1" applyAlignment="1">
      <alignment horizontal="left" vertical="center"/>
    </xf>
    <xf numFmtId="0" fontId="24" fillId="7" borderId="9" xfId="0" applyFont="1" applyFill="1" applyBorder="1" applyAlignment="1">
      <alignment vertical="center"/>
    </xf>
    <xf numFmtId="183" fontId="24" fillId="7" borderId="9" xfId="0" applyNumberFormat="1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vertical="center"/>
    </xf>
    <xf numFmtId="0" fontId="24" fillId="7" borderId="4" xfId="0" applyFont="1" applyFill="1" applyBorder="1" applyAlignment="1">
      <alignment vertical="center"/>
    </xf>
    <xf numFmtId="0" fontId="24" fillId="7" borderId="14" xfId="0" applyFont="1" applyFill="1" applyBorder="1" applyAlignment="1">
      <alignment vertical="center"/>
    </xf>
    <xf numFmtId="2" fontId="26" fillId="6" borderId="0" xfId="0" applyNumberFormat="1" applyFont="1" applyFill="1" applyAlignment="1">
      <alignment vertical="center"/>
    </xf>
    <xf numFmtId="0" fontId="50" fillId="0" borderId="0" xfId="0" applyFont="1"/>
    <xf numFmtId="173" fontId="0" fillId="7" borderId="9" xfId="0" applyNumberFormat="1" applyFill="1" applyBorder="1" applyAlignment="1">
      <alignment vertical="center"/>
    </xf>
    <xf numFmtId="1" fontId="29" fillId="0" borderId="0" xfId="0" applyNumberFormat="1" applyFont="1" applyAlignment="1">
      <alignment horizontal="center" vertical="center"/>
    </xf>
    <xf numFmtId="0" fontId="51" fillId="0" borderId="31" xfId="0" applyFont="1" applyBorder="1" applyAlignment="1">
      <alignment horizontal="left" vertical="top" wrapText="1"/>
    </xf>
    <xf numFmtId="0" fontId="35" fillId="0" borderId="0" xfId="30" applyFont="1" applyAlignment="1">
      <alignment horizontal="center" vertical="center"/>
    </xf>
    <xf numFmtId="170" fontId="36" fillId="5" borderId="9" xfId="0" applyNumberFormat="1" applyFont="1" applyFill="1" applyBorder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34" fillId="13" borderId="8" xfId="30" applyFont="1" applyFill="1" applyBorder="1" applyAlignment="1">
      <alignment horizontal="center" vertical="center" wrapText="1"/>
    </xf>
    <xf numFmtId="0" fontId="34" fillId="13" borderId="11" xfId="30" applyFont="1" applyFill="1" applyBorder="1" applyAlignment="1">
      <alignment horizontal="center" vertical="center" wrapText="1"/>
    </xf>
    <xf numFmtId="0" fontId="25" fillId="0" borderId="0" xfId="47" applyFont="1" applyAlignment="1">
      <alignment horizontal="left" wrapText="1"/>
    </xf>
    <xf numFmtId="0" fontId="25" fillId="0" borderId="0" xfId="47" applyFont="1" applyAlignment="1">
      <alignment horizontal="left"/>
    </xf>
    <xf numFmtId="170" fontId="36" fillId="5" borderId="7" xfId="0" applyNumberFormat="1" applyFont="1" applyFill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0" fontId="35" fillId="0" borderId="6" xfId="30" applyFont="1" applyBorder="1" applyAlignment="1">
      <alignment horizontal="center" vertical="center"/>
    </xf>
    <xf numFmtId="4" fontId="24" fillId="0" borderId="9" xfId="0" applyNumberFormat="1" applyFont="1" applyBorder="1" applyAlignment="1">
      <alignment horizontal="center" vertical="center"/>
    </xf>
    <xf numFmtId="170" fontId="36" fillId="5" borderId="4" xfId="0" applyNumberFormat="1" applyFont="1" applyFill="1" applyBorder="1" applyAlignment="1">
      <alignment horizontal="center" vertical="center"/>
    </xf>
    <xf numFmtId="170" fontId="36" fillId="5" borderId="14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5" fillId="0" borderId="27" xfId="0" applyFont="1" applyBorder="1" applyAlignment="1">
      <alignment horizontal="left"/>
    </xf>
    <xf numFmtId="0" fontId="25" fillId="0" borderId="29" xfId="0" applyFont="1" applyBorder="1" applyAlignment="1">
      <alignment horizontal="left"/>
    </xf>
    <xf numFmtId="0" fontId="25" fillId="0" borderId="30" xfId="0" applyFont="1" applyBorder="1" applyAlignment="1">
      <alignment horizontal="left"/>
    </xf>
    <xf numFmtId="0" fontId="25" fillId="0" borderId="0" xfId="0" applyFont="1" applyAlignment="1">
      <alignment horizontal="left" wrapText="1"/>
    </xf>
    <xf numFmtId="0" fontId="25" fillId="0" borderId="27" xfId="0" applyFont="1" applyBorder="1" applyAlignment="1">
      <alignment horizontal="left" wrapText="1"/>
    </xf>
    <xf numFmtId="0" fontId="24" fillId="0" borderId="8" xfId="0" applyFont="1" applyBorder="1" applyAlignment="1">
      <alignment horizontal="center" vertical="center" textRotation="90"/>
    </xf>
    <xf numFmtId="0" fontId="24" fillId="0" borderId="11" xfId="0" applyFont="1" applyBorder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textRotation="90"/>
    </xf>
    <xf numFmtId="170" fontId="24" fillId="5" borderId="7" xfId="0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2" fontId="28" fillId="13" borderId="7" xfId="0" applyNumberFormat="1" applyFont="1" applyFill="1" applyBorder="1" applyAlignment="1">
      <alignment horizontal="left" vertical="center"/>
    </xf>
    <xf numFmtId="2" fontId="28" fillId="13" borderId="4" xfId="0" applyNumberFormat="1" applyFont="1" applyFill="1" applyBorder="1" applyAlignment="1">
      <alignment horizontal="left" vertical="center"/>
    </xf>
    <xf numFmtId="0" fontId="31" fillId="13" borderId="9" xfId="0" applyFont="1" applyFill="1" applyBorder="1" applyAlignment="1" applyProtection="1">
      <alignment vertical="center" wrapText="1"/>
    </xf>
    <xf numFmtId="0" fontId="2" fillId="0" borderId="0" xfId="42" applyAlignment="1" applyProtection="1">
      <alignment wrapText="1"/>
    </xf>
    <xf numFmtId="0" fontId="32" fillId="0" borderId="9" xfId="46" applyFont="1" applyBorder="1" applyAlignment="1" applyProtection="1">
      <alignment horizontal="left" vertical="center" wrapText="1"/>
    </xf>
    <xf numFmtId="49" fontId="33" fillId="0" borderId="9" xfId="46" applyNumberFormat="1" applyFont="1" applyBorder="1" applyAlignment="1" applyProtection="1">
      <alignment horizontal="left" vertical="center" wrapText="1"/>
    </xf>
    <xf numFmtId="0" fontId="32" fillId="6" borderId="9" xfId="46" applyFont="1" applyFill="1" applyBorder="1" applyAlignment="1" applyProtection="1">
      <alignment horizontal="left" vertical="center" wrapText="1"/>
    </xf>
    <xf numFmtId="49" fontId="33" fillId="6" borderId="9" xfId="46" applyNumberFormat="1" applyFont="1" applyFill="1" applyBorder="1" applyAlignment="1" applyProtection="1">
      <alignment horizontal="left" vertical="center" wrapText="1"/>
    </xf>
    <xf numFmtId="0" fontId="33" fillId="0" borderId="9" xfId="46" applyFont="1" applyBorder="1" applyAlignment="1" applyProtection="1">
      <alignment horizontal="left" vertical="center" wrapText="1"/>
    </xf>
    <xf numFmtId="0" fontId="2" fillId="0" borderId="0" xfId="42" applyAlignment="1" applyProtection="1">
      <alignment horizontal="left" vertical="center" wrapText="1"/>
    </xf>
    <xf numFmtId="0" fontId="28" fillId="13" borderId="9" xfId="0" applyFont="1" applyFill="1" applyBorder="1" applyAlignment="1" applyProtection="1">
      <alignment vertical="center" wrapText="1"/>
    </xf>
    <xf numFmtId="0" fontId="25" fillId="0" borderId="9" xfId="46" applyFont="1" applyBorder="1" applyAlignment="1" applyProtection="1">
      <alignment horizontal="left" vertical="center" wrapText="1"/>
    </xf>
    <xf numFmtId="49" fontId="30" fillId="0" borderId="9" xfId="46" applyNumberFormat="1" applyFont="1" applyBorder="1" applyAlignment="1" applyProtection="1">
      <alignment horizontal="left" vertical="center" wrapText="1"/>
    </xf>
    <xf numFmtId="0" fontId="25" fillId="6" borderId="9" xfId="46" applyFont="1" applyFill="1" applyBorder="1" applyAlignment="1" applyProtection="1">
      <alignment horizontal="left" vertical="center" wrapText="1"/>
    </xf>
    <xf numFmtId="49" fontId="30" fillId="6" borderId="9" xfId="46" applyNumberFormat="1" applyFont="1" applyFill="1" applyBorder="1" applyAlignment="1" applyProtection="1">
      <alignment horizontal="left" vertical="center" wrapText="1"/>
    </xf>
    <xf numFmtId="0" fontId="2" fillId="0" borderId="9" xfId="46" applyFont="1" applyBorder="1" applyAlignment="1" applyProtection="1">
      <alignment horizontal="left" vertical="center" wrapText="1"/>
    </xf>
    <xf numFmtId="49" fontId="23" fillId="0" borderId="9" xfId="46" applyNumberFormat="1" applyFont="1" applyBorder="1" applyAlignment="1" applyProtection="1">
      <alignment horizontal="left" vertical="center" wrapText="1"/>
    </xf>
    <xf numFmtId="0" fontId="35" fillId="0" borderId="0" xfId="30" applyFont="1" applyAlignment="1" applyProtection="1">
      <alignment horizontal="center" vertical="center"/>
    </xf>
    <xf numFmtId="0" fontId="24" fillId="0" borderId="0" xfId="30" applyFont="1" applyAlignment="1" applyProtection="1">
      <alignment vertical="center"/>
    </xf>
    <xf numFmtId="170" fontId="24" fillId="5" borderId="9" xfId="0" applyNumberFormat="1" applyFont="1" applyFill="1" applyBorder="1" applyAlignment="1" applyProtection="1">
      <alignment horizontal="center" vertical="center"/>
    </xf>
    <xf numFmtId="0" fontId="36" fillId="0" borderId="9" xfId="30" applyFont="1" applyBorder="1" applyAlignment="1" applyProtection="1">
      <alignment horizontal="center" vertical="center"/>
    </xf>
    <xf numFmtId="0" fontId="24" fillId="0" borderId="0" xfId="0" applyFont="1" applyAlignment="1" applyProtection="1">
      <alignment vertical="center"/>
    </xf>
    <xf numFmtId="0" fontId="28" fillId="13" borderId="10" xfId="0" applyFont="1" applyFill="1" applyBorder="1" applyAlignment="1" applyProtection="1">
      <alignment horizontal="center" vertical="center" wrapText="1"/>
    </xf>
    <xf numFmtId="0" fontId="28" fillId="13" borderId="12" xfId="0" applyFont="1" applyFill="1" applyBorder="1" applyAlignment="1" applyProtection="1">
      <alignment horizontal="center" vertical="center" wrapText="1"/>
    </xf>
    <xf numFmtId="0" fontId="28" fillId="13" borderId="13" xfId="0" applyFont="1" applyFill="1" applyBorder="1" applyAlignment="1" applyProtection="1">
      <alignment horizontal="center" vertical="center" wrapText="1"/>
    </xf>
    <xf numFmtId="0" fontId="28" fillId="13" borderId="7" xfId="0" applyFont="1" applyFill="1" applyBorder="1" applyAlignment="1" applyProtection="1">
      <alignment horizontal="left" vertical="center" wrapText="1"/>
    </xf>
    <xf numFmtId="0" fontId="28" fillId="13" borderId="14" xfId="0" applyFont="1" applyFill="1" applyBorder="1" applyAlignment="1" applyProtection="1">
      <alignment horizontal="left" vertical="center" wrapText="1"/>
    </xf>
    <xf numFmtId="0" fontId="28" fillId="13" borderId="9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vertical="center" wrapText="1"/>
    </xf>
    <xf numFmtId="9" fontId="24" fillId="0" borderId="7" xfId="0" applyNumberFormat="1" applyFont="1" applyBorder="1" applyAlignment="1" applyProtection="1">
      <alignment horizontal="left" vertical="center" wrapText="1"/>
    </xf>
    <xf numFmtId="9" fontId="24" fillId="0" borderId="14" xfId="0" applyNumberFormat="1" applyFont="1" applyBorder="1" applyAlignment="1" applyProtection="1">
      <alignment horizontal="left" vertical="center" wrapText="1"/>
    </xf>
    <xf numFmtId="173" fontId="24" fillId="0" borderId="9" xfId="0" applyNumberFormat="1" applyFont="1" applyBorder="1" applyAlignment="1" applyProtection="1">
      <alignment vertical="center"/>
    </xf>
    <xf numFmtId="0" fontId="24" fillId="0" borderId="9" xfId="0" applyFont="1" applyBorder="1" applyAlignment="1" applyProtection="1">
      <alignment vertical="center"/>
    </xf>
    <xf numFmtId="0" fontId="24" fillId="0" borderId="7" xfId="0" applyFont="1" applyBorder="1" applyAlignment="1" applyProtection="1">
      <alignment horizontal="left" vertical="center"/>
    </xf>
    <xf numFmtId="0" fontId="24" fillId="0" borderId="14" xfId="0" applyFont="1" applyBorder="1" applyAlignment="1" applyProtection="1">
      <alignment horizontal="left" vertical="center"/>
    </xf>
    <xf numFmtId="9" fontId="24" fillId="0" borderId="7" xfId="0" applyNumberFormat="1" applyFont="1" applyBorder="1" applyAlignment="1" applyProtection="1">
      <alignment horizontal="left" vertical="center"/>
    </xf>
    <xf numFmtId="9" fontId="24" fillId="0" borderId="4" xfId="0" applyNumberFormat="1" applyFont="1" applyBorder="1" applyAlignment="1" applyProtection="1">
      <alignment horizontal="left" vertical="center"/>
    </xf>
    <xf numFmtId="9" fontId="24" fillId="0" borderId="14" xfId="0" applyNumberFormat="1" applyFont="1" applyBorder="1" applyAlignment="1" applyProtection="1">
      <alignment horizontal="left" vertical="center"/>
    </xf>
    <xf numFmtId="10" fontId="24" fillId="0" borderId="9" xfId="0" applyNumberFormat="1" applyFont="1" applyBorder="1" applyAlignment="1" applyProtection="1">
      <alignment horizontal="center" vertical="center"/>
    </xf>
    <xf numFmtId="9" fontId="24" fillId="0" borderId="9" xfId="0" applyNumberFormat="1" applyFont="1" applyBorder="1" applyAlignment="1" applyProtection="1">
      <alignment vertical="center"/>
    </xf>
    <xf numFmtId="0" fontId="37" fillId="11" borderId="9" xfId="0" applyFont="1" applyFill="1" applyBorder="1" applyAlignment="1" applyProtection="1">
      <alignment horizontal="center" vertical="center"/>
    </xf>
    <xf numFmtId="170" fontId="29" fillId="11" borderId="9" xfId="0" applyNumberFormat="1" applyFont="1" applyFill="1" applyBorder="1" applyAlignment="1" applyProtection="1">
      <alignment horizontal="center" vertical="center"/>
    </xf>
    <xf numFmtId="172" fontId="29" fillId="11" borderId="9" xfId="31" applyNumberFormat="1" applyFont="1" applyFill="1" applyBorder="1" applyAlignment="1" applyProtection="1">
      <alignment horizontal="left" vertical="center"/>
    </xf>
    <xf numFmtId="0" fontId="38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center" vertical="center"/>
    </xf>
    <xf numFmtId="170" fontId="24" fillId="0" borderId="0" xfId="0" applyNumberFormat="1" applyFont="1" applyAlignment="1" applyProtection="1">
      <alignment vertical="center"/>
    </xf>
    <xf numFmtId="0" fontId="28" fillId="13" borderId="4" xfId="0" applyFont="1" applyFill="1" applyBorder="1" applyAlignment="1" applyProtection="1">
      <alignment horizontal="left" vertical="center" wrapText="1"/>
    </xf>
    <xf numFmtId="170" fontId="39" fillId="13" borderId="9" xfId="0" applyNumberFormat="1" applyFont="1" applyFill="1" applyBorder="1" applyAlignment="1" applyProtection="1">
      <alignment horizontal="center" vertical="center" wrapText="1"/>
    </xf>
    <xf numFmtId="0" fontId="39" fillId="13" borderId="9" xfId="0" applyFont="1" applyFill="1" applyBorder="1" applyAlignment="1" applyProtection="1">
      <alignment horizontal="center" vertical="center" wrapText="1"/>
    </xf>
    <xf numFmtId="0" fontId="24" fillId="0" borderId="9" xfId="0" applyFont="1" applyBorder="1" applyAlignment="1" applyProtection="1">
      <alignment horizontal="left" vertical="center"/>
    </xf>
    <xf numFmtId="0" fontId="24" fillId="0" borderId="9" xfId="0" applyFont="1" applyBorder="1" applyAlignment="1" applyProtection="1">
      <alignment vertical="center"/>
    </xf>
    <xf numFmtId="172" fontId="24" fillId="0" borderId="9" xfId="31" applyNumberFormat="1" applyFont="1" applyBorder="1" applyAlignment="1" applyProtection="1">
      <alignment horizontal="left" vertical="center"/>
    </xf>
    <xf numFmtId="10" fontId="24" fillId="0" borderId="9" xfId="0" applyNumberFormat="1" applyFont="1" applyBorder="1" applyAlignment="1" applyProtection="1">
      <alignment vertical="center"/>
    </xf>
    <xf numFmtId="183" fontId="24" fillId="0" borderId="9" xfId="0" applyNumberFormat="1" applyFont="1" applyBorder="1" applyAlignment="1" applyProtection="1">
      <alignment vertical="center"/>
    </xf>
    <xf numFmtId="10" fontId="24" fillId="0" borderId="9" xfId="44" applyNumberFormat="1" applyFont="1" applyBorder="1" applyAlignment="1" applyProtection="1">
      <alignment vertical="center"/>
    </xf>
    <xf numFmtId="172" fontId="29" fillId="11" borderId="9" xfId="2" applyNumberFormat="1" applyFont="1" applyFill="1" applyBorder="1" applyAlignment="1" applyProtection="1">
      <alignment horizontal="left" vertical="center"/>
    </xf>
    <xf numFmtId="170" fontId="24" fillId="0" borderId="0" xfId="0" applyNumberFormat="1" applyFont="1" applyAlignment="1" applyProtection="1">
      <alignment horizontal="center" vertical="center"/>
    </xf>
    <xf numFmtId="166" fontId="24" fillId="0" borderId="0" xfId="0" applyNumberFormat="1" applyFont="1" applyAlignment="1" applyProtection="1">
      <alignment horizontal="left" vertical="center"/>
    </xf>
    <xf numFmtId="170" fontId="24" fillId="0" borderId="9" xfId="0" applyNumberFormat="1" applyFont="1" applyBorder="1" applyAlignment="1" applyProtection="1">
      <alignment horizontal="center" vertical="center"/>
    </xf>
    <xf numFmtId="186" fontId="24" fillId="0" borderId="9" xfId="0" applyNumberFormat="1" applyFont="1" applyBorder="1" applyAlignment="1" applyProtection="1">
      <alignment vertical="center"/>
    </xf>
    <xf numFmtId="186" fontId="24" fillId="0" borderId="9" xfId="44" applyNumberFormat="1" applyFont="1" applyBorder="1" applyAlignment="1" applyProtection="1">
      <alignment vertical="center"/>
    </xf>
    <xf numFmtId="171" fontId="24" fillId="0" borderId="9" xfId="0" applyNumberFormat="1" applyFont="1" applyBorder="1" applyAlignment="1" applyProtection="1">
      <alignment vertical="center"/>
    </xf>
    <xf numFmtId="0" fontId="24" fillId="0" borderId="4" xfId="0" applyFont="1" applyBorder="1" applyAlignment="1" applyProtection="1">
      <alignment horizontal="left" vertical="center"/>
    </xf>
    <xf numFmtId="171" fontId="24" fillId="0" borderId="9" xfId="2" applyFont="1" applyBorder="1" applyAlignment="1" applyProtection="1">
      <alignment horizontal="left" vertical="center"/>
    </xf>
    <xf numFmtId="0" fontId="24" fillId="0" borderId="0" xfId="0" applyFont="1" applyAlignment="1" applyProtection="1">
      <alignment horizontal="center" vertical="center"/>
    </xf>
    <xf numFmtId="172" fontId="24" fillId="0" borderId="0" xfId="31" applyNumberFormat="1" applyFont="1" applyAlignment="1" applyProtection="1">
      <alignment horizontal="left" vertical="center"/>
    </xf>
    <xf numFmtId="170" fontId="24" fillId="0" borderId="9" xfId="44" applyNumberFormat="1" applyFont="1" applyFill="1" applyBorder="1" applyAlignment="1" applyProtection="1">
      <alignment horizontal="center" vertical="center"/>
    </xf>
    <xf numFmtId="171" fontId="29" fillId="11" borderId="9" xfId="2" applyFont="1" applyFill="1" applyBorder="1" applyAlignment="1" applyProtection="1">
      <alignment horizontal="left" vertical="center"/>
    </xf>
    <xf numFmtId="171" fontId="24" fillId="0" borderId="0" xfId="2" applyFont="1" applyAlignment="1" applyProtection="1">
      <alignment horizontal="left" vertical="center"/>
    </xf>
    <xf numFmtId="0" fontId="37" fillId="11" borderId="7" xfId="0" applyFont="1" applyFill="1" applyBorder="1" applyAlignment="1" applyProtection="1">
      <alignment horizontal="left" vertical="center"/>
    </xf>
    <xf numFmtId="0" fontId="37" fillId="11" borderId="4" xfId="0" applyFont="1" applyFill="1" applyBorder="1" applyAlignment="1" applyProtection="1">
      <alignment horizontal="left" vertical="center"/>
    </xf>
    <xf numFmtId="0" fontId="37" fillId="11" borderId="14" xfId="0" applyFont="1" applyFill="1" applyBorder="1" applyAlignment="1" applyProtection="1">
      <alignment horizontal="left" vertical="center"/>
    </xf>
    <xf numFmtId="173" fontId="37" fillId="11" borderId="9" xfId="0" applyNumberFormat="1" applyFont="1" applyFill="1" applyBorder="1" applyAlignment="1" applyProtection="1">
      <alignment vertical="center"/>
    </xf>
    <xf numFmtId="173" fontId="24" fillId="0" borderId="0" xfId="0" applyNumberFormat="1" applyFont="1" applyAlignment="1" applyProtection="1">
      <alignment vertical="center"/>
    </xf>
    <xf numFmtId="0" fontId="28" fillId="13" borderId="7" xfId="0" applyFont="1" applyFill="1" applyBorder="1" applyAlignment="1" applyProtection="1">
      <alignment vertical="center" wrapText="1"/>
    </xf>
    <xf numFmtId="0" fontId="28" fillId="13" borderId="4" xfId="0" applyFont="1" applyFill="1" applyBorder="1" applyAlignment="1" applyProtection="1">
      <alignment vertical="center" wrapText="1"/>
    </xf>
    <xf numFmtId="10" fontId="39" fillId="13" borderId="9" xfId="0" applyNumberFormat="1" applyFont="1" applyFill="1" applyBorder="1" applyAlignment="1" applyProtection="1">
      <alignment horizontal="center" vertical="center" wrapText="1"/>
    </xf>
    <xf numFmtId="9" fontId="24" fillId="0" borderId="9" xfId="0" applyNumberFormat="1" applyFont="1" applyBorder="1" applyAlignment="1" applyProtection="1">
      <alignment horizontal="center" vertical="center"/>
    </xf>
    <xf numFmtId="173" fontId="24" fillId="0" borderId="9" xfId="2" applyNumberFormat="1" applyFont="1" applyBorder="1" applyAlignment="1" applyProtection="1">
      <alignment horizontal="left" vertical="center"/>
    </xf>
    <xf numFmtId="0" fontId="24" fillId="0" borderId="9" xfId="0" applyFont="1" applyBorder="1" applyAlignment="1" applyProtection="1">
      <alignment horizontal="left" vertical="center"/>
    </xf>
    <xf numFmtId="164" fontId="24" fillId="5" borderId="9" xfId="0" applyNumberFormat="1" applyFont="1" applyFill="1" applyBorder="1" applyAlignment="1" applyProtection="1">
      <alignment horizontal="left" vertical="center"/>
      <protection locked="0" hidden="1"/>
    </xf>
    <xf numFmtId="10" fontId="24" fillId="5" borderId="9" xfId="0" applyNumberFormat="1" applyFont="1" applyFill="1" applyBorder="1" applyAlignment="1" applyProtection="1">
      <alignment horizontal="center" vertical="center"/>
      <protection locked="0" hidden="1"/>
    </xf>
    <xf numFmtId="10" fontId="24" fillId="5" borderId="7" xfId="0" applyNumberFormat="1" applyFont="1" applyFill="1" applyBorder="1" applyAlignment="1" applyProtection="1">
      <alignment horizontal="left" vertical="center"/>
      <protection locked="0" hidden="1"/>
    </xf>
    <xf numFmtId="10" fontId="24" fillId="5" borderId="14" xfId="0" applyNumberFormat="1" applyFont="1" applyFill="1" applyBorder="1" applyAlignment="1" applyProtection="1">
      <alignment horizontal="left" vertical="center"/>
      <protection locked="0" hidden="1"/>
    </xf>
    <xf numFmtId="170" fontId="24" fillId="5" borderId="9" xfId="0" applyNumberFormat="1" applyFont="1" applyFill="1" applyBorder="1" applyAlignment="1" applyProtection="1">
      <alignment horizontal="center" vertical="center"/>
      <protection locked="0" hidden="1"/>
    </xf>
    <xf numFmtId="10" fontId="24" fillId="5" borderId="4" xfId="0" applyNumberFormat="1" applyFont="1" applyFill="1" applyBorder="1" applyAlignment="1" applyProtection="1">
      <alignment horizontal="left" vertical="center"/>
      <protection locked="0" hidden="1"/>
    </xf>
    <xf numFmtId="44" fontId="24" fillId="5" borderId="9" xfId="45" applyFont="1" applyFill="1" applyBorder="1" applyAlignment="1" applyProtection="1">
      <alignment horizontal="center" vertical="center"/>
      <protection locked="0" hidden="1"/>
    </xf>
    <xf numFmtId="9" fontId="37" fillId="5" borderId="20" xfId="38" applyFont="1" applyFill="1" applyBorder="1" applyAlignment="1" applyProtection="1">
      <alignment horizontal="center" vertical="center"/>
      <protection locked="0" hidden="1"/>
    </xf>
    <xf numFmtId="2" fontId="36" fillId="5" borderId="0" xfId="0" applyNumberFormat="1" applyFont="1" applyFill="1" applyAlignment="1" applyProtection="1">
      <alignment horizontal="center" vertical="center"/>
      <protection locked="0" hidden="1"/>
    </xf>
    <xf numFmtId="9" fontId="36" fillId="5" borderId="0" xfId="38" applyFont="1" applyFill="1" applyBorder="1" applyAlignment="1" applyProtection="1">
      <alignment horizontal="center" vertical="center"/>
      <protection locked="0" hidden="1"/>
    </xf>
    <xf numFmtId="0" fontId="24" fillId="6" borderId="0" xfId="0" applyFont="1" applyFill="1" applyAlignment="1" applyProtection="1">
      <alignment vertical="center"/>
    </xf>
    <xf numFmtId="0" fontId="24" fillId="6" borderId="0" xfId="0" applyFont="1" applyFill="1" applyAlignment="1" applyProtection="1">
      <alignment horizontal="center" vertical="center"/>
    </xf>
    <xf numFmtId="0" fontId="24" fillId="6" borderId="0" xfId="0" applyFont="1" applyFill="1" applyAlignment="1" applyProtection="1">
      <alignment horizontal="left" vertical="center"/>
    </xf>
    <xf numFmtId="177" fontId="24" fillId="6" borderId="0" xfId="0" applyNumberFormat="1" applyFont="1" applyFill="1" applyAlignment="1" applyProtection="1">
      <alignment vertical="center"/>
    </xf>
    <xf numFmtId="177" fontId="24" fillId="6" borderId="0" xfId="0" applyNumberFormat="1" applyFont="1" applyFill="1" applyAlignment="1" applyProtection="1">
      <alignment horizontal="center" vertical="center"/>
    </xf>
    <xf numFmtId="0" fontId="36" fillId="11" borderId="7" xfId="0" applyFont="1" applyFill="1" applyBorder="1" applyAlignment="1" applyProtection="1">
      <alignment horizontal="center" vertical="center"/>
    </xf>
    <xf numFmtId="0" fontId="36" fillId="11" borderId="4" xfId="0" applyFont="1" applyFill="1" applyBorder="1" applyAlignment="1" applyProtection="1">
      <alignment horizontal="center" vertical="center"/>
    </xf>
    <xf numFmtId="0" fontId="36" fillId="11" borderId="14" xfId="0" applyFont="1" applyFill="1" applyBorder="1" applyAlignment="1" applyProtection="1">
      <alignment horizontal="center" vertical="center"/>
    </xf>
    <xf numFmtId="0" fontId="36" fillId="12" borderId="8" xfId="0" applyFont="1" applyFill="1" applyBorder="1" applyAlignment="1" applyProtection="1">
      <alignment horizontal="center" vertical="center"/>
    </xf>
    <xf numFmtId="0" fontId="36" fillId="12" borderId="21" xfId="0" applyFont="1" applyFill="1" applyBorder="1" applyAlignment="1" applyProtection="1">
      <alignment horizontal="center" vertical="center"/>
    </xf>
    <xf numFmtId="0" fontId="36" fillId="12" borderId="22" xfId="0" applyFont="1" applyFill="1" applyBorder="1" applyAlignment="1" applyProtection="1">
      <alignment horizontal="center" vertical="center"/>
    </xf>
    <xf numFmtId="0" fontId="36" fillId="11" borderId="8" xfId="0" applyFont="1" applyFill="1" applyBorder="1" applyAlignment="1" applyProtection="1">
      <alignment horizontal="center" vertical="center"/>
    </xf>
    <xf numFmtId="0" fontId="36" fillId="11" borderId="21" xfId="0" applyFont="1" applyFill="1" applyBorder="1" applyAlignment="1" applyProtection="1">
      <alignment horizontal="center" vertical="center"/>
    </xf>
    <xf numFmtId="0" fontId="36" fillId="11" borderId="22" xfId="0" applyFont="1" applyFill="1" applyBorder="1" applyAlignment="1" applyProtection="1">
      <alignment horizontal="center" vertical="center"/>
    </xf>
    <xf numFmtId="0" fontId="25" fillId="13" borderId="0" xfId="0" applyFont="1" applyFill="1" applyAlignment="1" applyProtection="1">
      <alignment horizontal="center" vertical="center" wrapText="1"/>
    </xf>
    <xf numFmtId="0" fontId="25" fillId="13" borderId="0" xfId="0" applyFont="1" applyFill="1" applyAlignment="1" applyProtection="1">
      <alignment horizontal="left" vertical="center" wrapText="1"/>
    </xf>
    <xf numFmtId="168" fontId="25" fillId="13" borderId="0" xfId="19" applyFont="1" applyFill="1" applyBorder="1" applyAlignment="1" applyProtection="1">
      <alignment horizontal="center" vertical="center" wrapText="1"/>
    </xf>
    <xf numFmtId="173" fontId="25" fillId="13" borderId="0" xfId="0" applyNumberFormat="1" applyFont="1" applyFill="1" applyAlignment="1" applyProtection="1">
      <alignment horizontal="center" vertical="center" wrapText="1"/>
    </xf>
    <xf numFmtId="0" fontId="25" fillId="6" borderId="0" xfId="0" applyFont="1" applyFill="1" applyAlignment="1" applyProtection="1">
      <alignment horizontal="center" vertical="center" wrapText="1"/>
    </xf>
    <xf numFmtId="0" fontId="25" fillId="6" borderId="0" xfId="0" applyFont="1" applyFill="1" applyAlignment="1" applyProtection="1">
      <alignment vertical="center" wrapText="1"/>
    </xf>
    <xf numFmtId="0" fontId="25" fillId="0" borderId="0" xfId="0" applyFont="1" applyAlignment="1" applyProtection="1">
      <alignment vertical="center" wrapText="1"/>
    </xf>
    <xf numFmtId="0" fontId="24" fillId="0" borderId="0" xfId="0" applyFont="1" applyAlignment="1" applyProtection="1">
      <alignment horizontal="left" vertical="center"/>
    </xf>
    <xf numFmtId="178" fontId="24" fillId="0" borderId="0" xfId="0" applyNumberFormat="1" applyFont="1" applyAlignment="1" applyProtection="1">
      <alignment vertical="center"/>
    </xf>
    <xf numFmtId="178" fontId="24" fillId="0" borderId="0" xfId="0" applyNumberFormat="1" applyFont="1" applyAlignment="1" applyProtection="1">
      <alignment horizontal="center" vertical="center"/>
    </xf>
    <xf numFmtId="1" fontId="24" fillId="0" borderId="0" xfId="0" applyNumberFormat="1" applyFont="1" applyAlignment="1" applyProtection="1">
      <alignment horizontal="center" vertical="center"/>
    </xf>
    <xf numFmtId="179" fontId="24" fillId="0" borderId="0" xfId="19" applyNumberFormat="1" applyFont="1" applyFill="1" applyBorder="1" applyAlignment="1" applyProtection="1">
      <alignment horizontal="center" vertical="center"/>
    </xf>
    <xf numFmtId="2" fontId="24" fillId="0" borderId="0" xfId="0" applyNumberFormat="1" applyFont="1" applyAlignment="1" applyProtection="1">
      <alignment horizontal="center" vertical="center"/>
    </xf>
    <xf numFmtId="164" fontId="24" fillId="0" borderId="0" xfId="0" applyNumberFormat="1" applyFont="1" applyAlignment="1" applyProtection="1">
      <alignment horizontal="right" vertical="center"/>
    </xf>
    <xf numFmtId="169" fontId="24" fillId="0" borderId="0" xfId="0" applyNumberFormat="1" applyFont="1" applyAlignment="1" applyProtection="1">
      <alignment horizontal="center" vertical="center"/>
    </xf>
    <xf numFmtId="168" fontId="24" fillId="0" borderId="0" xfId="19" applyFont="1" applyFill="1" applyBorder="1" applyAlignment="1" applyProtection="1">
      <alignment horizontal="right" vertical="center"/>
    </xf>
    <xf numFmtId="164" fontId="24" fillId="0" borderId="0" xfId="0" applyNumberFormat="1" applyFont="1" applyAlignment="1" applyProtection="1">
      <alignment vertical="center"/>
    </xf>
    <xf numFmtId="168" fontId="24" fillId="0" borderId="0" xfId="19" applyFont="1" applyFill="1" applyBorder="1" applyAlignment="1" applyProtection="1">
      <alignment horizontal="center" vertical="center" wrapText="1"/>
    </xf>
    <xf numFmtId="173" fontId="24" fillId="0" borderId="0" xfId="0" applyNumberFormat="1" applyFont="1" applyAlignment="1" applyProtection="1">
      <alignment horizontal="center" vertical="center" wrapText="1"/>
    </xf>
    <xf numFmtId="2" fontId="24" fillId="6" borderId="0" xfId="0" applyNumberFormat="1" applyFont="1" applyFill="1" applyAlignment="1" applyProtection="1">
      <alignment vertical="center"/>
    </xf>
    <xf numFmtId="177" fontId="24" fillId="0" borderId="0" xfId="0" applyNumberFormat="1" applyFont="1" applyAlignment="1" applyProtection="1">
      <alignment vertical="center"/>
    </xf>
    <xf numFmtId="177" fontId="24" fillId="0" borderId="0" xfId="0" applyNumberFormat="1" applyFont="1" applyAlignment="1" applyProtection="1">
      <alignment horizontal="center" vertical="center"/>
    </xf>
    <xf numFmtId="1" fontId="36" fillId="0" borderId="0" xfId="0" applyNumberFormat="1" applyFont="1" applyAlignment="1" applyProtection="1">
      <alignment horizontal="center" vertical="center"/>
    </xf>
    <xf numFmtId="3" fontId="24" fillId="0" borderId="0" xfId="0" applyNumberFormat="1" applyFont="1" applyAlignment="1" applyProtection="1">
      <alignment horizontal="center" vertical="center"/>
    </xf>
    <xf numFmtId="169" fontId="24" fillId="0" borderId="0" xfId="0" applyNumberFormat="1" applyFont="1" applyAlignment="1" applyProtection="1">
      <alignment vertical="center"/>
    </xf>
    <xf numFmtId="2" fontId="24" fillId="0" borderId="0" xfId="0" applyNumberFormat="1" applyFont="1" applyAlignment="1" applyProtection="1">
      <alignment vertical="center"/>
    </xf>
    <xf numFmtId="168" fontId="24" fillId="0" borderId="0" xfId="19" applyFont="1" applyFill="1" applyBorder="1" applyAlignment="1" applyProtection="1">
      <alignment vertical="center"/>
    </xf>
    <xf numFmtId="164" fontId="29" fillId="5" borderId="0" xfId="0" applyNumberFormat="1" applyFont="1" applyFill="1" applyAlignment="1" applyProtection="1">
      <alignment horizontal="center" vertical="center"/>
      <protection locked="0" hidden="1"/>
    </xf>
    <xf numFmtId="0" fontId="29" fillId="5" borderId="0" xfId="0" applyFont="1" applyFill="1" applyAlignment="1" applyProtection="1">
      <alignment horizontal="center" vertical="center"/>
      <protection locked="0" hidden="1"/>
    </xf>
    <xf numFmtId="173" fontId="24" fillId="5" borderId="0" xfId="0" applyNumberFormat="1" applyFont="1" applyFill="1" applyAlignment="1" applyProtection="1">
      <alignment vertical="center"/>
      <protection locked="0" hidden="1"/>
    </xf>
    <xf numFmtId="49" fontId="24" fillId="15" borderId="7" xfId="0" applyNumberFormat="1" applyFont="1" applyFill="1" applyBorder="1" applyAlignment="1" applyProtection="1">
      <alignment horizontal="center" vertical="center"/>
      <protection locked="0" hidden="1"/>
    </xf>
    <xf numFmtId="49" fontId="24" fillId="15" borderId="4" xfId="0" applyNumberFormat="1" applyFont="1" applyFill="1" applyBorder="1" applyAlignment="1" applyProtection="1">
      <alignment horizontal="center" vertical="center"/>
      <protection locked="0" hidden="1"/>
    </xf>
    <xf numFmtId="49" fontId="24" fillId="15" borderId="14" xfId="0" applyNumberFormat="1" applyFont="1" applyFill="1" applyBorder="1" applyAlignment="1" applyProtection="1">
      <alignment horizontal="center" vertical="center"/>
      <protection locked="0" hidden="1"/>
    </xf>
    <xf numFmtId="49" fontId="24" fillId="16" borderId="7" xfId="0" applyNumberFormat="1" applyFont="1" applyFill="1" applyBorder="1" applyAlignment="1" applyProtection="1">
      <alignment horizontal="center" vertical="center"/>
      <protection locked="0" hidden="1"/>
    </xf>
    <xf numFmtId="49" fontId="24" fillId="16" borderId="14" xfId="0" applyNumberFormat="1" applyFont="1" applyFill="1" applyBorder="1" applyAlignment="1" applyProtection="1">
      <alignment horizontal="center" vertical="center"/>
      <protection locked="0" hidden="1"/>
    </xf>
    <xf numFmtId="49" fontId="24" fillId="16" borderId="4" xfId="0" applyNumberFormat="1" applyFont="1" applyFill="1" applyBorder="1" applyAlignment="1" applyProtection="1">
      <alignment horizontal="center" vertical="center"/>
      <protection locked="0" hidden="1"/>
    </xf>
    <xf numFmtId="0" fontId="24" fillId="16" borderId="7" xfId="0" applyFont="1" applyFill="1" applyBorder="1" applyAlignment="1" applyProtection="1">
      <alignment horizontal="center" vertical="center"/>
      <protection locked="0" hidden="1"/>
    </xf>
    <xf numFmtId="0" fontId="24" fillId="16" borderId="4" xfId="0" applyFont="1" applyFill="1" applyBorder="1" applyAlignment="1" applyProtection="1">
      <alignment horizontal="center" vertical="center"/>
      <protection locked="0" hidden="1"/>
    </xf>
    <xf numFmtId="0" fontId="24" fillId="16" borderId="14" xfId="0" applyFont="1" applyFill="1" applyBorder="1" applyAlignment="1" applyProtection="1">
      <alignment horizontal="center" vertical="center"/>
      <protection locked="0" hidden="1"/>
    </xf>
  </cellXfs>
  <cellStyles count="4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10 2" xfId="47" xr:uid="{15EF48A1-3442-442B-874F-89AC6F680122}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4" xfId="30" xr:uid="{00000000-0005-0000-0000-000027000000}"/>
    <cellStyle name="Standaard 5" xfId="34" xr:uid="{00000000-0005-0000-0000-000028000000}"/>
    <cellStyle name="Standaard 6" xfId="46" xr:uid="{C8B5C47D-FB13-4B3A-952F-85AF5006DB30}"/>
    <cellStyle name="Valuta 2" xfId="31" xr:uid="{00000000-0005-0000-0000-000029000000}"/>
    <cellStyle name="Valuta 3" xfId="36" xr:uid="{00000000-0005-0000-0000-00002A000000}"/>
    <cellStyle name="Valuta 4" xfId="45" xr:uid="{5C764B3D-82CF-48E6-8C68-A8A71267D96C}"/>
    <cellStyle name="Währung [0]_Aufmaß" xfId="32" xr:uid="{00000000-0005-0000-0000-00002B000000}"/>
    <cellStyle name="Währung_Aufmaß" xfId="33" xr:uid="{00000000-0005-0000-0000-00002C000000}"/>
  </cellStyles>
  <dxfs count="1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Aptos"/>
        <family val="2"/>
        <scheme val="none"/>
      </font>
      <numFmt numFmtId="0" formatCode="General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82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80" formatCode="#,##0.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name val="Aptos"/>
        <family val="2"/>
        <scheme val="none"/>
      </font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9"/>
        <color theme="1"/>
        <name val="Aptos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>
        <right style="thin">
          <color theme="0"/>
        </right>
      </border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indexed="64"/>
          <bgColor rgb="FF2B415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 patternType="solid">
          <bgColor rgb="FF2B4155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 patternType="solid">
          <bgColor rgb="FF2B4155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"/>
        <family val="2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rgb="FF2B415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numFmt numFmtId="187" formatCode="#.##000"/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87" formatCode="#.##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"/>
        <family val="2"/>
        <scheme val="none"/>
      </font>
      <numFmt numFmtId="4" formatCode="#,##0.00"/>
      <fill>
        <patternFill patternType="solid">
          <fgColor theme="4"/>
          <bgColor rgb="FF2B415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"/>
        <family val="2"/>
        <scheme val="none"/>
      </font>
      <fill>
        <patternFill patternType="solid">
          <fgColor theme="4"/>
          <bgColor rgb="FF2B415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>
          <bgColor rgb="FF2B4155"/>
        </patternFill>
      </fill>
    </dxf>
    <dxf>
      <font>
        <strike val="0"/>
        <outline val="0"/>
        <shadow val="0"/>
        <vertAlign val="baseline"/>
        <name val="Aptos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>
          <bgColor rgb="FF2B4155"/>
        </patternFill>
      </fill>
      <alignment vertical="bottom" textRotation="0" wrapText="1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fill>
        <patternFill>
          <bgColor rgb="FF2B4155"/>
        </patternFill>
      </fill>
      <alignment vertical="bottom" textRotation="0" wrapText="1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fill>
        <patternFill patternType="none">
          <fgColor indexed="64"/>
          <bgColor rgb="FF2B415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  <numFmt numFmtId="187" formatCode="#.##000"/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"/>
        <family val="2"/>
        <scheme val="none"/>
      </font>
      <numFmt numFmtId="187" formatCode="#.##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"/>
        <family val="2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Commercie\Schoonmaak\Projectadministraties\Pr&#233;%20Kwalificaties%20&amp;%20Aanbestedingen\EA%20Amstelveen%20College\2.%20Originele%20aanvraag\Voor..van\meten%20glas\meten%20glas\meten%20glas\meten%20glas\meten%20glas\meten%20glas\meten%20glas\meten%20glas\atir.xls?302656D2" TargetMode="External"/><Relationship Id="rId1" Type="http://schemas.openxmlformats.org/officeDocument/2006/relationships/externalLinkPath" Target="file:///\\302656D2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Blad3_(3)"/>
      <sheetName val="Blad3_(2)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  <sheetName val="Stamtabellen"/>
      <sheetName val="Tabell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11:D31" totalsRowShown="0" headerRowDxfId="176" dataDxfId="175" headerRowCellStyle="Standaard 4">
  <autoFilter ref="A11:D31" xr:uid="{00000000-0009-0000-0100-000006000000}"/>
  <tableColumns count="4">
    <tableColumn id="1" xr3:uid="{00000000-0010-0000-0000-000001000000}" name="Code" dataDxfId="149" dataCellStyle="Standaard 4"/>
    <tableColumn id="2" xr3:uid="{00000000-0010-0000-0000-000002000000}" name="Ruimte omschrijving" dataDxfId="148" dataCellStyle="Standaard 4"/>
    <tableColumn id="3" xr3:uid="{00000000-0010-0000-0000-000003000000}" name="Norm (5w)" dataDxfId="147"/>
    <tableColumn id="4" xr3:uid="{00000000-0010-0000-0000-000004000000}" name="Inspectiecategorie" dataDxfId="14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34:D39" totalsRowShown="0" headerRowDxfId="174" dataDxfId="173">
  <autoFilter ref="A34:D39" xr:uid="{00000000-0009-0000-0100-000007000000}"/>
  <tableColumns count="4">
    <tableColumn id="1" xr3:uid="{00000000-0010-0000-0100-000001000000}" name="Code" dataDxfId="145"/>
    <tableColumn id="4" xr3:uid="{00000000-0010-0000-0100-000004000000}" name="Naam" dataDxfId="144"/>
    <tableColumn id="5" xr3:uid="{00000000-0010-0000-0100-000005000000}" name="Aanpassing norm" dataDxfId="135" dataCellStyle="Procent"/>
    <tableColumn id="2" xr3:uid="{00000000-0010-0000-0100-000002000000}" name="Vloersoort omschrijving" dataDxfId="143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42:C52" totalsRowShown="0" headerRowDxfId="172" dataDxfId="171">
  <autoFilter ref="A42:C52" xr:uid="{00000000-0009-0000-0100-000008000000}"/>
  <tableColumns count="3">
    <tableColumn id="1" xr3:uid="{00000000-0010-0000-0200-000001000000}" name="Code" dataDxfId="142" dataCellStyle="Standaard 4"/>
    <tableColumn id="2" xr3:uid="{00000000-0010-0000-0200-000002000000}" name="Frequentie omschrijving" dataDxfId="141" dataCellStyle="Standaard 4"/>
    <tableColumn id="3" xr3:uid="{00000000-0010-0000-0200-000003000000}" name="Aanpassing norm" dataDxfId="134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6:F8" totalsRowShown="0" headerRowDxfId="170" dataDxfId="169">
  <autoFilter ref="A6:F8" xr:uid="{00000000-0009-0000-0100-00000D000000}"/>
  <tableColumns count="6">
    <tableColumn id="1" xr3:uid="{00000000-0010-0000-0300-000001000000}" name="Code" dataDxfId="140"/>
    <tableColumn id="2" xr3:uid="{00000000-0010-0000-0300-000002000000}" name="Locatie" dataDxfId="139"/>
    <tableColumn id="7" xr3:uid="{00000000-0010-0000-0300-000007000000}" name="Aanpassing norm" dataDxfId="133"/>
    <tableColumn id="3" xr3:uid="{00000000-0010-0000-0300-000003000000}" name="Adres" dataDxfId="138"/>
    <tableColumn id="4" xr3:uid="{00000000-0010-0000-0300-000004000000}" name="Postcode" dataDxfId="137"/>
    <tableColumn id="5" xr3:uid="{00000000-0010-0000-0300-000005000000}" name="Plaats" dataDxfId="13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G137" totalsRowShown="0" headerRowDxfId="99" dataDxfId="98">
  <autoFilter ref="A4:AG137" xr:uid="{00000000-0009-0000-0100-000009000000}"/>
  <tableColumns count="33">
    <tableColumn id="32" xr3:uid="{00000000-0010-0000-0400-000020000000}" name="Code" dataDxfId="132"/>
    <tableColumn id="1" xr3:uid="{00000000-0010-0000-0400-000001000000}" name="Locatie" dataDxfId="131"/>
    <tableColumn id="3" xr3:uid="{00000000-0010-0000-0400-000003000000}" name="Adres" dataDxfId="130">
      <calculatedColumnFormula>VLOOKUP(Ruimtestaat[[#This Row],[Code]],Locaties[#All],4,FALSE)</calculatedColumnFormula>
    </tableColumn>
    <tableColumn id="4" xr3:uid="{00000000-0010-0000-0400-000004000000}" name="Postcode" dataDxfId="129">
      <calculatedColumnFormula>VLOOKUP(Ruimtestaat[[#This Row],[Code]],Locaties[#All],5,FALSE)</calculatedColumnFormula>
    </tableColumn>
    <tableColumn id="5" xr3:uid="{00000000-0010-0000-0400-000005000000}" name="Plaats" dataDxfId="128">
      <calculatedColumnFormula>VLOOKUP(Ruimtestaat[[#This Row],[Code]],Locaties[#All],6,FALSE)</calculatedColumnFormula>
    </tableColumn>
    <tableColumn id="2" xr3:uid="{00000000-0010-0000-0400-000002000000}" name="Gebouw gedeelte" dataDxfId="127"/>
    <tableColumn id="6" xr3:uid="{00000000-0010-0000-0400-000006000000}" name="Etage" dataDxfId="126"/>
    <tableColumn id="7" xr3:uid="{00000000-0010-0000-0400-000007000000}" name="Ruimte- nummer" dataDxfId="125"/>
    <tableColumn id="8" xr3:uid="{00000000-0010-0000-0400-000008000000}" name="Ruimte omschrijving" dataDxfId="124"/>
    <tableColumn id="9" xr3:uid="{00000000-0010-0000-0400-000009000000}" name="Ruimte code" dataDxfId="123"/>
    <tableColumn id="10" xr3:uid="{00000000-0010-0000-0400-00000A000000}" name="Ruimtesoort" dataDxfId="122"/>
    <tableColumn id="11" xr3:uid="{00000000-0010-0000-0400-00000B000000}" name="Vloer code" dataDxfId="121"/>
    <tableColumn id="12" xr3:uid="{00000000-0010-0000-0400-00000C000000}" name="Vloer afwerking" dataDxfId="120"/>
    <tableColumn id="13" xr3:uid="{00000000-0010-0000-0400-00000D000000}" name="Oppervlak (netto)" dataDxfId="119"/>
    <tableColumn id="14" xr3:uid="{00000000-0010-0000-0400-00000E000000}" name="Oppervlakte n.i.o." dataDxfId="118"/>
    <tableColumn id="15" xr3:uid="{00000000-0010-0000-0400-00000F000000}" name="Inspectie categorie" dataDxfId="117">
      <calculatedColumnFormula>LEFT(VLOOKUP(Ruimtestaat[[#This Row],[Ruimte code]],Ruimtegroepen[#All],4,1),2)</calculatedColumnFormula>
    </tableColumn>
    <tableColumn id="16" xr3:uid="{00000000-0010-0000-0400-000010000000}" name="Opmerking" dataDxfId="116"/>
    <tableColumn id="17" xr3:uid="{00000000-0010-0000-0400-000011000000}" name="Aantal weken/jr" dataDxfId="115"/>
    <tableColumn id="18" xr3:uid="{00000000-0010-0000-0400-000012000000}" name="Frequentie werkdagen" dataDxfId="114"/>
    <tableColumn id="19" xr3:uid="{00000000-0010-0000-0400-000013000000}" name="Uitvoeringen werkdagen" dataDxfId="113">
      <calculatedColumnFormula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calculatedColumnFormula>
    </tableColumn>
    <tableColumn id="20" xr3:uid="{00000000-0010-0000-0400-000014000000}" name="Norm (m2/uur) werkdagen" dataDxfId="112">
      <calculatedColumnFormula>IF(T5&gt;0,VLOOKUP($J5,Ruimtegroepen[],3,FALSE)*VLOOKUP($L5,Vloersoorten[],3,FALSE)*VLOOKUP($S5,Frequenties[],3,FALSE)*VLOOKUP($A5,Locaties[],3,FALSE),0)</calculatedColumnFormula>
    </tableColumn>
    <tableColumn id="21" xr3:uid="{00000000-0010-0000-0400-000015000000}" name="Prest. (m2 /jaar) werkdagen" dataDxfId="111"/>
    <tableColumn id="22" xr3:uid="{00000000-0010-0000-0400-000016000000}" name="uren / jaar werkdagen" dataDxfId="110">
      <calculatedColumnFormula>IF(U5&gt;0,Ruimtestaat[[#This Row],[Prest. (m2 /jaar) werkdagen]]/Ruimtestaat[[#This Row],[Norm (m2/uur) werkdagen]],0)</calculatedColumnFormula>
    </tableColumn>
    <tableColumn id="23" xr3:uid="{00000000-0010-0000-0400-000017000000}" name="kosten / jaar werkdagen" dataDxfId="109">
      <calculatedColumnFormula>Ruimtestaat[[#This Row],[uren / jaar werkdagen]]*Tariefsopbouw!$E$35</calculatedColumnFormula>
    </tableColumn>
    <tableColumn id="24" xr3:uid="{00000000-0010-0000-0400-000018000000}" name="Frequentie weekend" dataDxfId="108"/>
    <tableColumn id="38" xr3:uid="{00000000-0010-0000-0400-000026000000}" name="Uitvoeringen weekend" dataDxfId="107">
      <calculatedColumnFormula>IF(Ruimtestaat[[#This Row],[Frequentie weekend]]&gt;0,VALUE(LEFT(Y5,1))*R5,0)</calculatedColumnFormula>
    </tableColumn>
    <tableColumn id="25" xr3:uid="{00000000-0010-0000-0400-000019000000}" name="Norm (m2/uur) weekend" dataDxfId="106">
      <calculatedColumnFormula>IF($Z5&gt;0,VLOOKUP($J5,Ruimtegroepen[],3,FALSE)*VLOOKUP($L5,Vloersoorten[],3,FALSE)*VLOOKUP($Y5,Frequenties[],3,FALSE)*VLOOKUP($A1,Locaties[],3,FALSE),0)</calculatedColumnFormula>
    </tableColumn>
    <tableColumn id="26" xr3:uid="{00000000-0010-0000-0400-00001A000000}" name="Prest. (m2 /jaar) weekend" dataDxfId="105"/>
    <tableColumn id="27" xr3:uid="{00000000-0010-0000-0400-00001B000000}" name="uren / jaar weekend" dataDxfId="104"/>
    <tableColumn id="28" xr3:uid="{00000000-0010-0000-0400-00001C000000}" name="kosten / jaar weekend" dataDxfId="103">
      <calculatedColumnFormula>Ruimtestaat[[#This Row],[uren / jaar weekend]]*Tariefsopbouw!$D$40</calculatedColumnFormula>
    </tableColumn>
    <tableColumn id="29" xr3:uid="{00000000-0010-0000-0400-00001D000000}" name="Prest. (m2 /jaar)" dataDxfId="102" dataCellStyle="Komma">
      <calculatedColumnFormula>Ruimtestaat[[#This Row],[Prest. (m2 /jaar) weekend]]+Ruimtestaat[[#This Row],[Prest. (m2 /jaar) werkdagen]]</calculatedColumnFormula>
    </tableColumn>
    <tableColumn id="30" xr3:uid="{00000000-0010-0000-0400-00001E000000}" name="uren / jaar" dataDxfId="101" dataCellStyle="Komma">
      <calculatedColumnFormula>Ruimtestaat[[#This Row],[uren / jaar weekend]]+Ruimtestaat[[#This Row],[uren / jaar werkdagen]]</calculatedColumnFormula>
    </tableColumn>
    <tableColumn id="31" xr3:uid="{00000000-0010-0000-0400-00001F000000}" name="kosten / jaar" dataDxfId="100">
      <calculatedColumnFormula>Ruimtestaat[[#This Row],[kosten / jaar weekend]]+Ruimtestaat[[#This Row],[kosten / jaar werkdagen]]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8" totalsRowShown="0" headerRowDxfId="181" dataDxfId="180">
  <autoFilter ref="A8:I18" xr:uid="{00000000-0009-0000-0100-000001000000}"/>
  <tableColumns count="9">
    <tableColumn id="1" xr3:uid="{00000000-0010-0000-0700-000001000000}" name="Code Taak" dataDxfId="97"/>
    <tableColumn id="2" xr3:uid="{00000000-0010-0000-0700-000002000000}" name="Werkzaamheden" dataDxfId="96"/>
    <tableColumn id="3" xr3:uid="{00000000-0010-0000-0700-000003000000}" name="Prijs" dataDxfId="73"/>
    <tableColumn id="4" xr3:uid="{00000000-0010-0000-0700-000004000000}" name="Omschrijving" dataDxfId="95"/>
    <tableColumn id="5" xr3:uid="{7B224336-2E90-4786-8885-F9B3CAAAC600}" name="2028" dataDxfId="94" dataCellStyle="Valuta 4">
      <calculatedColumnFormula>InvulVloer[[#This Row],[Prijs]]*Tariefsopbouw!$I$37+InvulVloer[[#This Row],[Prijs]]</calculatedColumnFormula>
    </tableColumn>
    <tableColumn id="6" xr3:uid="{0211B985-6953-45B6-8A6A-749D6F313951}" name="2029" dataDxfId="93">
      <calculatedColumnFormula>InvulVloer[[#This Row],[2028]]*Tariefsopbouw!$K$37+InvulVloer[[#This Row],[2028]]</calculatedColumnFormula>
    </tableColumn>
    <tableColumn id="7" xr3:uid="{9E193464-F35C-49B3-A477-D7B0835ABCF2}" name="2030" dataDxfId="92">
      <calculatedColumnFormula>InvulVloer[[#This Row],[2029]]*Tariefsopbouw!$M$37+InvulVloer[[#This Row],[2029]]</calculatedColumnFormula>
    </tableColumn>
    <tableColumn id="8" xr3:uid="{8069DF64-F4BB-49BA-8609-74BCEBC0E84C}" name="2031" dataDxfId="91">
      <calculatedColumnFormula>InvulVloer[[#This Row],[2030]]*Tariefsopbouw!$O$37+InvulVloer[[#This Row],[2030]]</calculatedColumnFormula>
    </tableColumn>
    <tableColumn id="9" xr3:uid="{FCBF02FF-403C-4DC9-8F5B-108F47020EEA}" name="2032" dataDxfId="90">
      <calculatedColumnFormula>InvulVloer[[#This Row],[2031]]*Tariefsopbouw!$Q$37+InvulVloer[[#This Row],[2031]]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20:H32" totalsRowCount="1" headerRowDxfId="179" dataDxfId="178" totalsRowDxfId="177">
  <autoFilter ref="A20:H31" xr:uid="{00000000-0009-0000-0100-000002000000}"/>
  <tableColumns count="8">
    <tableColumn id="11" xr3:uid="{00000000-0010-0000-0800-00000B000000}" name="Code Locatie" dataDxfId="89" totalsRowDxfId="88"/>
    <tableColumn id="1" xr3:uid="{00000000-0010-0000-0800-000001000000}" name="Locatie" totalsRowLabel="Totaal" dataDxfId="87" totalsRowDxfId="86"/>
    <tableColumn id="3" xr3:uid="{00000000-0010-0000-0800-000003000000}" name="Code Taak" dataDxfId="85" totalsRowDxfId="84"/>
    <tableColumn id="4" xr3:uid="{00000000-0010-0000-0800-000004000000}" name="Werkzaamheden" dataDxfId="83" totalsRowDxfId="82">
      <calculatedColumnFormula>IF(Vloeronderhoud!$C21&gt;0,VLOOKUP(Vloeronderhoud!$C21,$A$8:$B$18,2,FALSE),"")</calculatedColumnFormula>
    </tableColumn>
    <tableColumn id="5" xr3:uid="{00000000-0010-0000-0800-000005000000}" name="Vloersoort" dataDxfId="81" totalsRowDxfId="80"/>
    <tableColumn id="6" xr3:uid="{00000000-0010-0000-0800-000006000000}" name="Oppervlakte" dataDxfId="79" totalsRowDxfId="78">
      <calculatedColumnFormula>SUMIFS('Ruimtestaat'!$N:$N,'Ruimtestaat'!L:L,Vloeronderhoud!E21,'Ruimtestaat'!A:A,Vloeronderhoud!A21)</calculatedColumnFormula>
    </tableColumn>
    <tableColumn id="8" xr3:uid="{00000000-0010-0000-0800-000008000000}" name="Frequentie (uitv./jaar)" dataDxfId="77" totalsRowDxfId="76"/>
    <tableColumn id="9" xr3:uid="{00000000-0010-0000-0800-000009000000}" name="Kosten/jaar excl. BTW" totalsRowFunction="sum" dataDxfId="75" totalsRowDxfId="74">
      <calculatedColumnFormula>G21*#REF!*F21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56DD7F-E31F-4738-A2A6-B6195742F83D}" name="InvulGlas" displayName="InvulGlas" ref="A8:I21" totalsRowShown="0" headerRowDxfId="168" dataDxfId="167">
  <autoFilter ref="A8:I21" xr:uid="{3B56DD7F-E31F-4738-A2A6-B6195742F83D}"/>
  <tableColumns count="9">
    <tableColumn id="1" xr3:uid="{E535CE63-335F-4482-A4E0-E125D9A2B340}" name="Code taak" dataDxfId="72"/>
    <tableColumn id="2" xr3:uid="{25BA42B2-ED5A-4BB6-B11D-C43B4833E11E}" name="Glassoort/voorziening" dataDxfId="71"/>
    <tableColumn id="3" xr3:uid="{CF51549B-5B5B-4DAA-9B7E-C0E281B3CE61}" name="Prijs excl. BTW" dataDxfId="46"/>
    <tableColumn id="4" xr3:uid="{6F94C37D-4D34-45AA-883D-F6E668605F2E}" name="Eenheid" dataDxfId="70"/>
    <tableColumn id="5" xr3:uid="{B42CEB27-60B6-49B0-917A-9BE12D2DA665}" name="2028" dataDxfId="69">
      <calculatedColumnFormula>(InvulGlas[[#This Row],[Prijs excl. BTW]]*Tariefsopbouw!$I$37)+InvulGlas[[#This Row],[Prijs excl. BTW]]</calculatedColumnFormula>
    </tableColumn>
    <tableColumn id="6" xr3:uid="{8237F260-0DF8-45FA-8B35-F9EFF1B9C431}" name="2029" dataDxfId="68">
      <calculatedColumnFormula>(InvulGlas[[#This Row],[2028]]*Tariefsopbouw!$K$37)+InvulGlas[[#This Row],[2028]]</calculatedColumnFormula>
    </tableColumn>
    <tableColumn id="7" xr3:uid="{55531EE1-56B0-423A-AC5D-7780403A0A80}" name="2030" dataDxfId="67">
      <calculatedColumnFormula>(InvulGlas[[#This Row],[2029]]*Tariefsopbouw!$M$37)+InvulGlas[[#This Row],[2029]]</calculatedColumnFormula>
    </tableColumn>
    <tableColumn id="8" xr3:uid="{419C290D-2527-48A8-999A-C82B165194BA}" name="2031" dataDxfId="66">
      <calculatedColumnFormula>(InvulGlas[[#This Row],[2030]]*Tariefsopbouw!$O$37)+InvulGlas[[#This Row],[2030]]</calculatedColumnFormula>
    </tableColumn>
    <tableColumn id="9" xr3:uid="{E4E2B8F8-E445-4912-8989-9751C8DD6970}" name="2032" dataDxfId="65">
      <calculatedColumnFormula>(InvulGlas[[#This Row],[2031]]*Tariefsopbouw!$Q$37)+InvulGlas[[#This Row],[2031]]</calculatedColumnFormula>
    </tableColumn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20012B9-E2E3-462E-92FA-D2ECE74E3DC6}" name="OverzichtGlas" displayName="OverzichtGlas" ref="A23:I34" totalsRowCount="1" headerRowDxfId="166" dataDxfId="165" totalsRowDxfId="164">
  <autoFilter ref="A23:I33" xr:uid="{620012B9-E2E3-462E-92FA-D2ECE74E3DC6}"/>
  <sortState xmlns:xlrd2="http://schemas.microsoft.com/office/spreadsheetml/2017/richdata2" ref="A24:G28">
    <sortCondition ref="A24:A28"/>
  </sortState>
  <tableColumns count="9">
    <tableColumn id="1" xr3:uid="{2536BA71-4E9E-4699-B1D3-AD672C5D2A84}" name="Code Locatie" totalsRowLabel="Totaal" dataDxfId="64" totalsRowDxfId="63"/>
    <tableColumn id="2" xr3:uid="{50EE039F-714D-4763-852C-089B9B9C7380}" name="Locatie" dataDxfId="62" totalsRowDxfId="61">
      <calculatedColumnFormula>VLOOKUP(OverzichtGlas[[#This Row],[Code Locatie]],Samenvattingschoonmaak[[#All],[Code Locatie]:[Locatie]],2,FALSE)</calculatedColumnFormula>
    </tableColumn>
    <tableColumn id="3" xr3:uid="{D15C2F41-1594-45D7-9803-C8C7AEECECF7}" name="Code taak" dataDxfId="60" totalsRowDxfId="59"/>
    <tableColumn id="4" xr3:uid="{642A0D23-31BA-42AE-8CB0-DC6E3B12DFB6}" name="Glassoort/voorziening" dataDxfId="58" totalsRowDxfId="57">
      <calculatedColumnFormula>IF(Glasbewassing!$C24&gt;0,VLOOKUP(Glasbewassing!$C24,$A$8:$B$21,2,FALSE),"Hier vult u de inzet van eventuele hoogwerkers in")</calculatedColumnFormula>
    </tableColumn>
    <tableColumn id="5" xr3:uid="{C9661328-A370-44DF-8207-78449C8D44D2}" name="Oppervlakte of dagen" dataDxfId="56" totalsRowDxfId="55"/>
    <tableColumn id="7" xr3:uid="{BDAD6D23-D82B-43C1-9D0E-6A2C6CAB4C1A}" name="Frequentie" dataDxfId="54" totalsRowDxfId="53"/>
    <tableColumn id="8" xr3:uid="{BDB7ACE8-E58D-4776-9BBB-A8732570A475}" name="Kosten/jaar excl. BTW" totalsRowFunction="sum" dataDxfId="52" totalsRowDxfId="51">
      <calculatedColumnFormula>IF(C24&gt;0,VLOOKUP(OverzichtGlas[[#This Row],[Code taak]],InvulGlas[],3,0)*E24*F24,0)</calculatedColumnFormula>
    </tableColumn>
    <tableColumn id="9" xr3:uid="{8F415E75-25DE-41FA-86DA-16C5EB0A9299}" name="Kosten/jaar incl. BTW" totalsRowFunction="sum" dataDxfId="50" totalsRowDxfId="49">
      <calculatedColumnFormula>OverzichtGlas[[#This Row],[Kosten/jaar excl. BTW]]*1.21</calculatedColumnFormula>
    </tableColumn>
    <tableColumn id="10" xr3:uid="{8B05202D-C69A-4C8D-9EBD-9530B2C0368D}" name="Opmerkingen" dataDxfId="48" totalsRowDxfId="47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I41" totalsRowCount="1" headerRowDxfId="163" dataDxfId="162" totalsRowDxfId="161">
  <autoFilter ref="B8:I40" xr:uid="{00000000-0009-0000-0100-00000B000000}"/>
  <tableColumns count="8">
    <tableColumn id="1" xr3:uid="{00000000-0010-0000-0B00-000001000000}" name="Werkzaamheid" totalsRowLabel="Totaal" dataDxfId="45" totalsRowDxfId="44"/>
    <tableColumn id="2" xr3:uid="{00000000-0010-0000-0B00-000002000000}" name="Eenheid" dataDxfId="43" totalsRowDxfId="42"/>
    <tableColumn id="3" xr3:uid="{00000000-0010-0000-0B00-000003000000}" name="Prijs excl. BTW" dataDxfId="30" totalsRowDxfId="41"/>
    <tableColumn id="4" xr3:uid="{20339242-D37F-45D0-B3A9-D5D0277AA005}" name="2028" dataDxfId="40" totalsRowDxfId="39">
      <calculatedColumnFormula>InvulRegie[[#This Row],[Prijs excl. BTW]]*Tariefsopbouw!$I$37+InvulRegie[[#This Row],[Prijs excl. BTW]]</calculatedColumnFormula>
    </tableColumn>
    <tableColumn id="5" xr3:uid="{98710F61-FEB9-4108-AD80-85E42E12F88F}" name="2029" dataDxfId="38" totalsRowDxfId="37">
      <calculatedColumnFormula>InvulRegie[[#This Row],[2028]]*Tariefsopbouw!$K$37+InvulRegie[[#This Row],[2028]]</calculatedColumnFormula>
    </tableColumn>
    <tableColumn id="6" xr3:uid="{DA4A687B-70D0-4179-B678-42FA080B354F}" name="2030" dataDxfId="36" totalsRowDxfId="35">
      <calculatedColumnFormula>InvulRegie[[#This Row],[2029]]*Tariefsopbouw!$M$37+InvulRegie[[#This Row],[2029]]</calculatedColumnFormula>
    </tableColumn>
    <tableColumn id="7" xr3:uid="{FA946E46-8412-420B-AA1A-C1F4D582105F}" name="2031" dataDxfId="34" totalsRowDxfId="33">
      <calculatedColumnFormula>InvulRegie[[#This Row],[2030]]*Tariefsopbouw!$O$37+InvulRegie[[#This Row],[2030]]</calculatedColumnFormula>
    </tableColumn>
    <tableColumn id="8" xr3:uid="{00A92510-BD5B-4E71-BCF5-F352086DB0C7}" name="2032" dataDxfId="32" totalsRowDxfId="31">
      <calculatedColumnFormula>InvulRegie[[#This Row],[2031]]*Tariefsopbouw!$Q$37+InvulRegie[[#This Row],[2031]]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H9" totalsRowCount="1" headerRowDxfId="160" dataDxfId="158" totalsRowDxfId="156" headerRowBorderDxfId="159" tableBorderDxfId="157">
  <autoFilter ref="A6:H8" xr:uid="{00000000-0009-0000-0100-00000E000000}"/>
  <tableColumns count="8">
    <tableColumn id="8" xr3:uid="{00000000-0010-0000-0C00-000008000000}" name="Code Locatie" dataDxfId="29" totalsRowDxfId="28"/>
    <tableColumn id="1" xr3:uid="{00000000-0010-0000-0C00-000001000000}" name="Locatie" totalsRowLabel="Totaal" dataDxfId="27" totalsRowDxfId="26"/>
    <tableColumn id="2" xr3:uid="{00000000-0010-0000-0C00-000002000000}" name="Oppervlakte i/o" totalsRowFunction="sum" dataDxfId="25" totalsRowDxfId="24">
      <calculatedColumnFormula>SUMIF('Ruimtestaat'!$A:$A,Totalisatie!$A7,'Ruimtestaat'!$N:$N)</calculatedColumnFormula>
    </tableColumn>
    <tableColumn id="3" xr3:uid="{00000000-0010-0000-0C00-000003000000}" name="Prest. (m2 /jaar)" totalsRowFunction="sum" dataDxfId="23" totalsRowDxfId="22">
      <calculatedColumnFormula>SUMIF('Ruimtestaat'!$A:$A,Totalisatie!$A7,'Ruimtestaat'!$AE:$AE)</calculatedColumnFormula>
    </tableColumn>
    <tableColumn id="4" xr3:uid="{00000000-0010-0000-0C00-000004000000}" name="Uren / jaar" totalsRowFunction="sum" dataDxfId="21" totalsRowDxfId="20">
      <calculatedColumnFormula>SUMIF('Ruimtestaat'!$A:$A,Totalisatie!$A7,'Ruimtestaat'!$AF:$AF)</calculatedColumnFormula>
    </tableColumn>
    <tableColumn id="5" xr3:uid="{00000000-0010-0000-0C00-000005000000}" name="Norm (m2/uur)" totalsRowFunction="custom" dataDxfId="19" totalsRowDxfId="18">
      <calculatedColumnFormula>D7/E7</calculatedColumnFormula>
      <totalsRowFormula>Samenvattingschoonmaak[[#Totals],[Prest. (m2 /jaar)]]/Samenvattingschoonmaak[[#Totals],[Uren / jaar]]</totalsRowFormula>
    </tableColumn>
    <tableColumn id="6" xr3:uid="{00000000-0010-0000-0C00-000006000000}" name="Kosten / jaar" totalsRowFunction="sum" dataDxfId="17" totalsRowDxfId="16">
      <calculatedColumnFormula>SUMIF('Ruimtestaat'!$A:$A,Totalisatie!$A7,'Ruimtestaat'!$AG:$AG)</calculatedColumnFormula>
    </tableColumn>
    <tableColumn id="7" xr3:uid="{00000000-0010-0000-0C00-000007000000}" name="Kosten / m2" totalsRowFunction="custom" dataDxfId="15" totalsRowDxfId="14">
      <calculatedColumnFormula>G7/C7</calculatedColumnFormula>
      <totalsRowFormula>Samenvattingschoonmaak[[#Totals],[Kosten / jaar]]/Samenvattingschoonmaak[[#Totals],[Oppervlakte i/o]]</totalsRowFormula>
    </tableColumn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12:G15" totalsRowCount="1" headerRowDxfId="155" dataDxfId="153" totalsRowDxfId="151" headerRowBorderDxfId="154" tableBorderDxfId="152">
  <autoFilter ref="A12:G14" xr:uid="{00000000-0009-0000-0100-00000F000000}"/>
  <tableColumns count="7">
    <tableColumn id="8" xr3:uid="{00000000-0010-0000-0D00-000008000000}" name="Code Locatie" dataDxfId="13" totalsRowDxfId="12"/>
    <tableColumn id="1" xr3:uid="{00000000-0010-0000-0D00-000001000000}" name="Locaties" totalsRowLabel="Totaal" dataDxfId="11" totalsRowDxfId="10">
      <calculatedColumnFormula>VLOOKUP(Totalisatie[[#This Row],[Code Locatie]],Locaties[],2,0)</calculatedColumnFormula>
    </tableColumn>
    <tableColumn id="4" xr3:uid="{00000000-0010-0000-0D00-000004000000}" name="Schoonmaakonderhoud_x000a_Kosten / jaar" totalsRowFunction="sum" dataDxfId="9" totalsRowDxfId="8">
      <calculatedColumnFormula>SUMIF('Ruimtestaat'!A:A,Totalisatie[[#This Row],[Code Locatie]],'Ruimtestaat'!AG:AG)</calculatedColumnFormula>
    </tableColumn>
    <tableColumn id="2" xr3:uid="{00000000-0010-0000-0D00-000002000000}" name="Vloeronderhoud_x000a_Kosten / jaar" totalsRowFunction="sum" dataDxfId="7" totalsRowDxfId="6">
      <calculatedColumnFormula>SUMIF(Vloeronderhoud!$A$21:$A$32,Totalisatie[[#This Row],[Code Locatie]],Vloeronderhoud!$H$21:$H$32)</calculatedColumnFormula>
    </tableColumn>
    <tableColumn id="5" xr3:uid="{EFE406B1-965E-4AB3-B796-FA03E6AC0770}" name="Glasbewassing_x000a_Kosten / jaar" totalsRowFunction="custom" dataDxfId="5" totalsRowDxfId="4">
      <calculatedColumnFormula>SUMIF(Glasbewassing!$A$24:$A$33,Totalisatie[[#This Row],[Code Locatie]],Glasbewassing!$G$24:$G$33)</calculatedColumnFormula>
      <totalsRowFormula>OverzichtGlas[[#Totals],[Kosten/jaar excl. BTW]]</totalsRowFormula>
    </tableColumn>
    <tableColumn id="3" xr3:uid="{00000000-0010-0000-0D00-000003000000}" name="Extra Werkzaamheden_x000a_Kosten / jaar" totalsRowFunction="sum" dataDxfId="3" totalsRowDxfId="2">
      <calculatedColumnFormula>SUMIF(#REF!,Totalisatie[[#This Row],[Code Locatie]],#REF!)</calculatedColumnFormula>
    </tableColumn>
    <tableColumn id="7" xr3:uid="{00000000-0010-0000-0D00-000007000000}" name="Totaalprijs_x000a_Kosten / jaar" totalsRowFunction="sum" dataDxfId="1" totalsRowDxfId="0">
      <calculatedColumnFormula>SUM(Totalisatie[[#This Row],[Schoonmaakonderhoud
Kosten / jaar]:[Extra Werkzaamheden
Kosten / jaar]])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09B8-0238-4DFF-ADF9-B212427B222E}">
  <sheetPr>
    <tabColor theme="0" tint="-0.14999847407452621"/>
  </sheetPr>
  <dimension ref="A1:R4"/>
  <sheetViews>
    <sheetView workbookViewId="0">
      <selection activeCell="J13" sqref="J13"/>
    </sheetView>
  </sheetViews>
  <sheetFormatPr defaultColWidth="9.140625" defaultRowHeight="13.5"/>
  <cols>
    <col min="1" max="1" width="6" style="17" customWidth="1"/>
    <col min="2" max="2" width="12.7109375" style="17" bestFit="1" customWidth="1"/>
    <col min="3" max="3" width="13.85546875" style="17" customWidth="1"/>
    <col min="4" max="4" width="14.7109375" style="17" bestFit="1" customWidth="1"/>
    <col min="5" max="5" width="15.42578125" style="17" bestFit="1" customWidth="1"/>
    <col min="6" max="6" width="14" style="17" bestFit="1" customWidth="1"/>
    <col min="7" max="7" width="10.42578125" style="18" bestFit="1" customWidth="1"/>
    <col min="8" max="8" width="26" style="17" bestFit="1" customWidth="1"/>
    <col min="9" max="9" width="13" style="18" customWidth="1"/>
    <col min="10" max="10" width="13.7109375" style="18" customWidth="1"/>
    <col min="11" max="11" width="9" style="17" bestFit="1" customWidth="1"/>
    <col min="12" max="12" width="12.28515625" style="17" bestFit="1" customWidth="1"/>
    <col min="13" max="13" width="10.7109375" style="17" customWidth="1"/>
    <col min="14" max="14" width="11.7109375" style="17" customWidth="1"/>
    <col min="15" max="15" width="14.140625" style="17" bestFit="1" customWidth="1"/>
    <col min="16" max="16" width="17.7109375" style="17" customWidth="1"/>
    <col min="17" max="17" width="15.85546875" style="18" bestFit="1" customWidth="1"/>
    <col min="18" max="18" width="22.28515625" style="17" bestFit="1" customWidth="1"/>
    <col min="19" max="16384" width="9.140625" style="8"/>
  </cols>
  <sheetData>
    <row r="1" spans="1:18" ht="36">
      <c r="A1" s="6"/>
      <c r="B1" s="7" t="s">
        <v>443</v>
      </c>
      <c r="C1" s="7" t="s">
        <v>444</v>
      </c>
      <c r="D1" s="7" t="s">
        <v>445</v>
      </c>
      <c r="E1" s="7" t="s">
        <v>446</v>
      </c>
      <c r="F1" s="7" t="s">
        <v>447</v>
      </c>
      <c r="G1" s="7" t="s">
        <v>448</v>
      </c>
      <c r="H1" s="7" t="s">
        <v>219</v>
      </c>
      <c r="I1" s="7" t="s">
        <v>449</v>
      </c>
      <c r="J1" s="7" t="s">
        <v>450</v>
      </c>
      <c r="K1" s="7" t="s">
        <v>451</v>
      </c>
      <c r="L1" s="7" t="s">
        <v>452</v>
      </c>
      <c r="M1" s="7" t="s">
        <v>453</v>
      </c>
      <c r="N1" s="7" t="s">
        <v>454</v>
      </c>
      <c r="O1" s="7" t="s">
        <v>455</v>
      </c>
      <c r="P1" s="7" t="s">
        <v>456</v>
      </c>
      <c r="Q1" s="7" t="s">
        <v>457</v>
      </c>
      <c r="R1" s="7" t="s">
        <v>151</v>
      </c>
    </row>
    <row r="2" spans="1:18">
      <c r="A2" s="9">
        <v>1</v>
      </c>
      <c r="B2" s="10" t="s">
        <v>712</v>
      </c>
      <c r="C2" s="10">
        <v>44562</v>
      </c>
      <c r="D2" s="10">
        <v>43710</v>
      </c>
      <c r="E2" s="11" t="s">
        <v>710</v>
      </c>
      <c r="F2" s="12" t="s">
        <v>712</v>
      </c>
      <c r="G2" s="13" t="s">
        <v>711</v>
      </c>
      <c r="H2" s="11" t="s">
        <v>713</v>
      </c>
      <c r="I2" s="180" t="s">
        <v>714</v>
      </c>
      <c r="J2" s="13">
        <v>4</v>
      </c>
      <c r="K2" s="14">
        <v>17.05</v>
      </c>
      <c r="L2" s="15" t="s">
        <v>715</v>
      </c>
      <c r="M2" s="11" t="s">
        <v>715</v>
      </c>
      <c r="N2" s="11" t="s">
        <v>715</v>
      </c>
      <c r="O2" s="13" t="s">
        <v>711</v>
      </c>
      <c r="P2" s="13" t="s">
        <v>716</v>
      </c>
      <c r="Q2" s="13" t="s">
        <v>711</v>
      </c>
      <c r="R2" s="11" t="s">
        <v>717</v>
      </c>
    </row>
    <row r="3" spans="1:18">
      <c r="A3" s="9">
        <v>2</v>
      </c>
      <c r="B3" s="10" t="s">
        <v>712</v>
      </c>
      <c r="C3" s="10">
        <v>44562</v>
      </c>
      <c r="D3" s="10">
        <v>44390</v>
      </c>
      <c r="E3" s="11" t="s">
        <v>710</v>
      </c>
      <c r="F3" s="12" t="s">
        <v>712</v>
      </c>
      <c r="G3" s="13" t="s">
        <v>711</v>
      </c>
      <c r="H3" s="11" t="s">
        <v>713</v>
      </c>
      <c r="I3" s="180" t="s">
        <v>714</v>
      </c>
      <c r="J3" s="13">
        <v>4</v>
      </c>
      <c r="K3" s="14">
        <v>17.05</v>
      </c>
      <c r="L3" s="15" t="s">
        <v>715</v>
      </c>
      <c r="M3" s="11" t="s">
        <v>715</v>
      </c>
      <c r="N3" s="11" t="s">
        <v>715</v>
      </c>
      <c r="O3" s="13" t="s">
        <v>711</v>
      </c>
      <c r="P3" s="13" t="s">
        <v>716</v>
      </c>
      <c r="Q3" s="13" t="s">
        <v>711</v>
      </c>
      <c r="R3" s="11" t="s">
        <v>717</v>
      </c>
    </row>
    <row r="4" spans="1:18">
      <c r="A4" s="9">
        <v>3</v>
      </c>
      <c r="B4" s="10" t="s">
        <v>712</v>
      </c>
      <c r="C4" s="10">
        <v>44562</v>
      </c>
      <c r="D4" s="10">
        <v>44454</v>
      </c>
      <c r="E4" s="11" t="s">
        <v>710</v>
      </c>
      <c r="F4" s="12" t="s">
        <v>712</v>
      </c>
      <c r="G4" s="13" t="s">
        <v>711</v>
      </c>
      <c r="H4" s="11" t="s">
        <v>713</v>
      </c>
      <c r="I4" s="180" t="s">
        <v>714</v>
      </c>
      <c r="J4" s="13">
        <v>4</v>
      </c>
      <c r="K4" s="14">
        <v>17.05</v>
      </c>
      <c r="L4" s="16" t="s">
        <v>715</v>
      </c>
      <c r="M4" s="11" t="s">
        <v>715</v>
      </c>
      <c r="N4" s="11" t="s">
        <v>715</v>
      </c>
      <c r="O4" s="13" t="s">
        <v>711</v>
      </c>
      <c r="P4" s="13" t="s">
        <v>716</v>
      </c>
      <c r="Q4" s="13" t="s">
        <v>711</v>
      </c>
      <c r="R4" s="11" t="s">
        <v>717</v>
      </c>
    </row>
  </sheetData>
  <sheetProtection algorithmName="SHA-512" hashValue="zcAFnAZ8dmWzeIzRzQTy1sS5JJUGkcNGrfYjaXsSPxQKSbJWDZO6tVJx3OyG/QwkJtRyMpZwJ5aoS7MJB7JFbg==" saltValue="/IDgupkiaKh5AhdNn1v1+Q==" spinCount="100000" sheet="1" objects="1" scenarios="1" sort="0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D92"/>
  <sheetViews>
    <sheetView showGridLines="0" view="pageBreakPreview" zoomScale="85" zoomScaleNormal="100" zoomScaleSheetLayoutView="85" workbookViewId="0">
      <selection activeCell="H9" sqref="H9"/>
    </sheetView>
  </sheetViews>
  <sheetFormatPr defaultColWidth="9" defaultRowHeight="15" customHeight="1"/>
  <cols>
    <col min="1" max="1" width="29.5703125" style="216" customWidth="1"/>
    <col min="2" max="2" width="33.28515625" style="216" customWidth="1"/>
    <col min="3" max="3" width="45.42578125" style="216" bestFit="1" customWidth="1"/>
    <col min="4" max="4" width="54" style="216" customWidth="1"/>
    <col min="5" max="16384" width="9" style="210"/>
  </cols>
  <sheetData>
    <row r="1" spans="1:4">
      <c r="A1" s="209" t="s">
        <v>259</v>
      </c>
      <c r="B1" s="209"/>
      <c r="C1" s="209"/>
      <c r="D1" s="209"/>
    </row>
    <row r="2" spans="1:4">
      <c r="A2" s="209" t="s">
        <v>260</v>
      </c>
      <c r="B2" s="209" t="s">
        <v>261</v>
      </c>
      <c r="C2" s="209" t="s">
        <v>262</v>
      </c>
      <c r="D2" s="209" t="s">
        <v>263</v>
      </c>
    </row>
    <row r="3" spans="1:4">
      <c r="A3" s="209"/>
      <c r="B3" s="209"/>
      <c r="C3" s="209"/>
      <c r="D3" s="209" t="s">
        <v>264</v>
      </c>
    </row>
    <row r="4" spans="1:4">
      <c r="A4" s="209" t="s">
        <v>265</v>
      </c>
      <c r="B4" s="209"/>
      <c r="C4" s="209"/>
      <c r="D4" s="209"/>
    </row>
    <row r="5" spans="1:4" ht="30">
      <c r="A5" s="211" t="s">
        <v>266</v>
      </c>
      <c r="B5" s="211"/>
      <c r="C5" s="212" t="s">
        <v>267</v>
      </c>
      <c r="D5" s="212"/>
    </row>
    <row r="6" spans="1:4" ht="30">
      <c r="A6" s="211" t="s">
        <v>384</v>
      </c>
      <c r="B6" s="211" t="s">
        <v>278</v>
      </c>
      <c r="C6" s="212" t="s">
        <v>270</v>
      </c>
      <c r="D6" s="212" t="s">
        <v>385</v>
      </c>
    </row>
    <row r="7" spans="1:4" ht="30">
      <c r="A7" s="211" t="s">
        <v>268</v>
      </c>
      <c r="B7" s="211" t="s">
        <v>269</v>
      </c>
      <c r="C7" s="212" t="s">
        <v>270</v>
      </c>
      <c r="D7" s="212" t="s">
        <v>271</v>
      </c>
    </row>
    <row r="8" spans="1:4">
      <c r="A8" s="211" t="s">
        <v>272</v>
      </c>
      <c r="B8" s="211" t="s">
        <v>269</v>
      </c>
      <c r="C8" s="212" t="s">
        <v>270</v>
      </c>
      <c r="D8" s="212" t="s">
        <v>273</v>
      </c>
    </row>
    <row r="9" spans="1:4" ht="30">
      <c r="A9" s="211" t="s">
        <v>274</v>
      </c>
      <c r="B9" s="211" t="s">
        <v>275</v>
      </c>
      <c r="C9" s="212" t="s">
        <v>276</v>
      </c>
      <c r="D9" s="212" t="s">
        <v>277</v>
      </c>
    </row>
    <row r="10" spans="1:4" ht="30">
      <c r="A10" s="211" t="s">
        <v>274</v>
      </c>
      <c r="B10" s="211" t="s">
        <v>278</v>
      </c>
      <c r="C10" s="212" t="s">
        <v>279</v>
      </c>
      <c r="D10" s="212" t="s">
        <v>277</v>
      </c>
    </row>
    <row r="11" spans="1:4">
      <c r="A11" s="211" t="s">
        <v>280</v>
      </c>
      <c r="B11" s="211" t="s">
        <v>278</v>
      </c>
      <c r="C11" s="212" t="s">
        <v>281</v>
      </c>
      <c r="D11" s="212"/>
    </row>
    <row r="12" spans="1:4" ht="30" customHeight="1">
      <c r="A12" s="211" t="s">
        <v>282</v>
      </c>
      <c r="B12" s="211" t="s">
        <v>269</v>
      </c>
      <c r="C12" s="212" t="s">
        <v>270</v>
      </c>
      <c r="D12" s="212" t="s">
        <v>283</v>
      </c>
    </row>
    <row r="13" spans="1:4">
      <c r="A13" s="211" t="s">
        <v>284</v>
      </c>
      <c r="B13" s="211" t="s">
        <v>269</v>
      </c>
      <c r="C13" s="212" t="s">
        <v>270</v>
      </c>
      <c r="D13" s="211" t="s">
        <v>285</v>
      </c>
    </row>
    <row r="14" spans="1:4" ht="30">
      <c r="A14" s="213" t="s">
        <v>286</v>
      </c>
      <c r="B14" s="213" t="s">
        <v>269</v>
      </c>
      <c r="C14" s="214" t="s">
        <v>270</v>
      </c>
      <c r="D14" s="214" t="s">
        <v>287</v>
      </c>
    </row>
    <row r="15" spans="1:4" ht="30">
      <c r="A15" s="211" t="s">
        <v>288</v>
      </c>
      <c r="B15" s="211" t="s">
        <v>269</v>
      </c>
      <c r="C15" s="212" t="s">
        <v>270</v>
      </c>
      <c r="D15" s="212" t="s">
        <v>289</v>
      </c>
    </row>
    <row r="16" spans="1:4" ht="30">
      <c r="A16" s="211" t="s">
        <v>290</v>
      </c>
      <c r="B16" s="211" t="s">
        <v>278</v>
      </c>
      <c r="C16" s="212" t="s">
        <v>270</v>
      </c>
      <c r="D16" s="212" t="s">
        <v>291</v>
      </c>
    </row>
    <row r="17" spans="1:4" ht="30">
      <c r="A17" s="211" t="s">
        <v>292</v>
      </c>
      <c r="B17" s="211" t="s">
        <v>269</v>
      </c>
      <c r="C17" s="212" t="s">
        <v>270</v>
      </c>
      <c r="D17" s="215" t="s">
        <v>293</v>
      </c>
    </row>
    <row r="18" spans="1:4" ht="30">
      <c r="A18" s="211" t="s">
        <v>294</v>
      </c>
      <c r="B18" s="211" t="s">
        <v>269</v>
      </c>
      <c r="C18" s="212" t="s">
        <v>270</v>
      </c>
      <c r="D18" s="215" t="s">
        <v>295</v>
      </c>
    </row>
    <row r="19" spans="1:4" ht="30">
      <c r="A19" s="211" t="s">
        <v>296</v>
      </c>
      <c r="B19" s="211" t="s">
        <v>278</v>
      </c>
      <c r="C19" s="212" t="s">
        <v>270</v>
      </c>
      <c r="D19" s="215" t="s">
        <v>289</v>
      </c>
    </row>
    <row r="20" spans="1:4" ht="30">
      <c r="A20" s="211" t="s">
        <v>297</v>
      </c>
      <c r="B20" s="211" t="s">
        <v>269</v>
      </c>
      <c r="C20" s="212" t="s">
        <v>270</v>
      </c>
      <c r="D20" s="215" t="s">
        <v>295</v>
      </c>
    </row>
    <row r="21" spans="1:4">
      <c r="A21" s="211" t="s">
        <v>298</v>
      </c>
      <c r="B21" s="211" t="s">
        <v>299</v>
      </c>
      <c r="C21" s="212" t="s">
        <v>300</v>
      </c>
      <c r="D21" s="215"/>
    </row>
    <row r="22" spans="1:4" ht="30">
      <c r="A22" s="211" t="s">
        <v>298</v>
      </c>
      <c r="B22" s="211" t="s">
        <v>278</v>
      </c>
      <c r="C22" s="212" t="s">
        <v>270</v>
      </c>
      <c r="D22" s="215" t="s">
        <v>293</v>
      </c>
    </row>
    <row r="23" spans="1:4" ht="30">
      <c r="A23" s="211" t="s">
        <v>301</v>
      </c>
      <c r="B23" s="211" t="s">
        <v>269</v>
      </c>
      <c r="C23" s="212" t="s">
        <v>270</v>
      </c>
      <c r="D23" s="215" t="s">
        <v>302</v>
      </c>
    </row>
    <row r="24" spans="1:4" ht="30">
      <c r="A24" s="211" t="s">
        <v>303</v>
      </c>
      <c r="B24" s="211" t="s">
        <v>269</v>
      </c>
      <c r="C24" s="212" t="s">
        <v>270</v>
      </c>
      <c r="D24" s="215" t="s">
        <v>304</v>
      </c>
    </row>
    <row r="25" spans="1:4" ht="45">
      <c r="A25" s="211" t="s">
        <v>305</v>
      </c>
      <c r="B25" s="211" t="s">
        <v>269</v>
      </c>
      <c r="C25" s="212" t="s">
        <v>270</v>
      </c>
      <c r="D25" s="215" t="s">
        <v>306</v>
      </c>
    </row>
    <row r="26" spans="1:4" ht="30">
      <c r="A26" s="211" t="s">
        <v>307</v>
      </c>
      <c r="B26" s="211" t="s">
        <v>269</v>
      </c>
      <c r="C26" s="212" t="s">
        <v>270</v>
      </c>
      <c r="D26" s="215" t="s">
        <v>302</v>
      </c>
    </row>
    <row r="27" spans="1:4" ht="45">
      <c r="A27" s="211" t="s">
        <v>308</v>
      </c>
      <c r="B27" s="211" t="s">
        <v>278</v>
      </c>
      <c r="C27" s="212" t="s">
        <v>270</v>
      </c>
      <c r="D27" s="215" t="s">
        <v>309</v>
      </c>
    </row>
    <row r="28" spans="1:4" ht="30">
      <c r="A28" s="211" t="s">
        <v>310</v>
      </c>
      <c r="B28" s="211" t="s">
        <v>278</v>
      </c>
      <c r="C28" s="212" t="s">
        <v>270</v>
      </c>
      <c r="D28" s="215" t="s">
        <v>293</v>
      </c>
    </row>
    <row r="29" spans="1:4" ht="30">
      <c r="A29" s="211" t="s">
        <v>311</v>
      </c>
      <c r="B29" s="211" t="s">
        <v>269</v>
      </c>
      <c r="C29" s="212" t="s">
        <v>270</v>
      </c>
      <c r="D29" s="215" t="s">
        <v>293</v>
      </c>
    </row>
    <row r="30" spans="1:4" ht="30">
      <c r="A30" s="211" t="s">
        <v>312</v>
      </c>
      <c r="B30" s="211" t="s">
        <v>278</v>
      </c>
      <c r="C30" s="212" t="s">
        <v>270</v>
      </c>
      <c r="D30" s="215" t="s">
        <v>293</v>
      </c>
    </row>
    <row r="31" spans="1:4">
      <c r="A31" s="209" t="s">
        <v>260</v>
      </c>
      <c r="B31" s="209" t="s">
        <v>261</v>
      </c>
      <c r="C31" s="209" t="s">
        <v>262</v>
      </c>
      <c r="D31" s="209" t="s">
        <v>263</v>
      </c>
    </row>
    <row r="32" spans="1:4">
      <c r="A32" s="209"/>
      <c r="B32" s="209"/>
      <c r="C32" s="209"/>
      <c r="D32" s="209" t="s">
        <v>264</v>
      </c>
    </row>
    <row r="33" spans="1:4">
      <c r="A33" s="209" t="s">
        <v>313</v>
      </c>
      <c r="B33" s="209"/>
      <c r="C33" s="209"/>
      <c r="D33" s="209"/>
    </row>
    <row r="34" spans="1:4" ht="30">
      <c r="A34" s="211" t="s">
        <v>266</v>
      </c>
      <c r="B34" s="211"/>
      <c r="C34" s="212" t="s">
        <v>314</v>
      </c>
      <c r="D34" s="215"/>
    </row>
    <row r="35" spans="1:4" ht="30">
      <c r="A35" s="211" t="s">
        <v>315</v>
      </c>
      <c r="B35" s="211" t="s">
        <v>278</v>
      </c>
      <c r="C35" s="212" t="s">
        <v>270</v>
      </c>
      <c r="D35" s="215" t="s">
        <v>316</v>
      </c>
    </row>
    <row r="36" spans="1:4" ht="30">
      <c r="A36" s="211" t="s">
        <v>317</v>
      </c>
      <c r="B36" s="211" t="s">
        <v>278</v>
      </c>
      <c r="C36" s="212" t="s">
        <v>270</v>
      </c>
      <c r="D36" s="215" t="s">
        <v>318</v>
      </c>
    </row>
    <row r="37" spans="1:4" ht="45">
      <c r="A37" s="211" t="s">
        <v>319</v>
      </c>
      <c r="B37" s="211" t="s">
        <v>269</v>
      </c>
      <c r="C37" s="212" t="s">
        <v>270</v>
      </c>
      <c r="D37" s="215" t="s">
        <v>320</v>
      </c>
    </row>
    <row r="38" spans="1:4" ht="30">
      <c r="A38" s="211" t="s">
        <v>290</v>
      </c>
      <c r="B38" s="211" t="s">
        <v>278</v>
      </c>
      <c r="C38" s="212" t="s">
        <v>270</v>
      </c>
      <c r="D38" s="212" t="s">
        <v>291</v>
      </c>
    </row>
    <row r="39" spans="1:4" ht="30">
      <c r="A39" s="211" t="s">
        <v>250</v>
      </c>
      <c r="B39" s="211" t="s">
        <v>278</v>
      </c>
      <c r="C39" s="212" t="s">
        <v>270</v>
      </c>
      <c r="D39" s="212" t="s">
        <v>316</v>
      </c>
    </row>
    <row r="40" spans="1:4" ht="30">
      <c r="A40" s="211" t="s">
        <v>321</v>
      </c>
      <c r="B40" s="211" t="s">
        <v>278</v>
      </c>
      <c r="C40" s="212" t="s">
        <v>270</v>
      </c>
      <c r="D40" s="212" t="s">
        <v>322</v>
      </c>
    </row>
    <row r="41" spans="1:4" ht="30">
      <c r="A41" s="211" t="s">
        <v>323</v>
      </c>
      <c r="B41" s="211" t="s">
        <v>278</v>
      </c>
      <c r="C41" s="212" t="s">
        <v>270</v>
      </c>
      <c r="D41" s="212" t="s">
        <v>324</v>
      </c>
    </row>
    <row r="42" spans="1:4">
      <c r="A42" s="211" t="s">
        <v>325</v>
      </c>
      <c r="B42" s="211" t="s">
        <v>269</v>
      </c>
      <c r="C42" s="212" t="s">
        <v>270</v>
      </c>
      <c r="D42" s="215" t="s">
        <v>285</v>
      </c>
    </row>
    <row r="43" spans="1:4" ht="30">
      <c r="A43" s="211" t="s">
        <v>326</v>
      </c>
      <c r="B43" s="211" t="s">
        <v>269</v>
      </c>
      <c r="C43" s="212" t="s">
        <v>270</v>
      </c>
      <c r="D43" s="215" t="s">
        <v>293</v>
      </c>
    </row>
    <row r="44" spans="1:4" ht="30">
      <c r="A44" s="211" t="s">
        <v>327</v>
      </c>
      <c r="B44" s="211" t="s">
        <v>278</v>
      </c>
      <c r="C44" s="212" t="s">
        <v>270</v>
      </c>
      <c r="D44" s="215" t="s">
        <v>328</v>
      </c>
    </row>
    <row r="45" spans="1:4" ht="45">
      <c r="A45" s="211" t="s">
        <v>329</v>
      </c>
      <c r="B45" s="211" t="s">
        <v>278</v>
      </c>
      <c r="C45" s="212" t="s">
        <v>270</v>
      </c>
      <c r="D45" s="215" t="s">
        <v>330</v>
      </c>
    </row>
    <row r="46" spans="1:4" ht="30">
      <c r="A46" s="211" t="s">
        <v>331</v>
      </c>
      <c r="B46" s="211" t="s">
        <v>278</v>
      </c>
      <c r="C46" s="212" t="s">
        <v>270</v>
      </c>
      <c r="D46" s="212" t="s">
        <v>332</v>
      </c>
    </row>
    <row r="47" spans="1:4" ht="30">
      <c r="A47" s="211" t="s">
        <v>333</v>
      </c>
      <c r="B47" s="211" t="s">
        <v>278</v>
      </c>
      <c r="C47" s="212" t="s">
        <v>270</v>
      </c>
      <c r="D47" s="215" t="s">
        <v>293</v>
      </c>
    </row>
    <row r="48" spans="1:4">
      <c r="A48" s="211" t="s">
        <v>334</v>
      </c>
      <c r="B48" s="211" t="s">
        <v>269</v>
      </c>
      <c r="C48" s="212" t="s">
        <v>270</v>
      </c>
      <c r="D48" s="215" t="s">
        <v>285</v>
      </c>
    </row>
    <row r="49" spans="1:4" ht="30">
      <c r="A49" s="211" t="s">
        <v>335</v>
      </c>
      <c r="B49" s="211" t="s">
        <v>269</v>
      </c>
      <c r="C49" s="212" t="s">
        <v>270</v>
      </c>
      <c r="D49" s="215" t="s">
        <v>291</v>
      </c>
    </row>
    <row r="50" spans="1:4" ht="30">
      <c r="A50" s="211" t="s">
        <v>336</v>
      </c>
      <c r="B50" s="211" t="s">
        <v>278</v>
      </c>
      <c r="C50" s="212" t="s">
        <v>337</v>
      </c>
      <c r="D50" s="215" t="s">
        <v>338</v>
      </c>
    </row>
    <row r="51" spans="1:4" ht="45">
      <c r="A51" s="211" t="s">
        <v>339</v>
      </c>
      <c r="B51" s="211" t="s">
        <v>278</v>
      </c>
      <c r="C51" s="212" t="s">
        <v>270</v>
      </c>
      <c r="D51" s="215" t="s">
        <v>340</v>
      </c>
    </row>
    <row r="52" spans="1:4">
      <c r="A52" s="209" t="s">
        <v>260</v>
      </c>
      <c r="B52" s="209" t="s">
        <v>261</v>
      </c>
      <c r="C52" s="209" t="s">
        <v>262</v>
      </c>
      <c r="D52" s="209" t="s">
        <v>263</v>
      </c>
    </row>
    <row r="53" spans="1:4">
      <c r="A53" s="209"/>
      <c r="B53" s="209"/>
      <c r="C53" s="209"/>
      <c r="D53" s="209" t="s">
        <v>264</v>
      </c>
    </row>
    <row r="54" spans="1:4">
      <c r="A54" s="209" t="s">
        <v>341</v>
      </c>
      <c r="B54" s="209"/>
      <c r="C54" s="209"/>
      <c r="D54" s="209"/>
    </row>
    <row r="55" spans="1:4" ht="45">
      <c r="A55" s="211" t="s">
        <v>266</v>
      </c>
      <c r="B55" s="211"/>
      <c r="C55" s="212" t="s">
        <v>342</v>
      </c>
      <c r="D55" s="212"/>
    </row>
    <row r="56" spans="1:4" ht="30">
      <c r="A56" s="211" t="s">
        <v>343</v>
      </c>
      <c r="B56" s="211" t="s">
        <v>278</v>
      </c>
      <c r="C56" s="212" t="s">
        <v>344</v>
      </c>
      <c r="D56" s="215" t="s">
        <v>345</v>
      </c>
    </row>
    <row r="57" spans="1:4" ht="30">
      <c r="A57" s="211" t="s">
        <v>346</v>
      </c>
      <c r="B57" s="211" t="s">
        <v>278</v>
      </c>
      <c r="C57" s="212" t="s">
        <v>270</v>
      </c>
      <c r="D57" s="215" t="s">
        <v>347</v>
      </c>
    </row>
    <row r="58" spans="1:4">
      <c r="A58" s="211" t="s">
        <v>348</v>
      </c>
      <c r="B58" s="211" t="s">
        <v>278</v>
      </c>
      <c r="C58" s="212" t="s">
        <v>270</v>
      </c>
      <c r="D58" s="215" t="s">
        <v>349</v>
      </c>
    </row>
    <row r="59" spans="1:4">
      <c r="A59" s="211" t="s">
        <v>348</v>
      </c>
      <c r="B59" s="211" t="s">
        <v>278</v>
      </c>
      <c r="C59" s="212" t="s">
        <v>350</v>
      </c>
      <c r="D59" s="215"/>
    </row>
    <row r="60" spans="1:4">
      <c r="A60" s="211" t="s">
        <v>351</v>
      </c>
      <c r="B60" s="211" t="s">
        <v>278</v>
      </c>
      <c r="C60" s="212" t="s">
        <v>270</v>
      </c>
      <c r="D60" s="215" t="s">
        <v>349</v>
      </c>
    </row>
    <row r="61" spans="1:4" ht="30">
      <c r="A61" s="211" t="s">
        <v>352</v>
      </c>
      <c r="B61" s="211" t="s">
        <v>278</v>
      </c>
      <c r="C61" s="212" t="s">
        <v>270</v>
      </c>
      <c r="D61" s="215" t="s">
        <v>293</v>
      </c>
    </row>
    <row r="62" spans="1:4">
      <c r="A62" s="211" t="s">
        <v>353</v>
      </c>
      <c r="B62" s="211" t="s">
        <v>278</v>
      </c>
      <c r="C62" s="212" t="s">
        <v>270</v>
      </c>
      <c r="D62" s="215" t="s">
        <v>349</v>
      </c>
    </row>
    <row r="63" spans="1:4">
      <c r="A63" s="211" t="s">
        <v>353</v>
      </c>
      <c r="B63" s="211" t="s">
        <v>278</v>
      </c>
      <c r="C63" s="212" t="s">
        <v>350</v>
      </c>
      <c r="D63" s="215"/>
    </row>
    <row r="64" spans="1:4" ht="30">
      <c r="A64" s="211" t="s">
        <v>354</v>
      </c>
      <c r="B64" s="211" t="s">
        <v>278</v>
      </c>
      <c r="C64" s="212" t="s">
        <v>270</v>
      </c>
      <c r="D64" s="215" t="s">
        <v>355</v>
      </c>
    </row>
    <row r="65" spans="1:4">
      <c r="A65" s="211" t="s">
        <v>354</v>
      </c>
      <c r="B65" s="211" t="s">
        <v>278</v>
      </c>
      <c r="C65" s="212" t="s">
        <v>350</v>
      </c>
      <c r="D65" s="215"/>
    </row>
    <row r="66" spans="1:4" ht="30">
      <c r="A66" s="211" t="s">
        <v>356</v>
      </c>
      <c r="B66" s="211" t="s">
        <v>278</v>
      </c>
      <c r="C66" s="212" t="s">
        <v>270</v>
      </c>
      <c r="D66" s="215" t="s">
        <v>357</v>
      </c>
    </row>
    <row r="67" spans="1:4" ht="30">
      <c r="A67" s="211" t="s">
        <v>356</v>
      </c>
      <c r="B67" s="211" t="s">
        <v>278</v>
      </c>
      <c r="C67" s="212" t="s">
        <v>350</v>
      </c>
      <c r="D67" s="215"/>
    </row>
    <row r="68" spans="1:4" ht="30">
      <c r="A68" s="211" t="s">
        <v>358</v>
      </c>
      <c r="B68" s="211" t="s">
        <v>278</v>
      </c>
      <c r="C68" s="212" t="s">
        <v>270</v>
      </c>
      <c r="D68" s="215" t="s">
        <v>359</v>
      </c>
    </row>
    <row r="69" spans="1:4" ht="30">
      <c r="A69" s="211" t="s">
        <v>360</v>
      </c>
      <c r="B69" s="211" t="s">
        <v>278</v>
      </c>
      <c r="C69" s="212" t="s">
        <v>270</v>
      </c>
      <c r="D69" s="215" t="s">
        <v>304</v>
      </c>
    </row>
    <row r="70" spans="1:4">
      <c r="A70" s="211" t="s">
        <v>360</v>
      </c>
      <c r="B70" s="211" t="s">
        <v>278</v>
      </c>
      <c r="C70" s="212" t="s">
        <v>350</v>
      </c>
      <c r="D70" s="215"/>
    </row>
    <row r="71" spans="1:4" ht="30">
      <c r="A71" s="211" t="s">
        <v>60</v>
      </c>
      <c r="B71" s="211" t="s">
        <v>278</v>
      </c>
      <c r="C71" s="212" t="s">
        <v>361</v>
      </c>
      <c r="D71" s="215" t="s">
        <v>318</v>
      </c>
    </row>
    <row r="72" spans="1:4">
      <c r="A72" s="211" t="s">
        <v>60</v>
      </c>
      <c r="B72" s="211" t="s">
        <v>278</v>
      </c>
      <c r="C72" s="212" t="s">
        <v>350</v>
      </c>
      <c r="D72" s="215"/>
    </row>
    <row r="73" spans="1:4">
      <c r="A73" s="209" t="s">
        <v>260</v>
      </c>
      <c r="B73" s="209" t="s">
        <v>261</v>
      </c>
      <c r="C73" s="209" t="s">
        <v>262</v>
      </c>
      <c r="D73" s="209" t="s">
        <v>263</v>
      </c>
    </row>
    <row r="74" spans="1:4">
      <c r="A74" s="209"/>
      <c r="B74" s="209"/>
      <c r="C74" s="209"/>
      <c r="D74" s="209" t="s">
        <v>264</v>
      </c>
    </row>
    <row r="75" spans="1:4">
      <c r="A75" s="209" t="s">
        <v>362</v>
      </c>
      <c r="B75" s="209"/>
      <c r="C75" s="209"/>
      <c r="D75" s="209"/>
    </row>
    <row r="76" spans="1:4" ht="30">
      <c r="A76" s="211" t="s">
        <v>266</v>
      </c>
      <c r="B76" s="211"/>
      <c r="C76" s="212" t="s">
        <v>363</v>
      </c>
      <c r="D76" s="212"/>
    </row>
    <row r="77" spans="1:4">
      <c r="A77" s="209" t="s">
        <v>364</v>
      </c>
      <c r="B77" s="209"/>
      <c r="C77" s="209"/>
      <c r="D77" s="209"/>
    </row>
    <row r="78" spans="1:4" ht="30">
      <c r="A78" s="211" t="s">
        <v>365</v>
      </c>
      <c r="B78" s="211" t="s">
        <v>278</v>
      </c>
      <c r="C78" s="212" t="s">
        <v>366</v>
      </c>
      <c r="D78" s="215" t="s">
        <v>338</v>
      </c>
    </row>
    <row r="79" spans="1:4" ht="30">
      <c r="A79" s="211" t="s">
        <v>367</v>
      </c>
      <c r="B79" s="211" t="s">
        <v>278</v>
      </c>
      <c r="C79" s="212" t="s">
        <v>366</v>
      </c>
      <c r="D79" s="215" t="s">
        <v>338</v>
      </c>
    </row>
    <row r="80" spans="1:4" ht="30">
      <c r="A80" s="211" t="s">
        <v>368</v>
      </c>
      <c r="B80" s="211" t="s">
        <v>278</v>
      </c>
      <c r="C80" s="212" t="s">
        <v>366</v>
      </c>
      <c r="D80" s="215" t="s">
        <v>369</v>
      </c>
    </row>
    <row r="81" spans="1:4" ht="30">
      <c r="A81" s="211" t="s">
        <v>370</v>
      </c>
      <c r="B81" s="211" t="s">
        <v>278</v>
      </c>
      <c r="C81" s="212" t="s">
        <v>366</v>
      </c>
      <c r="D81" s="215" t="s">
        <v>371</v>
      </c>
    </row>
    <row r="82" spans="1:4" ht="30">
      <c r="A82" s="211" t="s">
        <v>372</v>
      </c>
      <c r="B82" s="211" t="s">
        <v>278</v>
      </c>
      <c r="C82" s="212" t="s">
        <v>366</v>
      </c>
      <c r="D82" s="215" t="s">
        <v>371</v>
      </c>
    </row>
    <row r="83" spans="1:4">
      <c r="A83" s="209" t="s">
        <v>373</v>
      </c>
      <c r="B83" s="209"/>
      <c r="C83" s="209"/>
      <c r="D83" s="209"/>
    </row>
    <row r="84" spans="1:4" ht="30">
      <c r="A84" s="211" t="s">
        <v>365</v>
      </c>
      <c r="B84" s="211" t="s">
        <v>278</v>
      </c>
      <c r="C84" s="212" t="s">
        <v>366</v>
      </c>
      <c r="D84" s="215" t="s">
        <v>338</v>
      </c>
    </row>
    <row r="85" spans="1:4" ht="30">
      <c r="A85" s="211" t="s">
        <v>367</v>
      </c>
      <c r="B85" s="211" t="s">
        <v>278</v>
      </c>
      <c r="C85" s="212" t="s">
        <v>366</v>
      </c>
      <c r="D85" s="215" t="s">
        <v>338</v>
      </c>
    </row>
    <row r="86" spans="1:4" ht="30">
      <c r="A86" s="211" t="s">
        <v>368</v>
      </c>
      <c r="B86" s="211" t="s">
        <v>278</v>
      </c>
      <c r="C86" s="212" t="s">
        <v>366</v>
      </c>
      <c r="D86" s="215" t="s">
        <v>369</v>
      </c>
    </row>
    <row r="87" spans="1:4" ht="30">
      <c r="A87" s="211" t="s">
        <v>370</v>
      </c>
      <c r="B87" s="211" t="s">
        <v>278</v>
      </c>
      <c r="C87" s="212" t="s">
        <v>366</v>
      </c>
      <c r="D87" s="215" t="s">
        <v>371</v>
      </c>
    </row>
    <row r="88" spans="1:4" ht="30">
      <c r="A88" s="211" t="s">
        <v>372</v>
      </c>
      <c r="B88" s="211" t="s">
        <v>278</v>
      </c>
      <c r="C88" s="212" t="s">
        <v>366</v>
      </c>
      <c r="D88" s="215" t="s">
        <v>371</v>
      </c>
    </row>
    <row r="89" spans="1:4">
      <c r="A89" s="209" t="s">
        <v>39</v>
      </c>
      <c r="B89" s="209"/>
      <c r="C89" s="209"/>
      <c r="D89" s="209"/>
    </row>
    <row r="90" spans="1:4" ht="30">
      <c r="A90" s="211" t="s">
        <v>365</v>
      </c>
      <c r="B90" s="211" t="s">
        <v>278</v>
      </c>
      <c r="C90" s="212" t="s">
        <v>374</v>
      </c>
      <c r="D90" s="215" t="s">
        <v>338</v>
      </c>
    </row>
    <row r="91" spans="1:4" ht="30">
      <c r="A91" s="211" t="s">
        <v>367</v>
      </c>
      <c r="B91" s="211" t="s">
        <v>278</v>
      </c>
      <c r="C91" s="212" t="s">
        <v>374</v>
      </c>
      <c r="D91" s="215" t="s">
        <v>338</v>
      </c>
    </row>
    <row r="92" spans="1:4" ht="30">
      <c r="A92" s="211" t="s">
        <v>368</v>
      </c>
      <c r="B92" s="211" t="s">
        <v>278</v>
      </c>
      <c r="C92" s="212" t="s">
        <v>374</v>
      </c>
      <c r="D92" s="215" t="s">
        <v>369</v>
      </c>
    </row>
  </sheetData>
  <sheetProtection algorithmName="SHA-512" hashValue="E9ky0FLK995fn3xnIR/GhDLhEwW0biRobSicVLhkkTc++daW8WEC6em5eQ9NfHPIZTE/uq2lbRY+GZavWbqq+A==" saltValue="uAqzNwU1yPBtOWYNyQca6A==" spinCount="100000" sheet="1" objects="1" scenarios="1" sort="0" autoFilter="0"/>
  <dataConsolidate/>
  <phoneticPr fontId="17" type="noConversion"/>
  <pageMargins left="0.2" right="0.21" top="0.57999999999999996" bottom="0.59" header="0.5" footer="0.5"/>
  <pageSetup paperSize="9" scale="62" fitToHeight="0" orientation="portrait" r:id="rId1"/>
  <headerFooter alignWithMargins="0"/>
  <rowBreaks count="2" manualBreakCount="2">
    <brk id="51" max="16383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F394-4871-4C89-B206-F8B668D86E02}">
  <sheetPr>
    <tabColor theme="0" tint="-0.14999847407452621"/>
  </sheetPr>
  <dimension ref="A1:C44"/>
  <sheetViews>
    <sheetView view="pageBreakPreview" zoomScaleNormal="100" zoomScaleSheetLayoutView="100" workbookViewId="0">
      <selection activeCell="E15" sqref="E15"/>
    </sheetView>
  </sheetViews>
  <sheetFormatPr defaultColWidth="9" defaultRowHeight="12.75"/>
  <cols>
    <col min="1" max="1" width="52" style="216" customWidth="1"/>
    <col min="2" max="2" width="16.42578125" style="216" bestFit="1" customWidth="1"/>
    <col min="3" max="3" width="37.42578125" style="216" bestFit="1" customWidth="1"/>
    <col min="4" max="16384" width="9" style="210"/>
  </cols>
  <sheetData>
    <row r="1" spans="1:3" ht="24">
      <c r="A1" s="217" t="s">
        <v>375</v>
      </c>
      <c r="B1" s="217"/>
      <c r="C1" s="217"/>
    </row>
    <row r="2" spans="1:3">
      <c r="A2" s="217" t="s">
        <v>260</v>
      </c>
      <c r="B2" s="217" t="s">
        <v>261</v>
      </c>
      <c r="C2" s="217" t="s">
        <v>376</v>
      </c>
    </row>
    <row r="3" spans="1:3">
      <c r="A3" s="217" t="s">
        <v>265</v>
      </c>
      <c r="B3" s="217"/>
      <c r="C3" s="217"/>
    </row>
    <row r="4" spans="1:3" ht="13.5">
      <c r="A4" s="218" t="s">
        <v>268</v>
      </c>
      <c r="B4" s="218" t="s">
        <v>269</v>
      </c>
      <c r="C4" s="219" t="s">
        <v>377</v>
      </c>
    </row>
    <row r="5" spans="1:3" ht="13.5">
      <c r="A5" s="218" t="s">
        <v>274</v>
      </c>
      <c r="B5" s="218" t="s">
        <v>269</v>
      </c>
      <c r="C5" s="219" t="s">
        <v>377</v>
      </c>
    </row>
    <row r="6" spans="1:3" ht="13.5">
      <c r="A6" s="218" t="s">
        <v>282</v>
      </c>
      <c r="B6" s="218" t="s">
        <v>269</v>
      </c>
      <c r="C6" s="219" t="s">
        <v>377</v>
      </c>
    </row>
    <row r="7" spans="1:3" ht="13.5">
      <c r="A7" s="218" t="s">
        <v>284</v>
      </c>
      <c r="B7" s="218" t="s">
        <v>269</v>
      </c>
      <c r="C7" s="219" t="s">
        <v>377</v>
      </c>
    </row>
    <row r="8" spans="1:3" ht="13.5">
      <c r="A8" s="220" t="s">
        <v>286</v>
      </c>
      <c r="B8" s="220" t="s">
        <v>269</v>
      </c>
      <c r="C8" s="221" t="s">
        <v>377</v>
      </c>
    </row>
    <row r="9" spans="1:3" ht="13.5">
      <c r="A9" s="218" t="s">
        <v>288</v>
      </c>
      <c r="B9" s="218" t="s">
        <v>269</v>
      </c>
      <c r="C9" s="219" t="s">
        <v>377</v>
      </c>
    </row>
    <row r="10" spans="1:3" ht="13.5">
      <c r="A10" s="218" t="s">
        <v>290</v>
      </c>
      <c r="B10" s="218" t="s">
        <v>278</v>
      </c>
      <c r="C10" s="219" t="s">
        <v>377</v>
      </c>
    </row>
    <row r="11" spans="1:3" ht="13.5">
      <c r="A11" s="218" t="s">
        <v>292</v>
      </c>
      <c r="B11" s="218" t="s">
        <v>269</v>
      </c>
      <c r="C11" s="219" t="s">
        <v>377</v>
      </c>
    </row>
    <row r="12" spans="1:3" ht="13.5">
      <c r="A12" s="218" t="s">
        <v>294</v>
      </c>
      <c r="B12" s="218" t="s">
        <v>269</v>
      </c>
      <c r="C12" s="219" t="s">
        <v>377</v>
      </c>
    </row>
    <row r="13" spans="1:3" ht="13.5">
      <c r="A13" s="218" t="s">
        <v>296</v>
      </c>
      <c r="B13" s="218" t="s">
        <v>278</v>
      </c>
      <c r="C13" s="219" t="s">
        <v>377</v>
      </c>
    </row>
    <row r="14" spans="1:3" ht="13.5">
      <c r="A14" s="218" t="s">
        <v>297</v>
      </c>
      <c r="B14" s="218" t="s">
        <v>269</v>
      </c>
      <c r="C14" s="219" t="s">
        <v>377</v>
      </c>
    </row>
    <row r="15" spans="1:3" ht="13.5">
      <c r="A15" s="218" t="s">
        <v>298</v>
      </c>
      <c r="B15" s="218" t="s">
        <v>269</v>
      </c>
      <c r="C15" s="219" t="s">
        <v>377</v>
      </c>
    </row>
    <row r="16" spans="1:3" ht="13.5">
      <c r="A16" s="218" t="s">
        <v>303</v>
      </c>
      <c r="B16" s="218" t="s">
        <v>269</v>
      </c>
      <c r="C16" s="219" t="s">
        <v>377</v>
      </c>
    </row>
    <row r="17" spans="1:3" ht="13.5">
      <c r="A17" s="218" t="s">
        <v>305</v>
      </c>
      <c r="B17" s="218" t="s">
        <v>278</v>
      </c>
      <c r="C17" s="219" t="s">
        <v>377</v>
      </c>
    </row>
    <row r="18" spans="1:3" ht="13.5">
      <c r="A18" s="218" t="s">
        <v>378</v>
      </c>
      <c r="B18" s="218" t="s">
        <v>278</v>
      </c>
      <c r="C18" s="219" t="s">
        <v>377</v>
      </c>
    </row>
    <row r="19" spans="1:3" ht="13.5">
      <c r="A19" s="218" t="s">
        <v>308</v>
      </c>
      <c r="B19" s="218" t="s">
        <v>278</v>
      </c>
      <c r="C19" s="219" t="s">
        <v>377</v>
      </c>
    </row>
    <row r="20" spans="1:3" ht="13.5">
      <c r="A20" s="218" t="s">
        <v>310</v>
      </c>
      <c r="B20" s="218" t="s">
        <v>278</v>
      </c>
      <c r="C20" s="219" t="s">
        <v>377</v>
      </c>
    </row>
    <row r="21" spans="1:3" ht="13.5">
      <c r="A21" s="218" t="s">
        <v>311</v>
      </c>
      <c r="B21" s="218" t="s">
        <v>269</v>
      </c>
      <c r="C21" s="219" t="s">
        <v>377</v>
      </c>
    </row>
    <row r="22" spans="1:3" ht="13.5">
      <c r="A22" s="218" t="s">
        <v>312</v>
      </c>
      <c r="B22" s="218" t="s">
        <v>278</v>
      </c>
      <c r="C22" s="219" t="s">
        <v>377</v>
      </c>
    </row>
    <row r="23" spans="1:3" ht="13.5">
      <c r="A23" s="218" t="s">
        <v>321</v>
      </c>
      <c r="B23" s="218" t="s">
        <v>278</v>
      </c>
      <c r="C23" s="219" t="s">
        <v>377</v>
      </c>
    </row>
    <row r="24" spans="1:3" ht="13.5">
      <c r="A24" s="218" t="s">
        <v>325</v>
      </c>
      <c r="B24" s="218" t="s">
        <v>269</v>
      </c>
      <c r="C24" s="219" t="s">
        <v>377</v>
      </c>
    </row>
    <row r="25" spans="1:3" ht="13.5">
      <c r="A25" s="218" t="s">
        <v>327</v>
      </c>
      <c r="B25" s="218" t="s">
        <v>278</v>
      </c>
      <c r="C25" s="219" t="s">
        <v>377</v>
      </c>
    </row>
    <row r="26" spans="1:3" ht="13.5">
      <c r="A26" s="218" t="s">
        <v>339</v>
      </c>
      <c r="B26" s="218" t="s">
        <v>278</v>
      </c>
      <c r="C26" s="219" t="s">
        <v>377</v>
      </c>
    </row>
    <row r="27" spans="1:3" ht="13.5">
      <c r="A27" s="218" t="s">
        <v>329</v>
      </c>
      <c r="B27" s="218" t="s">
        <v>278</v>
      </c>
      <c r="C27" s="219" t="s">
        <v>377</v>
      </c>
    </row>
    <row r="28" spans="1:3" ht="13.5">
      <c r="A28" s="218" t="s">
        <v>379</v>
      </c>
      <c r="B28" s="218" t="s">
        <v>269</v>
      </c>
      <c r="C28" s="219" t="s">
        <v>377</v>
      </c>
    </row>
    <row r="29" spans="1:3">
      <c r="A29" s="217" t="s">
        <v>341</v>
      </c>
      <c r="B29" s="217"/>
      <c r="C29" s="217"/>
    </row>
    <row r="30" spans="1:3" ht="13.5">
      <c r="A30" s="218" t="s">
        <v>348</v>
      </c>
      <c r="B30" s="218" t="s">
        <v>278</v>
      </c>
      <c r="C30" s="219" t="s">
        <v>377</v>
      </c>
    </row>
    <row r="31" spans="1:3" ht="13.5">
      <c r="A31" s="218" t="s">
        <v>351</v>
      </c>
      <c r="B31" s="218" t="s">
        <v>278</v>
      </c>
      <c r="C31" s="219" t="s">
        <v>377</v>
      </c>
    </row>
    <row r="32" spans="1:3" ht="13.5">
      <c r="A32" s="218" t="s">
        <v>353</v>
      </c>
      <c r="B32" s="218" t="s">
        <v>278</v>
      </c>
      <c r="C32" s="219" t="s">
        <v>377</v>
      </c>
    </row>
    <row r="33" spans="1:3" ht="13.5">
      <c r="A33" s="218" t="s">
        <v>354</v>
      </c>
      <c r="B33" s="218" t="s">
        <v>278</v>
      </c>
      <c r="C33" s="219" t="s">
        <v>377</v>
      </c>
    </row>
    <row r="34" spans="1:3" ht="13.5">
      <c r="A34" s="218" t="s">
        <v>356</v>
      </c>
      <c r="B34" s="218" t="s">
        <v>278</v>
      </c>
      <c r="C34" s="219" t="s">
        <v>377</v>
      </c>
    </row>
    <row r="35" spans="1:3" ht="13.5">
      <c r="A35" s="218" t="s">
        <v>358</v>
      </c>
      <c r="B35" s="218" t="s">
        <v>278</v>
      </c>
      <c r="C35" s="219" t="s">
        <v>377</v>
      </c>
    </row>
    <row r="36" spans="1:3" ht="13.5">
      <c r="A36" s="218" t="s">
        <v>380</v>
      </c>
      <c r="B36" s="218" t="s">
        <v>278</v>
      </c>
      <c r="C36" s="219" t="s">
        <v>377</v>
      </c>
    </row>
    <row r="37" spans="1:3" ht="13.5">
      <c r="A37" s="218" t="s">
        <v>360</v>
      </c>
      <c r="B37" s="218" t="s">
        <v>278</v>
      </c>
      <c r="C37" s="219" t="s">
        <v>377</v>
      </c>
    </row>
    <row r="38" spans="1:3" ht="13.5">
      <c r="A38" s="218" t="s">
        <v>60</v>
      </c>
      <c r="B38" s="218" t="s">
        <v>278</v>
      </c>
      <c r="C38" s="219" t="s">
        <v>377</v>
      </c>
    </row>
    <row r="39" spans="1:3" ht="13.5">
      <c r="A39" s="218" t="s">
        <v>381</v>
      </c>
      <c r="B39" s="218" t="s">
        <v>278</v>
      </c>
      <c r="C39" s="219" t="s">
        <v>382</v>
      </c>
    </row>
    <row r="40" spans="1:3">
      <c r="A40" s="217" t="s">
        <v>362</v>
      </c>
      <c r="B40" s="217"/>
      <c r="C40" s="217"/>
    </row>
    <row r="41" spans="1:3" ht="13.5">
      <c r="A41" s="218" t="s">
        <v>364</v>
      </c>
      <c r="B41" s="218" t="s">
        <v>278</v>
      </c>
      <c r="C41" s="219" t="s">
        <v>383</v>
      </c>
    </row>
    <row r="42" spans="1:3" ht="13.5">
      <c r="A42" s="218" t="s">
        <v>373</v>
      </c>
      <c r="B42" s="218" t="s">
        <v>278</v>
      </c>
      <c r="C42" s="219" t="s">
        <v>383</v>
      </c>
    </row>
    <row r="43" spans="1:3" ht="13.5">
      <c r="A43" s="218" t="s">
        <v>39</v>
      </c>
      <c r="B43" s="218" t="s">
        <v>278</v>
      </c>
      <c r="C43" s="219" t="s">
        <v>383</v>
      </c>
    </row>
    <row r="44" spans="1:3">
      <c r="A44" s="222"/>
      <c r="B44" s="222"/>
      <c r="C44" s="223"/>
    </row>
  </sheetData>
  <sheetProtection algorithmName="SHA-512" hashValue="goKHsV7/RwgP+xDilVE2ICPLlmx/JIIvCPfQnvXi9ve/RNL1R5BtGsnOzYGEiLH3do7qitaZ8P9sml0hR7t22Q==" saltValue="R9sATATwDrCjMknjd4NbaA==" spinCount="100000" sheet="1" objects="1" scenarios="1" sort="0" autoFilter="0"/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BF67-0A91-4693-8B0B-161CF46DB58A}">
  <sheetPr>
    <tabColor theme="0" tint="-0.14999847407452621"/>
  </sheetPr>
  <dimension ref="A1:C34"/>
  <sheetViews>
    <sheetView view="pageBreakPreview" zoomScaleNormal="100" zoomScaleSheetLayoutView="100" workbookViewId="0">
      <selection activeCell="D18" sqref="D18"/>
    </sheetView>
  </sheetViews>
  <sheetFormatPr defaultColWidth="9.140625" defaultRowHeight="15" customHeight="1"/>
  <cols>
    <col min="1" max="1" width="133.28515625" style="19" customWidth="1"/>
    <col min="2" max="2" width="17.85546875" style="19" bestFit="1" customWidth="1"/>
    <col min="3" max="5" width="9.140625" style="19"/>
    <col min="6" max="6" width="19.7109375" style="19" customWidth="1"/>
    <col min="7" max="16384" width="9.140625" style="19"/>
  </cols>
  <sheetData>
    <row r="1" spans="1:3" ht="12">
      <c r="A1" s="184" t="s">
        <v>387</v>
      </c>
    </row>
    <row r="2" spans="1:3" ht="12">
      <c r="A2" s="185"/>
    </row>
    <row r="3" spans="1:3" ht="15" customHeight="1">
      <c r="A3" s="2" t="s">
        <v>413</v>
      </c>
      <c r="B3" s="3"/>
      <c r="C3" s="3"/>
    </row>
    <row r="4" spans="1:3" ht="13.5">
      <c r="A4" s="186" t="s">
        <v>415</v>
      </c>
      <c r="B4" s="186"/>
      <c r="C4" s="186"/>
    </row>
    <row r="5" spans="1:3" ht="12">
      <c r="A5" s="186" t="s">
        <v>416</v>
      </c>
      <c r="B5" s="186" t="s">
        <v>416</v>
      </c>
      <c r="C5" s="186" t="s">
        <v>416</v>
      </c>
    </row>
    <row r="6" spans="1:3" ht="12">
      <c r="A6" s="186" t="s">
        <v>417</v>
      </c>
      <c r="B6" s="186" t="s">
        <v>417</v>
      </c>
      <c r="C6" s="186" t="s">
        <v>417</v>
      </c>
    </row>
    <row r="7" spans="1:3" ht="12">
      <c r="A7" s="186" t="s">
        <v>418</v>
      </c>
      <c r="B7" s="186" t="s">
        <v>418</v>
      </c>
      <c r="C7" s="186" t="s">
        <v>418</v>
      </c>
    </row>
    <row r="8" spans="1:3" ht="12">
      <c r="A8" s="186" t="s">
        <v>419</v>
      </c>
      <c r="B8" s="186" t="s">
        <v>419</v>
      </c>
      <c r="C8" s="186" t="s">
        <v>419</v>
      </c>
    </row>
    <row r="9" spans="1:3" ht="12">
      <c r="A9" s="186" t="s">
        <v>420</v>
      </c>
      <c r="B9" s="186" t="s">
        <v>420</v>
      </c>
      <c r="C9" s="186" t="s">
        <v>420</v>
      </c>
    </row>
    <row r="10" spans="1:3" ht="12">
      <c r="A10" s="186" t="s">
        <v>421</v>
      </c>
      <c r="B10" s="186" t="s">
        <v>421</v>
      </c>
      <c r="C10" s="186" t="s">
        <v>421</v>
      </c>
    </row>
    <row r="11" spans="1:3" ht="12">
      <c r="A11" s="186" t="s">
        <v>422</v>
      </c>
      <c r="B11" s="186" t="s">
        <v>422</v>
      </c>
      <c r="C11" s="186" t="s">
        <v>422</v>
      </c>
    </row>
    <row r="12" spans="1:3" ht="12">
      <c r="A12" s="186" t="s">
        <v>423</v>
      </c>
      <c r="B12" s="186" t="s">
        <v>423</v>
      </c>
      <c r="C12" s="186" t="s">
        <v>423</v>
      </c>
    </row>
    <row r="13" spans="1:3" ht="12">
      <c r="A13" s="186" t="s">
        <v>424</v>
      </c>
      <c r="B13" s="186" t="s">
        <v>424</v>
      </c>
      <c r="C13" s="186" t="s">
        <v>424</v>
      </c>
    </row>
    <row r="14" spans="1:3" ht="12">
      <c r="A14" s="186" t="s">
        <v>425</v>
      </c>
      <c r="B14" s="186" t="s">
        <v>425</v>
      </c>
      <c r="C14" s="186" t="s">
        <v>425</v>
      </c>
    </row>
    <row r="15" spans="1:3" ht="15" customHeight="1">
      <c r="A15" s="4"/>
      <c r="B15" s="3"/>
      <c r="C15" s="3"/>
    </row>
    <row r="16" spans="1:3" ht="15" customHeight="1">
      <c r="A16" s="5" t="s">
        <v>427</v>
      </c>
      <c r="B16" s="3"/>
      <c r="C16" s="3"/>
    </row>
    <row r="17" spans="1:3" ht="15" customHeight="1">
      <c r="A17" s="186" t="s">
        <v>428</v>
      </c>
      <c r="B17" s="186" t="s">
        <v>428</v>
      </c>
      <c r="C17" s="186" t="s">
        <v>428</v>
      </c>
    </row>
    <row r="18" spans="1:3" ht="15" customHeight="1">
      <c r="A18" s="186" t="s">
        <v>429</v>
      </c>
      <c r="B18" s="186" t="s">
        <v>429</v>
      </c>
      <c r="C18" s="186" t="s">
        <v>429</v>
      </c>
    </row>
    <row r="19" spans="1:3" ht="15" customHeight="1">
      <c r="A19" s="186" t="s">
        <v>430</v>
      </c>
      <c r="B19" s="186" t="s">
        <v>430</v>
      </c>
      <c r="C19" s="186" t="s">
        <v>430</v>
      </c>
    </row>
    <row r="20" spans="1:3" ht="15" customHeight="1">
      <c r="A20" s="186" t="s">
        <v>424</v>
      </c>
      <c r="B20" s="186" t="s">
        <v>424</v>
      </c>
      <c r="C20" s="186" t="s">
        <v>424</v>
      </c>
    </row>
    <row r="21" spans="1:3" ht="15" customHeight="1">
      <c r="A21" s="186" t="s">
        <v>431</v>
      </c>
      <c r="B21" s="186" t="s">
        <v>431</v>
      </c>
      <c r="C21" s="186" t="s">
        <v>431</v>
      </c>
    </row>
    <row r="22" spans="1:3" ht="15" customHeight="1">
      <c r="A22" s="186" t="s">
        <v>432</v>
      </c>
      <c r="B22" s="186" t="s">
        <v>432</v>
      </c>
      <c r="C22" s="186" t="s">
        <v>432</v>
      </c>
    </row>
    <row r="23" spans="1:3" ht="15" customHeight="1">
      <c r="A23" s="186" t="s">
        <v>433</v>
      </c>
      <c r="B23" s="186" t="s">
        <v>433</v>
      </c>
      <c r="C23" s="186" t="s">
        <v>433</v>
      </c>
    </row>
    <row r="24" spans="1:3" ht="15" customHeight="1">
      <c r="A24" s="3"/>
      <c r="B24" s="3"/>
      <c r="C24" s="3"/>
    </row>
    <row r="25" spans="1:3" ht="15" customHeight="1">
      <c r="A25" s="5" t="s">
        <v>60</v>
      </c>
      <c r="B25" s="3"/>
      <c r="C25" s="3"/>
    </row>
    <row r="26" spans="1:3" ht="15" customHeight="1">
      <c r="A26" s="187" t="s">
        <v>436</v>
      </c>
      <c r="B26" s="187" t="s">
        <v>436</v>
      </c>
      <c r="C26" s="187" t="s">
        <v>436</v>
      </c>
    </row>
    <row r="27" spans="1:3" ht="15" customHeight="1">
      <c r="A27" s="187" t="s">
        <v>437</v>
      </c>
      <c r="B27" s="187" t="s">
        <v>437</v>
      </c>
      <c r="C27" s="187" t="s">
        <v>437</v>
      </c>
    </row>
    <row r="28" spans="1:3" ht="15" customHeight="1">
      <c r="A28" s="187" t="s">
        <v>438</v>
      </c>
      <c r="B28" s="187" t="s">
        <v>438</v>
      </c>
      <c r="C28" s="187" t="s">
        <v>438</v>
      </c>
    </row>
    <row r="29" spans="1:3" ht="15" customHeight="1">
      <c r="A29" s="187" t="s">
        <v>439</v>
      </c>
      <c r="B29" s="187" t="s">
        <v>439</v>
      </c>
      <c r="C29" s="187" t="s">
        <v>439</v>
      </c>
    </row>
    <row r="30" spans="1:3" ht="15" customHeight="1">
      <c r="A30" s="187" t="s">
        <v>440</v>
      </c>
      <c r="B30" s="187" t="s">
        <v>440</v>
      </c>
      <c r="C30" s="187" t="s">
        <v>440</v>
      </c>
    </row>
    <row r="31" spans="1:3" ht="15" customHeight="1">
      <c r="A31" s="1"/>
      <c r="B31" s="1"/>
      <c r="C31" s="1"/>
    </row>
    <row r="32" spans="1:3" ht="15" customHeight="1">
      <c r="A32" s="5" t="s">
        <v>266</v>
      </c>
      <c r="B32" s="3"/>
      <c r="C32" s="3"/>
    </row>
    <row r="33" spans="1:3" ht="15" customHeight="1">
      <c r="A33" s="186" t="s">
        <v>465</v>
      </c>
      <c r="B33" s="186" t="s">
        <v>426</v>
      </c>
      <c r="C33" s="186" t="s">
        <v>426</v>
      </c>
    </row>
    <row r="34" spans="1:3" ht="15" customHeight="1">
      <c r="A34" s="1" t="s">
        <v>466</v>
      </c>
      <c r="B34" s="1"/>
      <c r="C34" s="1"/>
    </row>
  </sheetData>
  <sheetProtection algorithmName="SHA-512" hashValue="TGIZQGntIWIFqMv6WkVhXFkNNYUzaD2OWREIKt941/bReICXl7HE+w3j0xZopeM4oWu1pEduqOMpu+Qtm98Gvg==" saltValue="Kzh1ltVoCL9MCvw5kcoDVA==" spinCount="100000" sheet="1" objects="1" scenarios="1" sort="0" autoFilter="0"/>
  <mergeCells count="25">
    <mergeCell ref="A27:C27"/>
    <mergeCell ref="A28:C28"/>
    <mergeCell ref="A29:C29"/>
    <mergeCell ref="A30:C30"/>
    <mergeCell ref="A33:C33"/>
    <mergeCell ref="A20:C20"/>
    <mergeCell ref="A21:C21"/>
    <mergeCell ref="A22:C22"/>
    <mergeCell ref="A23:C23"/>
    <mergeCell ref="A26:C26"/>
    <mergeCell ref="A13:C13"/>
    <mergeCell ref="A14:C14"/>
    <mergeCell ref="A17:C17"/>
    <mergeCell ref="A18:C18"/>
    <mergeCell ref="A19:C19"/>
    <mergeCell ref="A8:C8"/>
    <mergeCell ref="A9:C9"/>
    <mergeCell ref="A10:C10"/>
    <mergeCell ref="A11:C11"/>
    <mergeCell ref="A12:C12"/>
    <mergeCell ref="A1:A2"/>
    <mergeCell ref="A4:C4"/>
    <mergeCell ref="A5:C5"/>
    <mergeCell ref="A6:C6"/>
    <mergeCell ref="A7:C7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>
    <tabColor theme="0" tint="-0.14999847407452621"/>
  </sheetPr>
  <dimension ref="A1:Q54"/>
  <sheetViews>
    <sheetView showGridLines="0" view="pageBreakPreview" zoomScaleNormal="100" zoomScaleSheetLayoutView="100" workbookViewId="0">
      <selection activeCell="C5" sqref="C5:D5"/>
    </sheetView>
  </sheetViews>
  <sheetFormatPr defaultColWidth="7.85546875" defaultRowHeight="15" customHeight="1"/>
  <cols>
    <col min="1" max="1" width="15.140625" style="228" bestFit="1" customWidth="1"/>
    <col min="2" max="2" width="26" style="228" customWidth="1"/>
    <col min="3" max="3" width="18.28515625" style="228" customWidth="1"/>
    <col min="4" max="4" width="17.7109375" style="228" bestFit="1" customWidth="1"/>
    <col min="5" max="5" width="18.28515625" style="252" customWidth="1"/>
    <col min="6" max="6" width="2.85546875" style="228" customWidth="1"/>
    <col min="7" max="7" width="11" style="228" bestFit="1" customWidth="1"/>
    <col min="8" max="8" width="12" style="228" bestFit="1" customWidth="1"/>
    <col min="9" max="9" width="17.7109375" style="228" bestFit="1" customWidth="1"/>
    <col min="10" max="10" width="12" style="228" bestFit="1" customWidth="1"/>
    <col min="11" max="11" width="17.7109375" style="228" bestFit="1" customWidth="1"/>
    <col min="12" max="12" width="12" style="228" bestFit="1" customWidth="1"/>
    <col min="13" max="13" width="17.7109375" style="228" bestFit="1" customWidth="1"/>
    <col min="14" max="14" width="12" style="228" bestFit="1" customWidth="1"/>
    <col min="15" max="15" width="17.7109375" style="228" bestFit="1" customWidth="1"/>
    <col min="16" max="16" width="12" style="228" bestFit="1" customWidth="1"/>
    <col min="17" max="17" width="17.7109375" style="228" bestFit="1" customWidth="1"/>
    <col min="18" max="16384" width="7.85546875" style="228"/>
  </cols>
  <sheetData>
    <row r="1" spans="1:17" s="225" customFormat="1" ht="26.25" customHeight="1">
      <c r="A1" s="224" t="s">
        <v>35</v>
      </c>
      <c r="B1" s="224"/>
      <c r="C1" s="224"/>
      <c r="D1" s="224"/>
      <c r="E1" s="224"/>
    </row>
    <row r="2" spans="1:17" s="225" customFormat="1" ht="15" customHeight="1">
      <c r="A2" s="226" t="s">
        <v>467</v>
      </c>
      <c r="B2" s="226"/>
      <c r="C2" s="226"/>
      <c r="D2" s="226"/>
      <c r="E2" s="226"/>
      <c r="G2" s="227" t="s">
        <v>252</v>
      </c>
      <c r="H2" s="227"/>
      <c r="I2" s="227"/>
      <c r="J2" s="227"/>
      <c r="K2" s="227"/>
      <c r="L2" s="227"/>
      <c r="M2" s="227"/>
      <c r="N2" s="227"/>
      <c r="O2" s="227"/>
      <c r="P2" s="227"/>
      <c r="Q2" s="227"/>
    </row>
    <row r="3" spans="1:17" ht="15" customHeight="1">
      <c r="E3" s="228"/>
      <c r="G3" s="217"/>
      <c r="H3" s="229">
        <v>2028</v>
      </c>
      <c r="I3" s="229"/>
      <c r="J3" s="230">
        <v>2029</v>
      </c>
      <c r="K3" s="231"/>
      <c r="L3" s="230">
        <v>2030</v>
      </c>
      <c r="M3" s="231"/>
      <c r="N3" s="230">
        <v>2031</v>
      </c>
      <c r="O3" s="231"/>
      <c r="P3" s="230">
        <v>2032</v>
      </c>
      <c r="Q3" s="231"/>
    </row>
    <row r="4" spans="1:17" s="235" customFormat="1" ht="26.25" customHeight="1">
      <c r="A4" s="232" t="s">
        <v>83</v>
      </c>
      <c r="B4" s="233"/>
      <c r="C4" s="234" t="s">
        <v>211</v>
      </c>
      <c r="D4" s="234" t="s">
        <v>223</v>
      </c>
      <c r="E4" s="234" t="s">
        <v>90</v>
      </c>
      <c r="G4" s="217" t="s">
        <v>253</v>
      </c>
      <c r="H4" s="217" t="s">
        <v>254</v>
      </c>
      <c r="I4" s="217" t="s">
        <v>255</v>
      </c>
      <c r="J4" s="217" t="s">
        <v>254</v>
      </c>
      <c r="K4" s="217" t="s">
        <v>255</v>
      </c>
      <c r="L4" s="217" t="s">
        <v>254</v>
      </c>
      <c r="M4" s="217" t="s">
        <v>255</v>
      </c>
      <c r="N4" s="217" t="s">
        <v>254</v>
      </c>
      <c r="O4" s="217" t="s">
        <v>255</v>
      </c>
      <c r="P4" s="217" t="s">
        <v>254</v>
      </c>
      <c r="Q4" s="217" t="s">
        <v>255</v>
      </c>
    </row>
    <row r="5" spans="1:17" ht="15" customHeight="1">
      <c r="A5" s="236" t="s">
        <v>106</v>
      </c>
      <c r="B5" s="237"/>
      <c r="C5" s="287">
        <v>0</v>
      </c>
      <c r="D5" s="288">
        <v>0</v>
      </c>
      <c r="E5" s="238">
        <f>C5*D5</f>
        <v>0</v>
      </c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</row>
    <row r="6" spans="1:17" ht="15" customHeight="1">
      <c r="A6" s="236" t="s">
        <v>75</v>
      </c>
      <c r="B6" s="237"/>
      <c r="C6" s="287">
        <v>0</v>
      </c>
      <c r="D6" s="288">
        <v>0</v>
      </c>
      <c r="E6" s="238">
        <f>C6*D6</f>
        <v>0</v>
      </c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</row>
    <row r="7" spans="1:17" ht="15" customHeight="1">
      <c r="A7" s="289"/>
      <c r="B7" s="290"/>
      <c r="C7" s="287">
        <v>0</v>
      </c>
      <c r="D7" s="288">
        <v>0</v>
      </c>
      <c r="E7" s="238">
        <f>C7*D7</f>
        <v>0</v>
      </c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</row>
    <row r="8" spans="1:17" ht="15" customHeight="1">
      <c r="A8" s="240" t="s">
        <v>76</v>
      </c>
      <c r="B8" s="241"/>
      <c r="C8" s="287">
        <v>0</v>
      </c>
      <c r="D8" s="288">
        <v>0</v>
      </c>
      <c r="E8" s="238">
        <f>C8*D8</f>
        <v>0</v>
      </c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</row>
    <row r="9" spans="1:17" ht="15" customHeight="1">
      <c r="A9" s="242" t="s">
        <v>107</v>
      </c>
      <c r="B9" s="243"/>
      <c r="C9" s="244"/>
      <c r="D9" s="245">
        <f>SUM(D5:D8)</f>
        <v>0</v>
      </c>
      <c r="E9" s="238" t="str">
        <f>IF(SUM($D$5:$D$8)=100%,SUM(E5:E8),"    GEEN 100%")</f>
        <v xml:space="preserve">    GEEN 100%</v>
      </c>
      <c r="G9" s="239"/>
      <c r="H9" s="246"/>
      <c r="I9" s="239"/>
      <c r="J9" s="239"/>
      <c r="K9" s="239"/>
      <c r="L9" s="239"/>
      <c r="M9" s="239"/>
      <c r="N9" s="239"/>
      <c r="O9" s="239"/>
      <c r="P9" s="239"/>
      <c r="Q9" s="239"/>
    </row>
    <row r="10" spans="1:17" ht="15" customHeight="1">
      <c r="A10" s="247" t="s">
        <v>77</v>
      </c>
      <c r="B10" s="247"/>
      <c r="C10" s="247"/>
      <c r="D10" s="248" t="s">
        <v>3</v>
      </c>
      <c r="E10" s="249">
        <f>SUM(E9:E9)</f>
        <v>0</v>
      </c>
      <c r="G10" s="239" t="s">
        <v>256</v>
      </c>
      <c r="H10" s="246"/>
      <c r="I10" s="249">
        <f>(E10*H10)+E10</f>
        <v>0</v>
      </c>
      <c r="J10" s="246">
        <v>0</v>
      </c>
      <c r="K10" s="249">
        <f>(I10*J10)+I10</f>
        <v>0</v>
      </c>
      <c r="L10" s="246">
        <v>0</v>
      </c>
      <c r="M10" s="249">
        <f>(K10*L10)+K10</f>
        <v>0</v>
      </c>
      <c r="N10" s="246">
        <v>0</v>
      </c>
      <c r="O10" s="249">
        <f>(M10*N10)+M10</f>
        <v>0</v>
      </c>
      <c r="P10" s="246">
        <v>0</v>
      </c>
      <c r="Q10" s="249">
        <f>(O10*P10)+O10</f>
        <v>0</v>
      </c>
    </row>
    <row r="11" spans="1:17" ht="15" customHeight="1">
      <c r="A11" s="250"/>
      <c r="B11" s="251"/>
      <c r="C11" s="251"/>
      <c r="D11" s="251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</row>
    <row r="12" spans="1:17" s="235" customFormat="1" ht="26.25" customHeight="1">
      <c r="A12" s="232" t="s">
        <v>78</v>
      </c>
      <c r="B12" s="253"/>
      <c r="C12" s="233"/>
      <c r="D12" s="254" t="s">
        <v>87</v>
      </c>
      <c r="E12" s="255" t="s">
        <v>90</v>
      </c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</row>
    <row r="13" spans="1:17" ht="15" customHeight="1">
      <c r="A13" s="256" t="s">
        <v>4</v>
      </c>
      <c r="B13" s="257"/>
      <c r="C13" s="257"/>
      <c r="D13" s="291">
        <v>0</v>
      </c>
      <c r="E13" s="258">
        <f>SUM($E$10*D13)</f>
        <v>0</v>
      </c>
      <c r="G13" s="239" t="s">
        <v>461</v>
      </c>
      <c r="H13" s="259"/>
      <c r="I13" s="260">
        <f>(E13*H13)+E13</f>
        <v>0</v>
      </c>
      <c r="J13" s="261"/>
      <c r="K13" s="260">
        <f>(I13*J13)+I13</f>
        <v>0</v>
      </c>
      <c r="L13" s="261"/>
      <c r="M13" s="260">
        <f>(K13*L13)+K13</f>
        <v>0</v>
      </c>
      <c r="N13" s="261"/>
      <c r="O13" s="260">
        <f>(M13*N13)+M13</f>
        <v>0</v>
      </c>
      <c r="P13" s="261"/>
      <c r="Q13" s="260">
        <f>(O13*P13)+O13</f>
        <v>0</v>
      </c>
    </row>
    <row r="14" spans="1:17" ht="15" customHeight="1">
      <c r="A14" s="257" t="s">
        <v>92</v>
      </c>
      <c r="B14" s="257"/>
      <c r="C14" s="257"/>
      <c r="D14" s="291">
        <v>0</v>
      </c>
      <c r="E14" s="258">
        <f>SUM($E$10*D14)</f>
        <v>0</v>
      </c>
      <c r="G14" s="239" t="s">
        <v>461</v>
      </c>
      <c r="H14" s="259"/>
      <c r="I14" s="260">
        <f>(E14*H14)+E14</f>
        <v>0</v>
      </c>
      <c r="J14" s="261"/>
      <c r="K14" s="260">
        <f>(I14*J14)+I14</f>
        <v>0</v>
      </c>
      <c r="L14" s="261"/>
      <c r="M14" s="260">
        <f>(K14*L14)+K14</f>
        <v>0</v>
      </c>
      <c r="N14" s="261"/>
      <c r="O14" s="260">
        <f>(M14*N14)+M14</f>
        <v>0</v>
      </c>
      <c r="P14" s="261"/>
      <c r="Q14" s="260">
        <f>(O14*P14)+O14</f>
        <v>0</v>
      </c>
    </row>
    <row r="15" spans="1:17" ht="15" customHeight="1">
      <c r="A15" s="257" t="s">
        <v>5</v>
      </c>
      <c r="B15" s="257"/>
      <c r="C15" s="257"/>
      <c r="D15" s="291">
        <v>0</v>
      </c>
      <c r="E15" s="258">
        <f>SUM($E$10*D15)</f>
        <v>0</v>
      </c>
      <c r="G15" s="239" t="s">
        <v>461</v>
      </c>
      <c r="H15" s="259"/>
      <c r="I15" s="260">
        <f>(E15*H15)+E15</f>
        <v>0</v>
      </c>
      <c r="J15" s="261"/>
      <c r="K15" s="260">
        <f>(I15*J15)+I15</f>
        <v>0</v>
      </c>
      <c r="L15" s="261"/>
      <c r="M15" s="260">
        <f>(K15*L15)+K15</f>
        <v>0</v>
      </c>
      <c r="N15" s="261"/>
      <c r="O15" s="260">
        <f>(M15*N15)+M15</f>
        <v>0</v>
      </c>
      <c r="P15" s="261"/>
      <c r="Q15" s="260">
        <f>(O15*P15)+O15</f>
        <v>0</v>
      </c>
    </row>
    <row r="16" spans="1:17" ht="15" customHeight="1">
      <c r="A16" s="257" t="s">
        <v>6</v>
      </c>
      <c r="B16" s="257"/>
      <c r="C16" s="257"/>
      <c r="D16" s="291">
        <v>0</v>
      </c>
      <c r="E16" s="258">
        <f>SUM($E$10*D16)</f>
        <v>0</v>
      </c>
      <c r="G16" s="239" t="s">
        <v>461</v>
      </c>
      <c r="H16" s="259"/>
      <c r="I16" s="260">
        <f>(E16*H16)+E16</f>
        <v>0</v>
      </c>
      <c r="J16" s="261"/>
      <c r="K16" s="260">
        <f>(I16*J16)+I16</f>
        <v>0</v>
      </c>
      <c r="L16" s="261"/>
      <c r="M16" s="260">
        <f>(K16*L16)+K16</f>
        <v>0</v>
      </c>
      <c r="N16" s="261"/>
      <c r="O16" s="260">
        <f>(M16*N16)+M16</f>
        <v>0</v>
      </c>
      <c r="P16" s="261"/>
      <c r="Q16" s="260">
        <f>(O16*P16)+O16</f>
        <v>0</v>
      </c>
    </row>
    <row r="17" spans="1:17" ht="15" customHeight="1">
      <c r="A17" s="289" t="s">
        <v>95</v>
      </c>
      <c r="B17" s="292"/>
      <c r="C17" s="290"/>
      <c r="D17" s="291">
        <v>0</v>
      </c>
      <c r="E17" s="258">
        <f>SUM($E$10*D17)</f>
        <v>0</v>
      </c>
      <c r="G17" s="239" t="s">
        <v>461</v>
      </c>
      <c r="H17" s="259"/>
      <c r="I17" s="260">
        <f>(E17*H17)+E17</f>
        <v>0</v>
      </c>
      <c r="J17" s="261"/>
      <c r="K17" s="260">
        <f>(I17*J17)+I17</f>
        <v>0</v>
      </c>
      <c r="L17" s="261"/>
      <c r="M17" s="260">
        <f>(K17*L17)+K17</f>
        <v>0</v>
      </c>
      <c r="N17" s="261"/>
      <c r="O17" s="260">
        <f>(M17*N17)+M17</f>
        <v>0</v>
      </c>
      <c r="P17" s="261"/>
      <c r="Q17" s="260">
        <f>(O17*P17)+O17</f>
        <v>0</v>
      </c>
    </row>
    <row r="18" spans="1:17" ht="15" customHeight="1">
      <c r="A18" s="247" t="s">
        <v>84</v>
      </c>
      <c r="B18" s="247"/>
      <c r="C18" s="247"/>
      <c r="D18" s="248"/>
      <c r="E18" s="262">
        <f>SUM(E13:E17)</f>
        <v>0</v>
      </c>
      <c r="G18" s="239"/>
      <c r="H18" s="259"/>
      <c r="I18" s="262">
        <f>SUM(I13:I17)</f>
        <v>0</v>
      </c>
      <c r="J18" s="259"/>
      <c r="K18" s="262">
        <f>SUM(K13:K17)</f>
        <v>0</v>
      </c>
      <c r="L18" s="259"/>
      <c r="M18" s="262">
        <f>SUM(M13:M17)</f>
        <v>0</v>
      </c>
      <c r="N18" s="259"/>
      <c r="O18" s="262">
        <f>SUM(O13:O17)</f>
        <v>0</v>
      </c>
      <c r="P18" s="259"/>
      <c r="Q18" s="262">
        <f>SUM(Q13:Q17)</f>
        <v>0</v>
      </c>
    </row>
    <row r="19" spans="1:17" ht="15" customHeight="1">
      <c r="D19" s="263"/>
      <c r="E19" s="264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</row>
    <row r="20" spans="1:17" s="235" customFormat="1" ht="26.25" customHeight="1">
      <c r="A20" s="232" t="s">
        <v>79</v>
      </c>
      <c r="B20" s="253"/>
      <c r="C20" s="233"/>
      <c r="D20" s="254" t="s">
        <v>88</v>
      </c>
      <c r="E20" s="255" t="s">
        <v>90</v>
      </c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</row>
    <row r="21" spans="1:17" ht="15" customHeight="1">
      <c r="A21" s="257" t="s">
        <v>7</v>
      </c>
      <c r="B21" s="257"/>
      <c r="C21" s="257"/>
      <c r="D21" s="265" t="e">
        <f>E21/$E$35</f>
        <v>#DIV/0!</v>
      </c>
      <c r="E21" s="293">
        <v>0</v>
      </c>
      <c r="G21" s="239" t="s">
        <v>461</v>
      </c>
      <c r="H21" s="266"/>
      <c r="I21" s="260">
        <f>(E21*H21)+E21</f>
        <v>0</v>
      </c>
      <c r="J21" s="267"/>
      <c r="K21" s="260">
        <f>(I21*J21)+I21</f>
        <v>0</v>
      </c>
      <c r="L21" s="267"/>
      <c r="M21" s="260">
        <f>(K21*L21)+K21</f>
        <v>0</v>
      </c>
      <c r="N21" s="267"/>
      <c r="O21" s="260">
        <f>(M21*N21)+M21</f>
        <v>0</v>
      </c>
      <c r="P21" s="267"/>
      <c r="Q21" s="260">
        <f>(O21*P21)+O21</f>
        <v>0</v>
      </c>
    </row>
    <row r="22" spans="1:17" ht="15" customHeight="1">
      <c r="A22" s="256" t="s">
        <v>8</v>
      </c>
      <c r="B22" s="257"/>
      <c r="C22" s="257"/>
      <c r="D22" s="265" t="e">
        <f>E22/$E$35</f>
        <v>#DIV/0!</v>
      </c>
      <c r="E22" s="293">
        <v>0</v>
      </c>
      <c r="G22" s="239" t="s">
        <v>461</v>
      </c>
      <c r="H22" s="266"/>
      <c r="I22" s="260">
        <f>(E22*H22)+E22</f>
        <v>0</v>
      </c>
      <c r="J22" s="267"/>
      <c r="K22" s="260">
        <f>(I22*J22)+I22</f>
        <v>0</v>
      </c>
      <c r="L22" s="267"/>
      <c r="M22" s="260">
        <f>(K22*L22)+K22</f>
        <v>0</v>
      </c>
      <c r="N22" s="267"/>
      <c r="O22" s="260">
        <f>(M22*N22)+M22</f>
        <v>0</v>
      </c>
      <c r="P22" s="267"/>
      <c r="Q22" s="260">
        <f>(O22*P22)+O22</f>
        <v>0</v>
      </c>
    </row>
    <row r="23" spans="1:17" ht="15" customHeight="1">
      <c r="A23" s="257" t="s">
        <v>9</v>
      </c>
      <c r="B23" s="257"/>
      <c r="C23" s="257"/>
      <c r="D23" s="265" t="e">
        <f>E23/$E$35</f>
        <v>#DIV/0!</v>
      </c>
      <c r="E23" s="293">
        <v>0</v>
      </c>
      <c r="G23" s="239" t="s">
        <v>461</v>
      </c>
      <c r="H23" s="266"/>
      <c r="I23" s="268">
        <f>(E23*H23)+E23</f>
        <v>0</v>
      </c>
      <c r="J23" s="267"/>
      <c r="K23" s="260">
        <f>(I23*J23)+I23</f>
        <v>0</v>
      </c>
      <c r="L23" s="267"/>
      <c r="M23" s="260">
        <f>(K23*L23)+K23</f>
        <v>0</v>
      </c>
      <c r="N23" s="267"/>
      <c r="O23" s="260">
        <f>(M23*N23)+M23</f>
        <v>0</v>
      </c>
      <c r="P23" s="267"/>
      <c r="Q23" s="260">
        <f>(O23*P23)+O23</f>
        <v>0</v>
      </c>
    </row>
    <row r="24" spans="1:17" ht="15" customHeight="1">
      <c r="A24" s="240" t="s">
        <v>10</v>
      </c>
      <c r="B24" s="269"/>
      <c r="C24" s="241"/>
      <c r="D24" s="291">
        <v>0</v>
      </c>
      <c r="E24" s="270">
        <f>D24*$E$10</f>
        <v>0</v>
      </c>
      <c r="G24" s="239" t="s">
        <v>256</v>
      </c>
      <c r="H24" s="266"/>
      <c r="I24" s="260">
        <f>(E24*H24)+E24</f>
        <v>0</v>
      </c>
      <c r="J24" s="267"/>
      <c r="K24" s="260">
        <f>(I24*J24)+I24</f>
        <v>0</v>
      </c>
      <c r="L24" s="267"/>
      <c r="M24" s="260">
        <f>(K24*L24)+K24</f>
        <v>0</v>
      </c>
      <c r="N24" s="267"/>
      <c r="O24" s="260">
        <f>(M24*N24)+M24</f>
        <v>0</v>
      </c>
      <c r="P24" s="267"/>
      <c r="Q24" s="260">
        <f>(O24*P24)+O24</f>
        <v>0</v>
      </c>
    </row>
    <row r="25" spans="1:17" ht="15" customHeight="1">
      <c r="A25" s="289" t="s">
        <v>93</v>
      </c>
      <c r="B25" s="292"/>
      <c r="C25" s="290"/>
      <c r="D25" s="265" t="e">
        <f>E25/$E$35</f>
        <v>#DIV/0!</v>
      </c>
      <c r="E25" s="293">
        <v>0</v>
      </c>
      <c r="G25" s="239" t="s">
        <v>461</v>
      </c>
      <c r="H25" s="266"/>
      <c r="I25" s="268">
        <f>(E25*H25)+E25</f>
        <v>0</v>
      </c>
      <c r="J25" s="267"/>
      <c r="K25" s="260">
        <f>(I25*J25)+I25</f>
        <v>0</v>
      </c>
      <c r="L25" s="267"/>
      <c r="M25" s="260">
        <f>(K25*L25)+K25</f>
        <v>0</v>
      </c>
      <c r="N25" s="267"/>
      <c r="O25" s="260">
        <f>(M25*N25)+M25</f>
        <v>0</v>
      </c>
      <c r="P25" s="267"/>
      <c r="Q25" s="260">
        <f>(O25*P25)+O25</f>
        <v>0</v>
      </c>
    </row>
    <row r="26" spans="1:17" ht="15" customHeight="1">
      <c r="A26" s="247" t="s">
        <v>85</v>
      </c>
      <c r="B26" s="247"/>
      <c r="C26" s="247"/>
      <c r="D26" s="248" t="s">
        <v>3</v>
      </c>
      <c r="E26" s="249">
        <f>SUM(E21:E25)</f>
        <v>0</v>
      </c>
      <c r="G26" s="239"/>
      <c r="H26" s="266"/>
      <c r="I26" s="249">
        <f>SUM(I21:I25)</f>
        <v>0</v>
      </c>
      <c r="J26" s="266"/>
      <c r="K26" s="249">
        <f>SUM(K21:K25)</f>
        <v>0</v>
      </c>
      <c r="L26" s="266"/>
      <c r="M26" s="249">
        <f>SUM(M21:M25)</f>
        <v>0</v>
      </c>
      <c r="N26" s="266"/>
      <c r="O26" s="249">
        <f>SUM(O21:O25)</f>
        <v>0</v>
      </c>
      <c r="P26" s="266"/>
      <c r="Q26" s="249">
        <f>SUM(Q21:Q25)</f>
        <v>0</v>
      </c>
    </row>
    <row r="27" spans="1:17" ht="15" customHeight="1">
      <c r="A27" s="271"/>
      <c r="B27" s="271"/>
      <c r="C27" s="271"/>
      <c r="D27" s="263"/>
      <c r="E27" s="272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</row>
    <row r="28" spans="1:17" s="235" customFormat="1" ht="26.25" customHeight="1">
      <c r="A28" s="232" t="s">
        <v>80</v>
      </c>
      <c r="B28" s="253"/>
      <c r="C28" s="233"/>
      <c r="D28" s="254" t="s">
        <v>88</v>
      </c>
      <c r="E28" s="255" t="s">
        <v>90</v>
      </c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</row>
    <row r="29" spans="1:17" ht="15" customHeight="1">
      <c r="A29" s="256" t="s">
        <v>11</v>
      </c>
      <c r="B29" s="257"/>
      <c r="C29" s="257"/>
      <c r="D29" s="291">
        <v>0</v>
      </c>
      <c r="E29" s="270">
        <f>D29*($E$18+$E$10)</f>
        <v>0</v>
      </c>
      <c r="G29" s="239" t="s">
        <v>461</v>
      </c>
      <c r="H29" s="266"/>
      <c r="I29" s="260">
        <f>(E29*H29)+E29</f>
        <v>0</v>
      </c>
      <c r="J29" s="267"/>
      <c r="K29" s="260">
        <f>(I29*J29)+I29</f>
        <v>0</v>
      </c>
      <c r="L29" s="267"/>
      <c r="M29" s="260">
        <f>(K29*L29)+K29</f>
        <v>0</v>
      </c>
      <c r="N29" s="267"/>
      <c r="O29" s="260">
        <f>(M29*N29)+M29</f>
        <v>0</v>
      </c>
      <c r="P29" s="267"/>
      <c r="Q29" s="260">
        <f>(O29*P29)+O29</f>
        <v>0</v>
      </c>
    </row>
    <row r="30" spans="1:17" ht="15" customHeight="1">
      <c r="A30" s="256" t="s">
        <v>81</v>
      </c>
      <c r="B30" s="257"/>
      <c r="C30" s="257"/>
      <c r="D30" s="273" t="e">
        <f>E30/$E$35</f>
        <v>#DIV/0!</v>
      </c>
      <c r="E30" s="293">
        <v>0</v>
      </c>
      <c r="G30" s="239" t="s">
        <v>461</v>
      </c>
      <c r="H30" s="266"/>
      <c r="I30" s="268">
        <f>(E30*H30)+E30</f>
        <v>0</v>
      </c>
      <c r="J30" s="267"/>
      <c r="K30" s="260">
        <f>(I30*J30)+I30</f>
        <v>0</v>
      </c>
      <c r="L30" s="267"/>
      <c r="M30" s="260">
        <f>(K30*L30)+K30</f>
        <v>0</v>
      </c>
      <c r="N30" s="267"/>
      <c r="O30" s="260">
        <f>(M30*N30)+M30</f>
        <v>0</v>
      </c>
      <c r="P30" s="267"/>
      <c r="Q30" s="260">
        <f>(O30*P30)+O30</f>
        <v>0</v>
      </c>
    </row>
    <row r="31" spans="1:17" ht="15" customHeight="1">
      <c r="A31" s="289" t="s">
        <v>94</v>
      </c>
      <c r="B31" s="292"/>
      <c r="C31" s="290"/>
      <c r="D31" s="265" t="e">
        <f>E31/$E$35</f>
        <v>#DIV/0!</v>
      </c>
      <c r="E31" s="293">
        <v>0</v>
      </c>
      <c r="G31" s="239" t="s">
        <v>461</v>
      </c>
      <c r="H31" s="259"/>
      <c r="I31" s="268">
        <f>(E31*H31)+E31</f>
        <v>0</v>
      </c>
      <c r="J31" s="267"/>
      <c r="K31" s="260">
        <f>(I31*J31)+I31</f>
        <v>0</v>
      </c>
      <c r="L31" s="267"/>
      <c r="M31" s="260">
        <f>(K31*L31)+K31</f>
        <v>0</v>
      </c>
      <c r="N31" s="267"/>
      <c r="O31" s="260">
        <f>(M31*N31)+M31</f>
        <v>0</v>
      </c>
      <c r="P31" s="267"/>
      <c r="Q31" s="260">
        <f>(O31*P31)+O31</f>
        <v>0</v>
      </c>
    </row>
    <row r="32" spans="1:17" ht="15" customHeight="1">
      <c r="A32" s="257" t="s">
        <v>82</v>
      </c>
      <c r="B32" s="257"/>
      <c r="C32" s="257"/>
      <c r="D32" s="273" t="e">
        <f>E32/$E$35</f>
        <v>#DIV/0!</v>
      </c>
      <c r="E32" s="293">
        <v>0</v>
      </c>
      <c r="G32" s="239" t="s">
        <v>461</v>
      </c>
      <c r="H32" s="266"/>
      <c r="I32" s="268">
        <f>(E32*H32)+E32</f>
        <v>0</v>
      </c>
      <c r="J32" s="267"/>
      <c r="K32" s="260">
        <f>(I32*J32)+I32</f>
        <v>0</v>
      </c>
      <c r="L32" s="267"/>
      <c r="M32" s="260">
        <f>(K32*L32)+K32</f>
        <v>0</v>
      </c>
      <c r="N32" s="267"/>
      <c r="O32" s="260">
        <f>(M32*N32)+M32</f>
        <v>0</v>
      </c>
      <c r="P32" s="267"/>
      <c r="Q32" s="260">
        <f>(O32*P32)+O32</f>
        <v>0</v>
      </c>
    </row>
    <row r="33" spans="1:17" ht="15" customHeight="1">
      <c r="A33" s="247" t="s">
        <v>86</v>
      </c>
      <c r="B33" s="247"/>
      <c r="C33" s="247"/>
      <c r="D33" s="248"/>
      <c r="E33" s="274">
        <f>SUM(E29:E32)</f>
        <v>0</v>
      </c>
      <c r="G33" s="239"/>
      <c r="H33" s="266"/>
      <c r="I33" s="274">
        <f>SUM(I29:I32)</f>
        <v>0</v>
      </c>
      <c r="J33" s="266"/>
      <c r="K33" s="274">
        <f>SUM(K29:K32)</f>
        <v>0</v>
      </c>
      <c r="L33" s="266"/>
      <c r="M33" s="274">
        <f>SUM(M29:M32)</f>
        <v>0</v>
      </c>
      <c r="N33" s="266"/>
      <c r="O33" s="274">
        <f>SUM(O29:O32)</f>
        <v>0</v>
      </c>
      <c r="P33" s="266"/>
      <c r="Q33" s="274">
        <f>SUM(Q29:Q32)</f>
        <v>0</v>
      </c>
    </row>
    <row r="34" spans="1:17" ht="15" customHeight="1">
      <c r="A34" s="271"/>
      <c r="B34" s="271"/>
      <c r="C34" s="271"/>
      <c r="D34" s="263"/>
      <c r="E34" s="275"/>
      <c r="H34" s="239"/>
      <c r="I34" s="239"/>
      <c r="J34" s="239"/>
      <c r="K34" s="239"/>
      <c r="L34" s="239"/>
      <c r="M34" s="239"/>
      <c r="N34" s="239"/>
      <c r="O34" s="239"/>
      <c r="P34" s="239"/>
      <c r="Q34" s="239"/>
    </row>
    <row r="35" spans="1:17" ht="26.25" customHeight="1">
      <c r="A35" s="276" t="s">
        <v>105</v>
      </c>
      <c r="B35" s="277"/>
      <c r="C35" s="277"/>
      <c r="D35" s="278"/>
      <c r="E35" s="279">
        <f>E33+E26+E18+E10</f>
        <v>0</v>
      </c>
      <c r="G35" s="280"/>
      <c r="H35" s="239"/>
      <c r="I35" s="279">
        <f>I33+I26+I18+I10</f>
        <v>0</v>
      </c>
      <c r="J35" s="239"/>
      <c r="K35" s="279">
        <f>K33+K26+K18+K10</f>
        <v>0</v>
      </c>
      <c r="L35" s="239"/>
      <c r="M35" s="279">
        <f>M33+M26+M18+M10</f>
        <v>0</v>
      </c>
      <c r="N35" s="239"/>
      <c r="O35" s="279">
        <f>O33+O26+O18+O10</f>
        <v>0</v>
      </c>
      <c r="P35" s="239"/>
      <c r="Q35" s="279">
        <f>Q33+Q26+Q18+Q10</f>
        <v>0</v>
      </c>
    </row>
    <row r="36" spans="1:17" ht="15" customHeight="1">
      <c r="D36" s="263"/>
      <c r="E36" s="264"/>
    </row>
    <row r="37" spans="1:17" ht="26.25" customHeight="1">
      <c r="A37" s="281" t="s">
        <v>89</v>
      </c>
      <c r="B37" s="282"/>
      <c r="C37" s="254" t="s">
        <v>104</v>
      </c>
      <c r="D37" s="254" t="s">
        <v>102</v>
      </c>
      <c r="E37" s="254" t="s">
        <v>103</v>
      </c>
      <c r="H37" s="254" t="s">
        <v>257</v>
      </c>
      <c r="I37" s="283" t="e">
        <f>(I35/E35)-100%</f>
        <v>#DIV/0!</v>
      </c>
      <c r="J37" s="254"/>
      <c r="K37" s="283" t="e">
        <f>(K35/I35)-100%</f>
        <v>#DIV/0!</v>
      </c>
      <c r="L37" s="254"/>
      <c r="M37" s="283" t="e">
        <f>(M35/K35)-100%</f>
        <v>#DIV/0!</v>
      </c>
      <c r="N37" s="254"/>
      <c r="O37" s="283" t="e">
        <f>(O35/M35)-100%</f>
        <v>#DIV/0!</v>
      </c>
      <c r="P37" s="254"/>
      <c r="Q37" s="283" t="e">
        <f>(Q35/O35)-100%</f>
        <v>#DIV/0!</v>
      </c>
    </row>
    <row r="38" spans="1:17" ht="15" customHeight="1">
      <c r="A38" s="239" t="s">
        <v>91</v>
      </c>
      <c r="B38" s="239" t="s">
        <v>97</v>
      </c>
      <c r="C38" s="284">
        <v>0</v>
      </c>
      <c r="D38" s="238">
        <f>+E35</f>
        <v>0</v>
      </c>
      <c r="E38" s="285">
        <f>D38*121%</f>
        <v>0</v>
      </c>
      <c r="F38" s="280"/>
      <c r="H38" s="239"/>
      <c r="I38" s="238" t="e">
        <f>(D38*$I$37)+D38</f>
        <v>#DIV/0!</v>
      </c>
      <c r="J38" s="239"/>
      <c r="K38" s="238" t="e">
        <f>(I38*$K$37)+I38</f>
        <v>#DIV/0!</v>
      </c>
      <c r="L38" s="239"/>
      <c r="M38" s="238" t="e">
        <f>(K38*$M$37)+K38</f>
        <v>#DIV/0!</v>
      </c>
      <c r="N38" s="239"/>
      <c r="O38" s="238" t="e">
        <f>(M38*$O$37)+M38</f>
        <v>#DIV/0!</v>
      </c>
      <c r="P38" s="239"/>
      <c r="Q38" s="238" t="e">
        <f>(O38*$Q$37)+O38</f>
        <v>#DIV/0!</v>
      </c>
    </row>
    <row r="39" spans="1:17" ht="15" customHeight="1">
      <c r="A39" s="239" t="s">
        <v>96</v>
      </c>
      <c r="B39" s="239" t="s">
        <v>98</v>
      </c>
      <c r="C39" s="284">
        <v>0.3</v>
      </c>
      <c r="D39" s="238">
        <f>SUM($E$10,$E$18,$E$26,$E$33)+(C39*($E$18+$E$10))</f>
        <v>0</v>
      </c>
      <c r="E39" s="285">
        <f>D39*121%</f>
        <v>0</v>
      </c>
      <c r="F39" s="280"/>
      <c r="H39" s="238"/>
      <c r="I39" s="238" t="e">
        <f>(D39*$I$37)+D39</f>
        <v>#DIV/0!</v>
      </c>
      <c r="J39" s="239"/>
      <c r="K39" s="238" t="e">
        <f>(I39*$K$37)+I39</f>
        <v>#DIV/0!</v>
      </c>
      <c r="L39" s="239"/>
      <c r="M39" s="238" t="e">
        <f>(K39*$M$37)+K39</f>
        <v>#DIV/0!</v>
      </c>
      <c r="N39" s="239"/>
      <c r="O39" s="238" t="e">
        <f>(M39*$O$37)+M39</f>
        <v>#DIV/0!</v>
      </c>
      <c r="P39" s="239"/>
      <c r="Q39" s="238" t="e">
        <f>(O39*$Q$37)+O39</f>
        <v>#DIV/0!</v>
      </c>
    </row>
    <row r="40" spans="1:17" ht="15" customHeight="1">
      <c r="A40" s="239" t="s">
        <v>24</v>
      </c>
      <c r="B40" s="239" t="s">
        <v>99</v>
      </c>
      <c r="C40" s="284">
        <v>0.5</v>
      </c>
      <c r="D40" s="238">
        <f>SUM($E$10,$E$18,$E$26,$E$33)+(C40*($E$18+$E$10))</f>
        <v>0</v>
      </c>
      <c r="E40" s="285">
        <f>D40*121%</f>
        <v>0</v>
      </c>
      <c r="F40" s="280"/>
      <c r="H40" s="239"/>
      <c r="I40" s="238" t="e">
        <f>(D40*$I$37)+D40</f>
        <v>#DIV/0!</v>
      </c>
      <c r="J40" s="239"/>
      <c r="K40" s="238" t="e">
        <f>(I40*$K$37)+I40</f>
        <v>#DIV/0!</v>
      </c>
      <c r="L40" s="239"/>
      <c r="M40" s="238" t="e">
        <f>(K40*$M$37)+K40</f>
        <v>#DIV/0!</v>
      </c>
      <c r="N40" s="239"/>
      <c r="O40" s="238" t="e">
        <f>(M40*$O$37)+M40</f>
        <v>#DIV/0!</v>
      </c>
      <c r="P40" s="239"/>
      <c r="Q40" s="238" t="e">
        <f>(O40*$Q$37)+O40</f>
        <v>#DIV/0!</v>
      </c>
    </row>
    <row r="41" spans="1:17" ht="15" customHeight="1">
      <c r="A41" s="239" t="s">
        <v>100</v>
      </c>
      <c r="B41" s="286" t="s">
        <v>101</v>
      </c>
      <c r="C41" s="284">
        <v>1.5</v>
      </c>
      <c r="D41" s="238">
        <f>SUM($E$10,$E$18,$E$26,$E$33)+(C41*($E$18+$E$10))</f>
        <v>0</v>
      </c>
      <c r="E41" s="285">
        <f>D41*121%</f>
        <v>0</v>
      </c>
      <c r="F41" s="280"/>
      <c r="H41" s="239"/>
      <c r="I41" s="238" t="e">
        <f>(D41*$I$37)+D41</f>
        <v>#DIV/0!</v>
      </c>
      <c r="J41" s="239"/>
      <c r="K41" s="238" t="e">
        <f>(I41*$K$37)+I41</f>
        <v>#DIV/0!</v>
      </c>
      <c r="L41" s="239"/>
      <c r="M41" s="238" t="e">
        <f>(K41*$M$37)+K41</f>
        <v>#DIV/0!</v>
      </c>
      <c r="N41" s="239"/>
      <c r="O41" s="238" t="e">
        <f>(M41*$O$37)+M41</f>
        <v>#DIV/0!</v>
      </c>
      <c r="P41" s="239"/>
      <c r="Q41" s="238" t="e">
        <f>(O41*$Q$37)+O41</f>
        <v>#DIV/0!</v>
      </c>
    </row>
    <row r="42" spans="1:17" ht="15" customHeight="1">
      <c r="E42" s="228"/>
    </row>
    <row r="43" spans="1:17" ht="15" customHeight="1">
      <c r="E43" s="228"/>
    </row>
    <row r="44" spans="1:17" ht="15" customHeight="1">
      <c r="E44" s="228"/>
    </row>
    <row r="45" spans="1:17" ht="15" customHeight="1">
      <c r="E45" s="228"/>
    </row>
    <row r="46" spans="1:17" ht="15" customHeight="1">
      <c r="E46" s="228"/>
    </row>
    <row r="47" spans="1:17" ht="15" customHeight="1">
      <c r="E47" s="228"/>
    </row>
    <row r="48" spans="1:17" ht="15" customHeight="1">
      <c r="E48" s="228"/>
    </row>
    <row r="49" s="228" customFormat="1" ht="15" customHeight="1"/>
    <row r="50" s="228" customFormat="1" ht="15" customHeight="1"/>
    <row r="51" s="228" customFormat="1" ht="15" customHeight="1"/>
    <row r="52" s="228" customFormat="1" ht="15" customHeight="1"/>
    <row r="53" s="228" customFormat="1" ht="15" customHeight="1"/>
    <row r="54" s="228" customFormat="1" ht="15" customHeight="1"/>
  </sheetData>
  <sheetProtection algorithmName="SHA-512" hashValue="lyJlxKxVR5ImOJbFuCVFdYdAsrCKdhap2bwNMsNNNwCJN8tPh5LbxNu2YqZFhvLsZ76A94HnfNJRinKSL3ACKg==" saltValue="zA0PprgTlz6LRRVm9vrVQA==" spinCount="100000" sheet="1" objects="1" scenarios="1" sort="0" autoFilter="0"/>
  <mergeCells count="36">
    <mergeCell ref="G2:Q2"/>
    <mergeCell ref="H3:I3"/>
    <mergeCell ref="J3:K3"/>
    <mergeCell ref="L3:M3"/>
    <mergeCell ref="N3:O3"/>
    <mergeCell ref="P3:Q3"/>
    <mergeCell ref="A6:B6"/>
    <mergeCell ref="A23:C23"/>
    <mergeCell ref="A7:B7"/>
    <mergeCell ref="A26:C26"/>
    <mergeCell ref="A1:E1"/>
    <mergeCell ref="A21:C21"/>
    <mergeCell ref="A2:E2"/>
    <mergeCell ref="A4:B4"/>
    <mergeCell ref="A15:C15"/>
    <mergeCell ref="A16:C16"/>
    <mergeCell ref="A18:C18"/>
    <mergeCell ref="A20:C20"/>
    <mergeCell ref="A10:C10"/>
    <mergeCell ref="A5:B5"/>
    <mergeCell ref="A9:C9"/>
    <mergeCell ref="A25:C25"/>
    <mergeCell ref="A13:C13"/>
    <mergeCell ref="A8:B8"/>
    <mergeCell ref="A12:C12"/>
    <mergeCell ref="A14:C14"/>
    <mergeCell ref="A22:C22"/>
    <mergeCell ref="A17:C17"/>
    <mergeCell ref="A24:C24"/>
    <mergeCell ref="A30:C30"/>
    <mergeCell ref="A35:D35"/>
    <mergeCell ref="A28:C28"/>
    <mergeCell ref="A31:C31"/>
    <mergeCell ref="A29:C29"/>
    <mergeCell ref="A32:C32"/>
    <mergeCell ref="A33:C33"/>
  </mergeCells>
  <phoneticPr fontId="4" type="noConversion"/>
  <conditionalFormatting sqref="E9">
    <cfRule type="containsText" dxfId="150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62" orientation="portrait" r:id="rId1"/>
  <headerFooter alignWithMargins="0">
    <oddFooter>&amp;L&amp;F&amp;C&amp;D&amp;R&amp;A</oddFooter>
  </headerFooter>
  <colBreaks count="1" manualBreakCount="1">
    <brk id="5" max="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">
    <tabColor theme="0" tint="-0.14999847407452621"/>
    <pageSetUpPr fitToPage="1"/>
  </sheetPr>
  <dimension ref="A1:J155"/>
  <sheetViews>
    <sheetView view="pageBreakPreview" zoomScaleNormal="100" zoomScaleSheetLayoutView="100" workbookViewId="0">
      <selection activeCell="C12" sqref="C12"/>
    </sheetView>
  </sheetViews>
  <sheetFormatPr defaultColWidth="14.140625" defaultRowHeight="15" customHeight="1"/>
  <cols>
    <col min="1" max="1" width="14.140625" style="61"/>
    <col min="2" max="2" width="31.140625" style="54" bestFit="1" customWidth="1"/>
    <col min="3" max="3" width="14.140625" style="54"/>
    <col min="4" max="4" width="32" style="62" customWidth="1"/>
    <col min="5" max="6" width="23.7109375" style="54" customWidth="1"/>
    <col min="7" max="7" width="14.140625" style="63"/>
    <col min="8" max="16384" width="14.140625" style="54"/>
  </cols>
  <sheetData>
    <row r="1" spans="1:10" s="19" customFormat="1" ht="26.25" customHeight="1">
      <c r="A1" s="190" t="s">
        <v>124</v>
      </c>
      <c r="B1" s="190"/>
      <c r="C1" s="190"/>
      <c r="D1" s="190"/>
      <c r="E1" s="190"/>
      <c r="F1" s="190"/>
    </row>
    <row r="2" spans="1:10" s="19" customFormat="1" ht="15" customHeight="1">
      <c r="A2" s="188" t="s">
        <v>468</v>
      </c>
      <c r="B2" s="189"/>
      <c r="C2" s="189"/>
      <c r="D2" s="189"/>
      <c r="E2" s="189"/>
      <c r="F2" s="189"/>
    </row>
    <row r="3" spans="1:10" s="24" customFormat="1" ht="15" customHeight="1">
      <c r="A3" s="23"/>
      <c r="E3" s="25"/>
      <c r="F3" s="25"/>
      <c r="G3" s="23"/>
      <c r="H3" s="23"/>
    </row>
    <row r="4" spans="1:10" s="24" customFormat="1" ht="15" customHeight="1">
      <c r="A4" s="23"/>
      <c r="E4" s="25"/>
      <c r="F4" s="25"/>
      <c r="G4" s="23"/>
      <c r="H4" s="23"/>
    </row>
    <row r="5" spans="1:10" s="24" customFormat="1" ht="26.25" customHeight="1">
      <c r="A5" s="26" t="s">
        <v>239</v>
      </c>
      <c r="B5" s="26"/>
      <c r="C5" s="26"/>
      <c r="D5" s="26"/>
      <c r="E5" s="27"/>
      <c r="F5" s="27"/>
      <c r="G5" s="23"/>
      <c r="H5" s="23"/>
    </row>
    <row r="6" spans="1:10" s="24" customFormat="1" ht="26.25" customHeight="1" thickBot="1">
      <c r="A6" s="28" t="s">
        <v>34</v>
      </c>
      <c r="B6" s="29" t="s">
        <v>151</v>
      </c>
      <c r="C6" s="30" t="s">
        <v>111</v>
      </c>
      <c r="D6" s="31" t="s">
        <v>71</v>
      </c>
      <c r="E6" s="32" t="s">
        <v>70</v>
      </c>
      <c r="F6" s="33" t="s">
        <v>30</v>
      </c>
      <c r="G6" s="23"/>
      <c r="H6" s="23"/>
    </row>
    <row r="7" spans="1:10" s="24" customFormat="1" ht="15" customHeight="1" thickTop="1">
      <c r="A7" s="34">
        <v>1</v>
      </c>
      <c r="B7" s="35" t="s">
        <v>474</v>
      </c>
      <c r="C7" s="294">
        <v>1</v>
      </c>
      <c r="D7" s="35" t="s">
        <v>475</v>
      </c>
      <c r="E7" s="177" t="s">
        <v>476</v>
      </c>
      <c r="F7" s="177" t="s">
        <v>477</v>
      </c>
      <c r="G7" s="23"/>
      <c r="H7" s="23"/>
    </row>
    <row r="8" spans="1:10" s="24" customFormat="1" ht="15" customHeight="1">
      <c r="A8" s="40">
        <v>2</v>
      </c>
      <c r="B8" s="19" t="s">
        <v>708</v>
      </c>
      <c r="C8" s="294">
        <v>1</v>
      </c>
      <c r="D8" s="35" t="s">
        <v>475</v>
      </c>
      <c r="E8" s="177" t="s">
        <v>476</v>
      </c>
      <c r="F8" s="177" t="s">
        <v>477</v>
      </c>
      <c r="G8" s="23"/>
      <c r="H8" s="23"/>
    </row>
    <row r="9" spans="1:10" s="24" customFormat="1" ht="15" customHeight="1">
      <c r="A9" s="23"/>
      <c r="E9" s="25"/>
      <c r="F9" s="25"/>
      <c r="G9" s="23"/>
      <c r="H9" s="23"/>
    </row>
    <row r="10" spans="1:10" s="24" customFormat="1" ht="26.25" customHeight="1">
      <c r="A10" s="36" t="s">
        <v>240</v>
      </c>
      <c r="B10" s="27"/>
      <c r="C10" s="27"/>
      <c r="D10" s="27"/>
      <c r="E10" s="25"/>
      <c r="F10" s="25"/>
      <c r="G10" s="23"/>
      <c r="H10" s="23"/>
    </row>
    <row r="11" spans="1:10" s="24" customFormat="1" ht="26.25" customHeight="1">
      <c r="A11" s="37" t="s">
        <v>34</v>
      </c>
      <c r="B11" s="38" t="s">
        <v>109</v>
      </c>
      <c r="C11" s="39" t="s">
        <v>108</v>
      </c>
      <c r="D11" s="37" t="s">
        <v>210</v>
      </c>
      <c r="E11" s="25"/>
      <c r="F11" s="25"/>
      <c r="G11" s="23"/>
      <c r="H11" s="23"/>
    </row>
    <row r="12" spans="1:10" s="24" customFormat="1" ht="15" customHeight="1">
      <c r="A12" s="40">
        <v>1</v>
      </c>
      <c r="B12" s="19" t="s">
        <v>61</v>
      </c>
      <c r="C12" s="295">
        <v>0</v>
      </c>
      <c r="D12" s="41" t="s">
        <v>233</v>
      </c>
      <c r="E12" s="25"/>
      <c r="F12" s="25"/>
      <c r="G12" s="23"/>
      <c r="H12" s="23"/>
    </row>
    <row r="13" spans="1:10" s="27" customFormat="1" ht="15" customHeight="1">
      <c r="A13" s="40">
        <v>2</v>
      </c>
      <c r="B13" s="19" t="s">
        <v>62</v>
      </c>
      <c r="C13" s="295">
        <v>0</v>
      </c>
      <c r="D13" s="41" t="s">
        <v>236</v>
      </c>
      <c r="G13" s="42"/>
      <c r="H13" s="42"/>
      <c r="I13" s="42"/>
    </row>
    <row r="14" spans="1:10" s="45" customFormat="1" ht="15" customHeight="1">
      <c r="A14" s="40">
        <v>3</v>
      </c>
      <c r="B14" s="19" t="s">
        <v>63</v>
      </c>
      <c r="C14" s="295">
        <v>0</v>
      </c>
      <c r="D14" s="41" t="s">
        <v>233</v>
      </c>
      <c r="E14" s="43"/>
      <c r="F14" s="43"/>
      <c r="G14" s="44"/>
      <c r="H14" s="44"/>
      <c r="I14" s="44"/>
      <c r="J14" s="44"/>
    </row>
    <row r="15" spans="1:10" s="20" customFormat="1" ht="15" customHeight="1">
      <c r="A15" s="40">
        <v>4</v>
      </c>
      <c r="B15" s="19" t="s">
        <v>64</v>
      </c>
      <c r="C15" s="295">
        <v>0</v>
      </c>
      <c r="D15" s="41" t="s">
        <v>236</v>
      </c>
      <c r="E15" s="46"/>
      <c r="F15" s="27"/>
      <c r="G15" s="42"/>
      <c r="H15" s="42"/>
      <c r="I15" s="42"/>
      <c r="J15" s="42"/>
    </row>
    <row r="16" spans="1:10" s="20" customFormat="1" ht="15" customHeight="1">
      <c r="A16" s="40">
        <v>5</v>
      </c>
      <c r="B16" s="19" t="s">
        <v>22</v>
      </c>
      <c r="C16" s="295">
        <v>0</v>
      </c>
      <c r="D16" s="41" t="s">
        <v>234</v>
      </c>
      <c r="E16" s="46"/>
      <c r="F16" s="27"/>
      <c r="G16" s="42"/>
      <c r="H16" s="42"/>
      <c r="I16" s="42"/>
      <c r="J16" s="42"/>
    </row>
    <row r="17" spans="1:10" s="20" customFormat="1" ht="15" customHeight="1">
      <c r="A17" s="40">
        <v>6</v>
      </c>
      <c r="B17" s="19" t="s">
        <v>65</v>
      </c>
      <c r="C17" s="295">
        <v>0</v>
      </c>
      <c r="D17" s="41" t="s">
        <v>233</v>
      </c>
      <c r="E17" s="46"/>
      <c r="F17" s="27"/>
      <c r="G17" s="42"/>
      <c r="H17" s="42"/>
      <c r="I17" s="42"/>
      <c r="J17" s="42"/>
    </row>
    <row r="18" spans="1:10" s="20" customFormat="1" ht="15" customHeight="1">
      <c r="A18" s="40">
        <v>7</v>
      </c>
      <c r="B18" s="19" t="s">
        <v>41</v>
      </c>
      <c r="C18" s="295">
        <v>0</v>
      </c>
      <c r="D18" s="41" t="s">
        <v>233</v>
      </c>
      <c r="E18" s="46"/>
      <c r="F18" s="27"/>
      <c r="G18" s="42"/>
      <c r="H18" s="42"/>
      <c r="I18" s="42"/>
      <c r="J18" s="42"/>
    </row>
    <row r="19" spans="1:10" s="20" customFormat="1" ht="15" customHeight="1">
      <c r="A19" s="40">
        <v>8</v>
      </c>
      <c r="B19" s="19" t="s">
        <v>232</v>
      </c>
      <c r="C19" s="295">
        <v>0</v>
      </c>
      <c r="D19" s="41" t="s">
        <v>235</v>
      </c>
      <c r="E19" s="46"/>
      <c r="F19" s="47"/>
      <c r="G19" s="42"/>
      <c r="H19" s="42"/>
      <c r="I19" s="42"/>
      <c r="J19" s="42"/>
    </row>
    <row r="20" spans="1:10" s="20" customFormat="1" ht="15" customHeight="1">
      <c r="A20" s="40">
        <v>9</v>
      </c>
      <c r="B20" s="19" t="s">
        <v>42</v>
      </c>
      <c r="C20" s="295">
        <v>0</v>
      </c>
      <c r="D20" s="41" t="s">
        <v>233</v>
      </c>
      <c r="E20" s="46"/>
      <c r="F20" s="47"/>
      <c r="G20" s="42"/>
      <c r="H20" s="42"/>
      <c r="I20" s="42"/>
      <c r="J20" s="42"/>
    </row>
    <row r="21" spans="1:10" s="20" customFormat="1" ht="15" customHeight="1">
      <c r="A21" s="40">
        <v>10</v>
      </c>
      <c r="B21" s="19" t="s">
        <v>66</v>
      </c>
      <c r="C21" s="295">
        <v>0</v>
      </c>
      <c r="D21" s="41" t="s">
        <v>233</v>
      </c>
      <c r="E21" s="47"/>
      <c r="F21" s="27"/>
      <c r="G21" s="42"/>
      <c r="H21" s="42"/>
      <c r="I21" s="42"/>
      <c r="J21" s="27"/>
    </row>
    <row r="22" spans="1:10" s="20" customFormat="1" ht="15" customHeight="1">
      <c r="A22" s="40">
        <v>11</v>
      </c>
      <c r="B22" s="19" t="s">
        <v>228</v>
      </c>
      <c r="C22" s="295">
        <v>0</v>
      </c>
      <c r="D22" s="41" t="s">
        <v>235</v>
      </c>
      <c r="E22" s="47"/>
      <c r="F22" s="27"/>
      <c r="G22" s="42"/>
      <c r="H22" s="42"/>
      <c r="I22" s="42"/>
      <c r="J22" s="27"/>
    </row>
    <row r="23" spans="1:10" s="20" customFormat="1" ht="15" customHeight="1">
      <c r="A23" s="40">
        <v>12</v>
      </c>
      <c r="B23" s="19" t="s">
        <v>38</v>
      </c>
      <c r="C23" s="295">
        <v>0</v>
      </c>
      <c r="D23" s="41" t="s">
        <v>233</v>
      </c>
      <c r="E23" s="47"/>
      <c r="F23" s="27"/>
      <c r="G23" s="42"/>
      <c r="H23" s="42"/>
      <c r="I23" s="42"/>
      <c r="J23" s="27"/>
    </row>
    <row r="24" spans="1:10" s="20" customFormat="1" ht="15" customHeight="1">
      <c r="A24" s="40">
        <v>13</v>
      </c>
      <c r="B24" s="19" t="s">
        <v>229</v>
      </c>
      <c r="C24" s="295">
        <v>0</v>
      </c>
      <c r="D24" s="41" t="s">
        <v>235</v>
      </c>
      <c r="E24" s="47"/>
      <c r="F24" s="27"/>
      <c r="G24" s="42"/>
      <c r="H24" s="42"/>
      <c r="I24" s="42"/>
      <c r="J24" s="27"/>
    </row>
    <row r="25" spans="1:10" s="20" customFormat="1" ht="15" customHeight="1">
      <c r="A25" s="40">
        <v>14</v>
      </c>
      <c r="B25" s="19" t="s">
        <v>231</v>
      </c>
      <c r="C25" s="295">
        <v>0</v>
      </c>
      <c r="D25" s="41" t="s">
        <v>235</v>
      </c>
      <c r="E25" s="47"/>
      <c r="F25" s="27"/>
      <c r="G25" s="42"/>
      <c r="H25" s="42"/>
      <c r="I25" s="27"/>
      <c r="J25" s="27"/>
    </row>
    <row r="26" spans="1:10" s="20" customFormat="1" ht="15" customHeight="1">
      <c r="A26" s="40">
        <v>15</v>
      </c>
      <c r="B26" s="19" t="s">
        <v>67</v>
      </c>
      <c r="C26" s="295">
        <v>0</v>
      </c>
      <c r="D26" s="41" t="s">
        <v>233</v>
      </c>
      <c r="E26" s="47"/>
      <c r="F26" s="27"/>
      <c r="G26" s="42"/>
      <c r="H26" s="42"/>
      <c r="I26" s="27"/>
      <c r="J26" s="27"/>
    </row>
    <row r="27" spans="1:10" s="20" customFormat="1" ht="15" customHeight="1">
      <c r="A27" s="40">
        <v>16</v>
      </c>
      <c r="B27" s="19" t="s">
        <v>230</v>
      </c>
      <c r="C27" s="295">
        <v>0</v>
      </c>
      <c r="D27" s="41" t="s">
        <v>235</v>
      </c>
      <c r="E27" s="47"/>
      <c r="F27" s="27"/>
      <c r="G27" s="42"/>
      <c r="H27" s="42"/>
      <c r="I27" s="27"/>
      <c r="J27" s="27"/>
    </row>
    <row r="28" spans="1:10" s="20" customFormat="1" ht="15" customHeight="1">
      <c r="A28" s="40">
        <v>17</v>
      </c>
      <c r="B28" s="19" t="s">
        <v>73</v>
      </c>
      <c r="C28" s="295">
        <v>0</v>
      </c>
      <c r="D28" s="41" t="s">
        <v>237</v>
      </c>
      <c r="E28" s="47"/>
      <c r="F28" s="27"/>
      <c r="G28" s="42"/>
      <c r="H28" s="42"/>
      <c r="I28" s="27"/>
      <c r="J28" s="27"/>
    </row>
    <row r="29" spans="1:10" s="20" customFormat="1" ht="15" customHeight="1">
      <c r="A29" s="40">
        <v>18</v>
      </c>
      <c r="B29" s="19" t="s">
        <v>72</v>
      </c>
      <c r="C29" s="295">
        <v>0</v>
      </c>
      <c r="D29" s="41" t="s">
        <v>237</v>
      </c>
      <c r="E29" s="47"/>
      <c r="F29" s="27"/>
      <c r="G29" s="42"/>
      <c r="H29" s="42"/>
      <c r="I29" s="27"/>
      <c r="J29" s="27"/>
    </row>
    <row r="30" spans="1:10" s="20" customFormat="1" ht="15" customHeight="1">
      <c r="A30" s="40">
        <v>19</v>
      </c>
      <c r="B30" s="19" t="s">
        <v>68</v>
      </c>
      <c r="C30" s="295">
        <v>0</v>
      </c>
      <c r="D30" s="41" t="s">
        <v>233</v>
      </c>
      <c r="E30" s="47"/>
      <c r="F30" s="27"/>
      <c r="G30" s="42"/>
      <c r="H30" s="42"/>
      <c r="I30" s="27"/>
      <c r="J30" s="27"/>
    </row>
    <row r="31" spans="1:10" s="20" customFormat="1" ht="15" customHeight="1">
      <c r="A31" s="40">
        <v>20</v>
      </c>
      <c r="B31" s="19" t="s">
        <v>69</v>
      </c>
      <c r="C31" s="48"/>
      <c r="D31" s="48"/>
      <c r="E31" s="47"/>
      <c r="F31" s="27"/>
      <c r="G31" s="42"/>
      <c r="H31" s="42"/>
      <c r="I31" s="27"/>
      <c r="J31" s="27"/>
    </row>
    <row r="32" spans="1:10" s="20" customFormat="1" ht="15" customHeight="1">
      <c r="A32" s="27"/>
      <c r="B32" s="27"/>
      <c r="C32" s="27"/>
      <c r="D32" s="27"/>
      <c r="E32" s="47"/>
      <c r="F32" s="27"/>
      <c r="G32" s="42"/>
      <c r="H32" s="42"/>
      <c r="I32" s="27"/>
      <c r="J32" s="27"/>
    </row>
    <row r="33" spans="1:10" s="20" customFormat="1" ht="26.25" customHeight="1">
      <c r="A33" s="26" t="s">
        <v>241</v>
      </c>
      <c r="B33" s="26"/>
      <c r="C33" s="27"/>
      <c r="D33" s="27"/>
      <c r="E33" s="47"/>
      <c r="F33" s="27"/>
      <c r="G33" s="42"/>
      <c r="H33" s="42"/>
      <c r="I33" s="27"/>
      <c r="J33" s="27"/>
    </row>
    <row r="34" spans="1:10" s="20" customFormat="1" ht="26.25" customHeight="1">
      <c r="A34" s="49" t="s">
        <v>34</v>
      </c>
      <c r="B34" s="50" t="s">
        <v>137</v>
      </c>
      <c r="C34" s="51" t="s">
        <v>111</v>
      </c>
      <c r="D34" s="39" t="s">
        <v>110</v>
      </c>
      <c r="E34" s="42"/>
      <c r="F34" s="42"/>
      <c r="G34" s="42"/>
      <c r="H34" s="42"/>
      <c r="I34" s="27"/>
      <c r="J34" s="27"/>
    </row>
    <row r="35" spans="1:10" s="20" customFormat="1" ht="15" customHeight="1">
      <c r="A35" s="52" t="s">
        <v>113</v>
      </c>
      <c r="B35" s="40" t="s">
        <v>138</v>
      </c>
      <c r="C35" s="296">
        <v>1</v>
      </c>
      <c r="D35" s="19" t="s">
        <v>116</v>
      </c>
      <c r="E35" s="42"/>
      <c r="F35" s="42"/>
      <c r="G35" s="42"/>
      <c r="H35" s="42"/>
      <c r="I35" s="27"/>
      <c r="J35" s="27"/>
    </row>
    <row r="36" spans="1:10" s="20" customFormat="1" ht="15" customHeight="1">
      <c r="A36" s="52" t="s">
        <v>112</v>
      </c>
      <c r="B36" s="40" t="s">
        <v>39</v>
      </c>
      <c r="C36" s="296">
        <v>1</v>
      </c>
      <c r="D36" s="19" t="s">
        <v>117</v>
      </c>
      <c r="E36" s="42"/>
      <c r="F36" s="42"/>
      <c r="G36" s="42"/>
      <c r="H36" s="42"/>
      <c r="I36" s="27"/>
      <c r="J36" s="27"/>
    </row>
    <row r="37" spans="1:10" s="20" customFormat="1" ht="15" customHeight="1">
      <c r="A37" s="52" t="s">
        <v>114</v>
      </c>
      <c r="B37" s="40" t="s">
        <v>134</v>
      </c>
      <c r="C37" s="296">
        <v>1</v>
      </c>
      <c r="D37" s="19" t="s">
        <v>118</v>
      </c>
      <c r="E37" s="42"/>
      <c r="F37" s="42"/>
      <c r="G37" s="42"/>
      <c r="H37" s="42"/>
      <c r="I37" s="27"/>
      <c r="J37" s="27"/>
    </row>
    <row r="38" spans="1:10" s="20" customFormat="1" ht="15" customHeight="1">
      <c r="A38" s="52" t="s">
        <v>115</v>
      </c>
      <c r="B38" s="40" t="s">
        <v>135</v>
      </c>
      <c r="C38" s="296">
        <v>1</v>
      </c>
      <c r="D38" s="19" t="s">
        <v>119</v>
      </c>
      <c r="E38" s="42"/>
      <c r="F38" s="42"/>
      <c r="G38" s="42"/>
      <c r="H38" s="42"/>
      <c r="I38" s="27"/>
      <c r="J38" s="27"/>
    </row>
    <row r="39" spans="1:10" s="20" customFormat="1" ht="15" customHeight="1">
      <c r="A39" s="52" t="s">
        <v>698</v>
      </c>
      <c r="B39" s="40" t="s">
        <v>699</v>
      </c>
      <c r="C39" s="296">
        <v>1</v>
      </c>
      <c r="D39" s="19" t="s">
        <v>707</v>
      </c>
      <c r="E39" s="42"/>
      <c r="F39" s="42"/>
      <c r="G39" s="42"/>
      <c r="H39" s="42"/>
      <c r="I39" s="27"/>
      <c r="J39" s="27"/>
    </row>
    <row r="40" spans="1:10" s="20" customFormat="1" ht="15" customHeight="1">
      <c r="A40" s="27"/>
      <c r="B40" s="27"/>
      <c r="C40" s="27"/>
      <c r="D40" s="27"/>
      <c r="E40" s="47"/>
      <c r="F40" s="27"/>
      <c r="G40" s="42"/>
      <c r="H40" s="42"/>
      <c r="I40" s="27"/>
      <c r="J40" s="27"/>
    </row>
    <row r="41" spans="1:10" s="24" customFormat="1" ht="26.25" customHeight="1">
      <c r="A41" s="26" t="s">
        <v>120</v>
      </c>
      <c r="B41" s="27"/>
      <c r="C41" s="27"/>
      <c r="D41" s="42"/>
      <c r="G41" s="23"/>
    </row>
    <row r="42" spans="1:10" ht="26.25" customHeight="1">
      <c r="A42" s="49" t="s">
        <v>34</v>
      </c>
      <c r="B42" s="39" t="s">
        <v>121</v>
      </c>
      <c r="C42" s="51" t="s">
        <v>111</v>
      </c>
      <c r="D42" s="24"/>
      <c r="E42" s="24"/>
      <c r="F42" s="53"/>
      <c r="G42" s="24"/>
      <c r="H42" s="24"/>
    </row>
    <row r="43" spans="1:10" ht="15" customHeight="1">
      <c r="A43" s="55" t="s">
        <v>19</v>
      </c>
      <c r="B43" s="56" t="s">
        <v>29</v>
      </c>
      <c r="C43" s="296">
        <v>1</v>
      </c>
      <c r="D43" s="24"/>
      <c r="E43" s="24"/>
      <c r="F43" s="53"/>
      <c r="G43" s="24"/>
      <c r="H43" s="24"/>
    </row>
    <row r="44" spans="1:10" ht="15" customHeight="1">
      <c r="A44" s="57" t="s">
        <v>2</v>
      </c>
      <c r="B44" s="58" t="s">
        <v>1</v>
      </c>
      <c r="C44" s="296">
        <v>1</v>
      </c>
      <c r="D44" s="24"/>
      <c r="E44" s="24"/>
      <c r="F44" s="53"/>
      <c r="G44" s="24"/>
      <c r="H44" s="24"/>
    </row>
    <row r="45" spans="1:10" ht="15" customHeight="1">
      <c r="A45" s="55" t="s">
        <v>20</v>
      </c>
      <c r="B45" s="56" t="s">
        <v>21</v>
      </c>
      <c r="C45" s="296">
        <v>1</v>
      </c>
      <c r="D45" s="24"/>
      <c r="E45" s="24"/>
      <c r="F45" s="53"/>
      <c r="G45" s="24"/>
      <c r="H45" s="24"/>
    </row>
    <row r="46" spans="1:10" ht="15" customHeight="1">
      <c r="A46" s="57" t="s">
        <v>18</v>
      </c>
      <c r="B46" s="58" t="s">
        <v>12</v>
      </c>
      <c r="C46" s="296">
        <v>1</v>
      </c>
      <c r="D46" s="24"/>
      <c r="E46" s="24"/>
      <c r="F46" s="53"/>
      <c r="G46" s="24"/>
      <c r="H46" s="24"/>
    </row>
    <row r="47" spans="1:10" ht="15" customHeight="1">
      <c r="A47" s="55" t="s">
        <v>122</v>
      </c>
      <c r="B47" s="56" t="s">
        <v>123</v>
      </c>
      <c r="C47" s="296">
        <v>1</v>
      </c>
      <c r="D47" s="24"/>
      <c r="E47" s="24"/>
      <c r="F47" s="53"/>
      <c r="G47" s="24"/>
      <c r="H47" s="24"/>
    </row>
    <row r="48" spans="1:10" ht="15" customHeight="1">
      <c r="A48" s="57" t="s">
        <v>17</v>
      </c>
      <c r="B48" s="58" t="s">
        <v>14</v>
      </c>
      <c r="C48" s="296">
        <v>1</v>
      </c>
      <c r="D48" s="24"/>
      <c r="E48" s="24"/>
      <c r="F48" s="53"/>
      <c r="G48" s="24"/>
      <c r="H48" s="24"/>
    </row>
    <row r="49" spans="1:10" ht="15" customHeight="1">
      <c r="A49" s="55" t="s">
        <v>15</v>
      </c>
      <c r="B49" s="56" t="s">
        <v>13</v>
      </c>
      <c r="C49" s="296">
        <v>1</v>
      </c>
      <c r="D49" s="24"/>
      <c r="E49" s="24"/>
      <c r="F49" s="53"/>
      <c r="G49" s="24"/>
      <c r="H49" s="24"/>
    </row>
    <row r="50" spans="1:10" ht="15" customHeight="1">
      <c r="A50" s="57" t="s">
        <v>25</v>
      </c>
      <c r="B50" s="58" t="s">
        <v>28</v>
      </c>
      <c r="C50" s="296">
        <v>1</v>
      </c>
      <c r="D50" s="24"/>
      <c r="E50" s="24"/>
      <c r="F50" s="53"/>
      <c r="G50" s="24"/>
      <c r="H50" s="24"/>
    </row>
    <row r="51" spans="1:10" ht="15" customHeight="1">
      <c r="A51" s="55" t="s">
        <v>26</v>
      </c>
      <c r="B51" s="56" t="s">
        <v>27</v>
      </c>
      <c r="C51" s="296">
        <v>1</v>
      </c>
      <c r="D51" s="24"/>
      <c r="E51" s="24"/>
      <c r="F51" s="53"/>
      <c r="G51" s="24"/>
      <c r="H51" s="24"/>
    </row>
    <row r="52" spans="1:10" ht="15" customHeight="1">
      <c r="A52" s="57" t="s">
        <v>16</v>
      </c>
      <c r="B52" s="58" t="s">
        <v>0</v>
      </c>
      <c r="C52" s="296">
        <v>1</v>
      </c>
      <c r="D52" s="24"/>
      <c r="E52" s="24"/>
      <c r="F52" s="53"/>
      <c r="G52" s="24"/>
      <c r="H52" s="24"/>
    </row>
    <row r="53" spans="1:10" ht="15" customHeight="1">
      <c r="A53" s="59"/>
      <c r="B53" s="42"/>
      <c r="C53" s="42"/>
      <c r="D53" s="42"/>
      <c r="E53" s="24"/>
      <c r="F53" s="24"/>
      <c r="G53" s="23"/>
      <c r="H53" s="24"/>
      <c r="I53" s="24"/>
      <c r="J53" s="24"/>
    </row>
    <row r="54" spans="1:10" ht="15" customHeight="1">
      <c r="A54" s="60"/>
      <c r="B54" s="24"/>
      <c r="C54" s="24"/>
      <c r="D54" s="25"/>
      <c r="E54" s="24"/>
      <c r="F54" s="24"/>
      <c r="G54" s="23"/>
      <c r="H54" s="24"/>
      <c r="I54" s="24"/>
      <c r="J54" s="24"/>
    </row>
    <row r="55" spans="1:10" ht="15" customHeight="1">
      <c r="A55" s="60"/>
      <c r="B55" s="24"/>
      <c r="C55" s="24"/>
      <c r="D55" s="25"/>
      <c r="E55" s="24"/>
      <c r="F55" s="24"/>
      <c r="G55" s="23"/>
      <c r="H55" s="24"/>
      <c r="I55" s="24"/>
      <c r="J55" s="24"/>
    </row>
    <row r="56" spans="1:10" ht="15" customHeight="1">
      <c r="A56" s="60"/>
      <c r="B56" s="24"/>
      <c r="C56" s="24"/>
      <c r="D56" s="25"/>
      <c r="E56" s="24"/>
      <c r="F56" s="24"/>
      <c r="G56" s="23"/>
      <c r="H56" s="24"/>
      <c r="I56" s="24"/>
      <c r="J56" s="24"/>
    </row>
    <row r="57" spans="1:10" ht="15" customHeight="1">
      <c r="A57" s="60"/>
      <c r="B57" s="24"/>
      <c r="C57" s="24"/>
      <c r="D57" s="25"/>
      <c r="E57" s="24"/>
      <c r="F57" s="24"/>
      <c r="G57" s="23"/>
      <c r="H57" s="24"/>
      <c r="I57" s="24"/>
      <c r="J57" s="24"/>
    </row>
    <row r="58" spans="1:10" ht="15" customHeight="1">
      <c r="F58" s="24"/>
      <c r="G58" s="23"/>
      <c r="H58" s="24"/>
      <c r="I58" s="24"/>
      <c r="J58" s="24"/>
    </row>
    <row r="59" spans="1:10" ht="15" customHeight="1">
      <c r="F59" s="24"/>
      <c r="G59" s="23"/>
      <c r="H59" s="24"/>
      <c r="I59" s="24"/>
      <c r="J59" s="24"/>
    </row>
    <row r="60" spans="1:10" ht="15" customHeight="1">
      <c r="F60" s="24"/>
      <c r="G60" s="23"/>
      <c r="H60" s="24"/>
      <c r="I60" s="24"/>
      <c r="J60" s="24"/>
    </row>
    <row r="61" spans="1:10" ht="15" customHeight="1">
      <c r="F61" s="24"/>
      <c r="G61" s="23"/>
      <c r="H61" s="24"/>
      <c r="I61" s="24"/>
      <c r="J61" s="24"/>
    </row>
    <row r="62" spans="1:10" ht="15" customHeight="1">
      <c r="F62" s="24"/>
      <c r="G62" s="23"/>
      <c r="H62" s="24"/>
      <c r="I62" s="24"/>
      <c r="J62" s="24"/>
    </row>
    <row r="63" spans="1:10" ht="15" customHeight="1">
      <c r="F63" s="24"/>
      <c r="G63" s="23"/>
      <c r="H63" s="24"/>
      <c r="I63" s="24"/>
      <c r="J63" s="24"/>
    </row>
    <row r="64" spans="1:10" ht="15" customHeight="1">
      <c r="F64" s="24"/>
      <c r="G64" s="23"/>
      <c r="H64" s="24"/>
      <c r="I64" s="24"/>
      <c r="J64" s="24"/>
    </row>
    <row r="65" spans="6:10" ht="15" customHeight="1">
      <c r="F65" s="24"/>
      <c r="G65" s="23"/>
      <c r="H65" s="24"/>
      <c r="I65" s="24"/>
      <c r="J65" s="24"/>
    </row>
    <row r="66" spans="6:10" ht="15" customHeight="1">
      <c r="F66" s="24"/>
      <c r="G66" s="23"/>
      <c r="H66" s="24"/>
      <c r="I66" s="24"/>
      <c r="J66" s="24"/>
    </row>
    <row r="67" spans="6:10" ht="15" customHeight="1">
      <c r="F67" s="24"/>
      <c r="G67" s="23"/>
      <c r="H67" s="24"/>
      <c r="I67" s="24"/>
      <c r="J67" s="24"/>
    </row>
    <row r="68" spans="6:10" ht="15" customHeight="1">
      <c r="F68" s="24"/>
      <c r="G68" s="23"/>
      <c r="H68" s="24"/>
      <c r="I68" s="24"/>
      <c r="J68" s="24"/>
    </row>
    <row r="69" spans="6:10" ht="15" customHeight="1">
      <c r="F69" s="24"/>
      <c r="G69" s="23"/>
      <c r="H69" s="24"/>
      <c r="I69" s="24"/>
      <c r="J69" s="24"/>
    </row>
    <row r="70" spans="6:10" ht="15" customHeight="1">
      <c r="F70" s="24"/>
      <c r="G70" s="23"/>
      <c r="H70" s="24"/>
      <c r="I70" s="24"/>
      <c r="J70" s="24"/>
    </row>
    <row r="71" spans="6:10" ht="15" customHeight="1">
      <c r="F71" s="24"/>
      <c r="G71" s="23"/>
      <c r="H71" s="24"/>
      <c r="I71" s="24"/>
      <c r="J71" s="24"/>
    </row>
    <row r="72" spans="6:10" ht="15" customHeight="1">
      <c r="F72" s="24"/>
      <c r="G72" s="23"/>
      <c r="H72" s="24"/>
      <c r="I72" s="24"/>
      <c r="J72" s="24"/>
    </row>
    <row r="73" spans="6:10" ht="15" customHeight="1">
      <c r="F73" s="24"/>
      <c r="G73" s="23"/>
      <c r="H73" s="24"/>
      <c r="I73" s="24"/>
      <c r="J73" s="24"/>
    </row>
    <row r="74" spans="6:10" ht="15" customHeight="1">
      <c r="F74" s="24"/>
      <c r="G74" s="23"/>
      <c r="H74" s="24"/>
      <c r="I74" s="24"/>
      <c r="J74" s="24"/>
    </row>
    <row r="75" spans="6:10" ht="15" customHeight="1">
      <c r="F75" s="24"/>
      <c r="G75" s="23"/>
      <c r="H75" s="24"/>
      <c r="I75" s="24"/>
      <c r="J75" s="24"/>
    </row>
    <row r="76" spans="6:10" ht="15" customHeight="1">
      <c r="F76" s="24"/>
      <c r="G76" s="23"/>
      <c r="H76" s="24"/>
      <c r="I76" s="24"/>
      <c r="J76" s="24"/>
    </row>
    <row r="77" spans="6:10" ht="15" customHeight="1">
      <c r="F77" s="24"/>
      <c r="G77" s="23"/>
      <c r="H77" s="24"/>
      <c r="I77" s="24"/>
      <c r="J77" s="24"/>
    </row>
    <row r="78" spans="6:10" ht="15" customHeight="1">
      <c r="F78" s="24"/>
      <c r="G78" s="23"/>
      <c r="H78" s="24"/>
      <c r="I78" s="24"/>
      <c r="J78" s="24"/>
    </row>
    <row r="79" spans="6:10" ht="15" customHeight="1">
      <c r="F79" s="24"/>
      <c r="G79" s="23"/>
      <c r="H79" s="24"/>
      <c r="I79" s="24"/>
      <c r="J79" s="24"/>
    </row>
    <row r="80" spans="6:10" ht="15" customHeight="1">
      <c r="F80" s="24"/>
      <c r="G80" s="23"/>
      <c r="H80" s="24"/>
      <c r="I80" s="24"/>
      <c r="J80" s="24"/>
    </row>
    <row r="81" spans="6:10" ht="15" customHeight="1">
      <c r="F81" s="24"/>
      <c r="G81" s="23"/>
      <c r="H81" s="24"/>
      <c r="I81" s="24"/>
      <c r="J81" s="24"/>
    </row>
    <row r="82" spans="6:10" ht="15" customHeight="1">
      <c r="F82" s="24"/>
      <c r="G82" s="23"/>
      <c r="H82" s="24"/>
      <c r="I82" s="24"/>
      <c r="J82" s="24"/>
    </row>
    <row r="83" spans="6:10" ht="15" customHeight="1">
      <c r="F83" s="24"/>
      <c r="G83" s="23"/>
      <c r="H83" s="24"/>
      <c r="I83" s="24"/>
      <c r="J83" s="24"/>
    </row>
    <row r="84" spans="6:10" ht="15" customHeight="1">
      <c r="F84" s="24"/>
      <c r="G84" s="23"/>
      <c r="H84" s="24"/>
      <c r="I84" s="24"/>
      <c r="J84" s="24"/>
    </row>
    <row r="85" spans="6:10" ht="15" customHeight="1">
      <c r="F85" s="24"/>
      <c r="G85" s="23"/>
      <c r="H85" s="24"/>
      <c r="I85" s="24"/>
      <c r="J85" s="24"/>
    </row>
    <row r="86" spans="6:10" ht="15" customHeight="1">
      <c r="F86" s="24"/>
      <c r="G86" s="23"/>
      <c r="H86" s="24"/>
      <c r="I86" s="24"/>
      <c r="J86" s="24"/>
    </row>
    <row r="87" spans="6:10" ht="15" customHeight="1">
      <c r="F87" s="24"/>
      <c r="G87" s="23"/>
      <c r="H87" s="24"/>
      <c r="I87" s="24"/>
      <c r="J87" s="24"/>
    </row>
    <row r="88" spans="6:10" ht="15" customHeight="1">
      <c r="F88" s="24"/>
      <c r="G88" s="23"/>
      <c r="H88" s="24"/>
      <c r="I88" s="24"/>
      <c r="J88" s="24"/>
    </row>
    <row r="89" spans="6:10" ht="15" customHeight="1">
      <c r="F89" s="24"/>
      <c r="G89" s="23"/>
      <c r="H89" s="24"/>
      <c r="I89" s="24"/>
      <c r="J89" s="24"/>
    </row>
    <row r="90" spans="6:10" ht="15" customHeight="1">
      <c r="F90" s="24"/>
      <c r="G90" s="23"/>
      <c r="H90" s="24"/>
      <c r="I90" s="24"/>
      <c r="J90" s="24"/>
    </row>
    <row r="91" spans="6:10" ht="15" customHeight="1">
      <c r="F91" s="24"/>
      <c r="G91" s="23"/>
      <c r="H91" s="24"/>
      <c r="I91" s="24"/>
      <c r="J91" s="24"/>
    </row>
    <row r="92" spans="6:10" ht="15" customHeight="1">
      <c r="F92" s="24"/>
      <c r="G92" s="23"/>
      <c r="H92" s="24"/>
      <c r="I92" s="24"/>
      <c r="J92" s="24"/>
    </row>
    <row r="93" spans="6:10" ht="15" customHeight="1">
      <c r="F93" s="24"/>
      <c r="G93" s="23"/>
      <c r="H93" s="24"/>
      <c r="I93" s="24"/>
      <c r="J93" s="24"/>
    </row>
    <row r="94" spans="6:10" ht="15" customHeight="1">
      <c r="F94" s="24"/>
      <c r="G94" s="23"/>
      <c r="H94" s="24"/>
      <c r="I94" s="24"/>
      <c r="J94" s="24"/>
    </row>
    <row r="95" spans="6:10" ht="15" customHeight="1">
      <c r="F95" s="24"/>
      <c r="G95" s="23"/>
      <c r="H95" s="24"/>
      <c r="I95" s="24"/>
      <c r="J95" s="24"/>
    </row>
    <row r="96" spans="6:10" ht="15" customHeight="1">
      <c r="F96" s="24"/>
      <c r="G96" s="23"/>
      <c r="H96" s="24"/>
      <c r="I96" s="24"/>
      <c r="J96" s="24"/>
    </row>
    <row r="97" spans="6:10" ht="15" customHeight="1">
      <c r="F97" s="24"/>
      <c r="G97" s="23"/>
      <c r="H97" s="24"/>
      <c r="I97" s="24"/>
      <c r="J97" s="24"/>
    </row>
    <row r="98" spans="6:10" ht="15" customHeight="1">
      <c r="F98" s="24"/>
      <c r="G98" s="23"/>
      <c r="H98" s="24"/>
      <c r="I98" s="24"/>
      <c r="J98" s="24"/>
    </row>
    <row r="99" spans="6:10" ht="15" customHeight="1">
      <c r="F99" s="24"/>
      <c r="G99" s="23"/>
      <c r="H99" s="24"/>
      <c r="I99" s="24"/>
      <c r="J99" s="24"/>
    </row>
    <row r="100" spans="6:10" ht="15" customHeight="1">
      <c r="F100" s="24"/>
      <c r="G100" s="23"/>
      <c r="H100" s="24"/>
      <c r="I100" s="24"/>
      <c r="J100" s="24"/>
    </row>
    <row r="101" spans="6:10" ht="15" customHeight="1">
      <c r="F101" s="24"/>
      <c r="G101" s="23"/>
      <c r="H101" s="24"/>
      <c r="I101" s="24"/>
      <c r="J101" s="24"/>
    </row>
    <row r="102" spans="6:10" ht="15" customHeight="1">
      <c r="F102" s="24"/>
      <c r="G102" s="23"/>
      <c r="H102" s="24"/>
      <c r="I102" s="24"/>
      <c r="J102" s="24"/>
    </row>
    <row r="103" spans="6:10" ht="15" customHeight="1">
      <c r="F103" s="24"/>
      <c r="G103" s="23"/>
      <c r="H103" s="24"/>
      <c r="I103" s="24"/>
      <c r="J103" s="24"/>
    </row>
    <row r="104" spans="6:10" ht="15" customHeight="1">
      <c r="F104" s="24"/>
      <c r="G104" s="23"/>
      <c r="H104" s="24"/>
      <c r="I104" s="24"/>
      <c r="J104" s="24"/>
    </row>
    <row r="105" spans="6:10" ht="15" customHeight="1">
      <c r="F105" s="24"/>
      <c r="G105" s="23"/>
      <c r="H105" s="24"/>
      <c r="I105" s="24"/>
      <c r="J105" s="24"/>
    </row>
    <row r="106" spans="6:10" ht="15" customHeight="1">
      <c r="F106" s="24"/>
      <c r="G106" s="23"/>
      <c r="H106" s="24"/>
      <c r="I106" s="24"/>
      <c r="J106" s="24"/>
    </row>
    <row r="107" spans="6:10" ht="15" customHeight="1">
      <c r="F107" s="24"/>
      <c r="G107" s="23"/>
      <c r="H107" s="24"/>
      <c r="I107" s="24"/>
      <c r="J107" s="24"/>
    </row>
    <row r="108" spans="6:10" ht="15" customHeight="1">
      <c r="F108" s="24"/>
      <c r="G108" s="23"/>
      <c r="H108" s="24"/>
      <c r="I108" s="24"/>
      <c r="J108" s="24"/>
    </row>
    <row r="109" spans="6:10" ht="15" customHeight="1">
      <c r="F109" s="24"/>
      <c r="G109" s="23"/>
      <c r="H109" s="24"/>
      <c r="I109" s="24"/>
      <c r="J109" s="24"/>
    </row>
    <row r="110" spans="6:10" ht="15" customHeight="1">
      <c r="F110" s="24"/>
      <c r="G110" s="23"/>
      <c r="H110" s="24"/>
      <c r="I110" s="24"/>
      <c r="J110" s="24"/>
    </row>
    <row r="111" spans="6:10" ht="15" customHeight="1">
      <c r="F111" s="24"/>
      <c r="G111" s="23"/>
      <c r="H111" s="24"/>
      <c r="I111" s="24"/>
      <c r="J111" s="24"/>
    </row>
    <row r="112" spans="6:10" ht="15" customHeight="1">
      <c r="F112" s="24"/>
      <c r="G112" s="23"/>
      <c r="H112" s="24"/>
      <c r="I112" s="24"/>
      <c r="J112" s="24"/>
    </row>
    <row r="113" spans="6:10" ht="15" customHeight="1">
      <c r="F113" s="24"/>
      <c r="G113" s="23"/>
      <c r="H113" s="24"/>
      <c r="I113" s="24"/>
      <c r="J113" s="24"/>
    </row>
    <row r="114" spans="6:10" ht="15" customHeight="1">
      <c r="F114" s="24"/>
      <c r="G114" s="23"/>
      <c r="H114" s="24"/>
      <c r="I114" s="24"/>
      <c r="J114" s="24"/>
    </row>
    <row r="115" spans="6:10" ht="15" customHeight="1">
      <c r="F115" s="24"/>
      <c r="G115" s="23"/>
      <c r="H115" s="24"/>
      <c r="I115" s="24"/>
      <c r="J115" s="24"/>
    </row>
    <row r="116" spans="6:10" ht="15" customHeight="1">
      <c r="F116" s="24"/>
      <c r="G116" s="23"/>
      <c r="H116" s="24"/>
      <c r="I116" s="24"/>
      <c r="J116" s="24"/>
    </row>
    <row r="117" spans="6:10" ht="15" customHeight="1">
      <c r="F117" s="24"/>
      <c r="G117" s="23"/>
      <c r="H117" s="24"/>
      <c r="I117" s="24"/>
      <c r="J117" s="24"/>
    </row>
    <row r="118" spans="6:10" ht="15" customHeight="1">
      <c r="F118" s="24"/>
      <c r="G118" s="23"/>
      <c r="H118" s="24"/>
      <c r="I118" s="24"/>
      <c r="J118" s="24"/>
    </row>
    <row r="119" spans="6:10" ht="15" customHeight="1">
      <c r="F119" s="24"/>
      <c r="G119" s="23"/>
      <c r="H119" s="24"/>
      <c r="I119" s="24"/>
      <c r="J119" s="24"/>
    </row>
    <row r="120" spans="6:10" ht="15" customHeight="1">
      <c r="F120" s="24"/>
      <c r="G120" s="23"/>
      <c r="H120" s="24"/>
      <c r="I120" s="24"/>
      <c r="J120" s="24"/>
    </row>
    <row r="121" spans="6:10" ht="15" customHeight="1">
      <c r="F121" s="24"/>
      <c r="G121" s="23"/>
      <c r="H121" s="24"/>
      <c r="I121" s="24"/>
      <c r="J121" s="24"/>
    </row>
    <row r="122" spans="6:10" ht="15" customHeight="1">
      <c r="F122" s="24"/>
      <c r="G122" s="23"/>
      <c r="H122" s="24"/>
      <c r="I122" s="24"/>
      <c r="J122" s="24"/>
    </row>
    <row r="123" spans="6:10" ht="15" customHeight="1">
      <c r="F123" s="24"/>
      <c r="G123" s="23"/>
      <c r="H123" s="24"/>
      <c r="I123" s="24"/>
      <c r="J123" s="24"/>
    </row>
    <row r="124" spans="6:10" ht="15" customHeight="1">
      <c r="F124" s="24"/>
      <c r="G124" s="23"/>
      <c r="H124" s="24"/>
      <c r="I124" s="24"/>
      <c r="J124" s="24"/>
    </row>
    <row r="125" spans="6:10" ht="15" customHeight="1">
      <c r="F125" s="24"/>
      <c r="G125" s="23"/>
      <c r="H125" s="24"/>
      <c r="I125" s="24"/>
      <c r="J125" s="24"/>
    </row>
    <row r="126" spans="6:10" ht="15" customHeight="1">
      <c r="F126" s="24"/>
      <c r="G126" s="23"/>
      <c r="H126" s="24"/>
      <c r="I126" s="24"/>
      <c r="J126" s="24"/>
    </row>
    <row r="127" spans="6:10" ht="15" customHeight="1">
      <c r="F127" s="24"/>
      <c r="G127" s="23"/>
      <c r="H127" s="24"/>
      <c r="I127" s="24"/>
      <c r="J127" s="24"/>
    </row>
    <row r="128" spans="6:10" ht="15" customHeight="1">
      <c r="F128" s="24"/>
      <c r="G128" s="23"/>
      <c r="H128" s="24"/>
      <c r="I128" s="24"/>
      <c r="J128" s="24"/>
    </row>
    <row r="129" spans="6:10" ht="15" customHeight="1">
      <c r="F129" s="24"/>
      <c r="G129" s="23"/>
      <c r="H129" s="24"/>
      <c r="I129" s="24"/>
      <c r="J129" s="24"/>
    </row>
    <row r="130" spans="6:10" ht="15" customHeight="1">
      <c r="F130" s="24"/>
      <c r="G130" s="23"/>
      <c r="H130" s="24"/>
      <c r="I130" s="24"/>
      <c r="J130" s="24"/>
    </row>
    <row r="131" spans="6:10" ht="15" customHeight="1">
      <c r="F131" s="24"/>
      <c r="G131" s="23"/>
      <c r="H131" s="24"/>
      <c r="I131" s="24"/>
      <c r="J131" s="24"/>
    </row>
    <row r="132" spans="6:10" ht="15" customHeight="1">
      <c r="F132" s="24"/>
      <c r="G132" s="23"/>
      <c r="H132" s="24"/>
      <c r="I132" s="24"/>
      <c r="J132" s="24"/>
    </row>
    <row r="133" spans="6:10" ht="15" customHeight="1">
      <c r="F133" s="24"/>
      <c r="G133" s="23"/>
      <c r="H133" s="24"/>
      <c r="I133" s="24"/>
      <c r="J133" s="24"/>
    </row>
    <row r="134" spans="6:10" ht="15" customHeight="1">
      <c r="F134" s="24"/>
      <c r="G134" s="23"/>
      <c r="H134" s="24"/>
      <c r="I134" s="24"/>
      <c r="J134" s="24"/>
    </row>
    <row r="135" spans="6:10" ht="15" customHeight="1">
      <c r="F135" s="24"/>
      <c r="G135" s="23"/>
      <c r="H135" s="24"/>
      <c r="I135" s="24"/>
      <c r="J135" s="24"/>
    </row>
    <row r="136" spans="6:10" ht="15" customHeight="1">
      <c r="F136" s="24"/>
      <c r="G136" s="23"/>
      <c r="H136" s="24"/>
      <c r="I136" s="24"/>
      <c r="J136" s="24"/>
    </row>
    <row r="137" spans="6:10" ht="15" customHeight="1">
      <c r="F137" s="24"/>
      <c r="G137" s="23"/>
      <c r="H137" s="24"/>
      <c r="I137" s="24"/>
      <c r="J137" s="24"/>
    </row>
    <row r="138" spans="6:10" ht="15" customHeight="1">
      <c r="F138" s="24"/>
      <c r="G138" s="23"/>
      <c r="H138" s="24"/>
      <c r="I138" s="24"/>
      <c r="J138" s="24"/>
    </row>
    <row r="139" spans="6:10" ht="15" customHeight="1">
      <c r="F139" s="24"/>
      <c r="G139" s="23"/>
      <c r="H139" s="24"/>
      <c r="I139" s="24"/>
      <c r="J139" s="24"/>
    </row>
    <row r="140" spans="6:10" ht="15" customHeight="1">
      <c r="F140" s="24"/>
      <c r="G140" s="23"/>
      <c r="H140" s="24"/>
      <c r="I140" s="24"/>
      <c r="J140" s="24"/>
    </row>
    <row r="141" spans="6:10" ht="15" customHeight="1">
      <c r="F141" s="24"/>
      <c r="G141" s="23"/>
      <c r="H141" s="24"/>
      <c r="I141" s="24"/>
      <c r="J141" s="24"/>
    </row>
    <row r="142" spans="6:10" ht="15" customHeight="1">
      <c r="F142" s="24"/>
      <c r="G142" s="23"/>
      <c r="H142" s="24"/>
      <c r="I142" s="24"/>
      <c r="J142" s="24"/>
    </row>
    <row r="143" spans="6:10" ht="15" customHeight="1">
      <c r="F143" s="24"/>
      <c r="G143" s="23"/>
      <c r="H143" s="24"/>
      <c r="I143" s="24"/>
      <c r="J143" s="24"/>
    </row>
    <row r="144" spans="6:10" ht="15" customHeight="1">
      <c r="F144" s="24"/>
      <c r="G144" s="23"/>
      <c r="H144" s="24"/>
      <c r="I144" s="24"/>
      <c r="J144" s="24"/>
    </row>
    <row r="145" spans="6:10" ht="15" customHeight="1">
      <c r="F145" s="24"/>
      <c r="G145" s="23"/>
      <c r="H145" s="24"/>
      <c r="I145" s="24"/>
      <c r="J145" s="24"/>
    </row>
    <row r="146" spans="6:10" ht="15" customHeight="1">
      <c r="F146" s="24"/>
      <c r="G146" s="23"/>
      <c r="H146" s="24"/>
      <c r="I146" s="24"/>
      <c r="J146" s="24"/>
    </row>
    <row r="147" spans="6:10" ht="15" customHeight="1">
      <c r="F147" s="24"/>
      <c r="G147" s="23"/>
      <c r="H147" s="24"/>
      <c r="I147" s="24"/>
      <c r="J147" s="24"/>
    </row>
    <row r="148" spans="6:10" ht="15" customHeight="1">
      <c r="F148" s="24"/>
      <c r="G148" s="23"/>
      <c r="H148" s="24"/>
      <c r="I148" s="24"/>
      <c r="J148" s="24"/>
    </row>
    <row r="149" spans="6:10" ht="15" customHeight="1">
      <c r="F149" s="24"/>
      <c r="G149" s="23"/>
      <c r="H149" s="24"/>
      <c r="I149" s="24"/>
      <c r="J149" s="24"/>
    </row>
    <row r="150" spans="6:10" ht="15" customHeight="1">
      <c r="F150" s="24"/>
      <c r="G150" s="23"/>
      <c r="H150" s="24"/>
      <c r="I150" s="24"/>
      <c r="J150" s="24"/>
    </row>
    <row r="151" spans="6:10" ht="15" customHeight="1">
      <c r="F151" s="24"/>
      <c r="G151" s="23"/>
      <c r="H151" s="24"/>
      <c r="I151" s="24"/>
      <c r="J151" s="24"/>
    </row>
    <row r="152" spans="6:10" ht="15" customHeight="1">
      <c r="F152" s="24"/>
      <c r="G152" s="23"/>
      <c r="H152" s="24"/>
      <c r="I152" s="24"/>
      <c r="J152" s="24"/>
    </row>
    <row r="153" spans="6:10" ht="15" customHeight="1">
      <c r="F153" s="24"/>
      <c r="G153" s="23"/>
      <c r="H153" s="24"/>
      <c r="I153" s="24"/>
      <c r="J153" s="24"/>
    </row>
    <row r="154" spans="6:10" ht="15" customHeight="1">
      <c r="F154" s="24"/>
      <c r="G154" s="23"/>
      <c r="H154" s="24"/>
      <c r="I154" s="24"/>
      <c r="J154" s="24"/>
    </row>
    <row r="155" spans="6:10" ht="15" customHeight="1">
      <c r="F155" s="24"/>
      <c r="G155" s="23"/>
      <c r="H155" s="24"/>
      <c r="I155" s="24"/>
      <c r="J155" s="24"/>
    </row>
  </sheetData>
  <sheetProtection algorithmName="SHA-512" hashValue="5jGUgW/60uCTo0snRTi9xsDPhk7atnPg2X9hqPczybUP05acMUOTMX1he/S1GZj1q3ieLiHb4dW9Z/nbAPKl7Q==" saltValue="QDy00TDwFR9m9Z9xGxqlqQ==" spinCount="100000" sheet="1" objects="1" scenarios="1" sort="0" autoFilter="0"/>
  <mergeCells count="2">
    <mergeCell ref="A2:F2"/>
    <mergeCell ref="A1:F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tabColor theme="0" tint="-0.14999847407452621"/>
  </sheetPr>
  <dimension ref="A1:HL137"/>
  <sheetViews>
    <sheetView view="pageBreakPreview" topLeftCell="E1" zoomScale="90" zoomScaleNormal="40" zoomScaleSheetLayoutView="90" workbookViewId="0">
      <pane ySplit="4" topLeftCell="A5" activePane="bottomLeft" state="frozen"/>
      <selection pane="bottomLeft" activeCell="O13" sqref="O13"/>
    </sheetView>
  </sheetViews>
  <sheetFormatPr defaultColWidth="10.28515625" defaultRowHeight="15" customHeight="1"/>
  <cols>
    <col min="1" max="1" width="6.140625" style="228" customWidth="1"/>
    <col min="2" max="2" width="19.5703125" style="228" bestFit="1" customWidth="1"/>
    <col min="3" max="3" width="12.7109375" style="228" bestFit="1" customWidth="1"/>
    <col min="4" max="4" width="12" style="228" customWidth="1"/>
    <col min="5" max="5" width="11.7109375" style="228" bestFit="1" customWidth="1"/>
    <col min="6" max="6" width="11.28515625" style="228" customWidth="1"/>
    <col min="7" max="7" width="7.28515625" style="228" customWidth="1"/>
    <col min="8" max="8" width="11.42578125" style="271" customWidth="1"/>
    <col min="9" max="9" width="32.42578125" style="318" bestFit="1" customWidth="1"/>
    <col min="10" max="10" width="9.28515625" style="271" customWidth="1"/>
    <col min="11" max="11" width="23.140625" style="318" bestFit="1" customWidth="1"/>
    <col min="12" max="12" width="9.28515625" style="271" customWidth="1"/>
    <col min="13" max="13" width="15.42578125" style="331" bestFit="1" customWidth="1"/>
    <col min="14" max="14" width="14.5703125" style="331" customWidth="1"/>
    <col min="15" max="15" width="14.5703125" style="332" customWidth="1"/>
    <col min="16" max="16" width="13.7109375" style="332" customWidth="1"/>
    <col min="17" max="17" width="15.7109375" style="228" bestFit="1" customWidth="1"/>
    <col min="18" max="18" width="12.85546875" style="228" customWidth="1"/>
    <col min="19" max="19" width="12.5703125" style="251" customWidth="1"/>
    <col min="20" max="20" width="16.42578125" style="251" customWidth="1"/>
    <col min="21" max="21" width="16.42578125" style="335" customWidth="1"/>
    <col min="22" max="22" width="18" style="336" customWidth="1"/>
    <col min="23" max="23" width="16.42578125" style="228" customWidth="1"/>
    <col min="24" max="24" width="16.42578125" style="251" customWidth="1"/>
    <col min="25" max="25" width="16.42578125" style="335" customWidth="1"/>
    <col min="26" max="26" width="16.42578125" style="336" customWidth="1"/>
    <col min="27" max="29" width="16.42578125" style="228" customWidth="1"/>
    <col min="30" max="31" width="16.42578125" style="337" customWidth="1"/>
    <col min="32" max="32" width="16.42578125" style="280" customWidth="1"/>
    <col min="33" max="33" width="16.42578125" style="297" customWidth="1"/>
    <col min="34" max="219" width="10.28515625" style="297"/>
    <col min="220" max="16384" width="10.28515625" style="228"/>
  </cols>
  <sheetData>
    <row r="1" spans="1:220" ht="15" customHeight="1">
      <c r="A1" s="224" t="s">
        <v>169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 t="s">
        <v>169</v>
      </c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</row>
    <row r="2" spans="1:220" ht="15" customHeight="1">
      <c r="A2" s="297"/>
      <c r="B2" s="297"/>
      <c r="C2" s="297"/>
      <c r="D2" s="297"/>
      <c r="E2" s="297"/>
      <c r="F2" s="297"/>
      <c r="G2" s="297"/>
      <c r="H2" s="298"/>
      <c r="I2" s="299"/>
      <c r="J2" s="298"/>
      <c r="K2" s="299"/>
      <c r="L2" s="298"/>
      <c r="M2" s="300"/>
      <c r="N2" s="300"/>
      <c r="O2" s="301"/>
      <c r="P2" s="301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</row>
    <row r="3" spans="1:220" s="297" customFormat="1" ht="15" customHeight="1">
      <c r="H3" s="298"/>
      <c r="I3" s="299"/>
      <c r="J3" s="298"/>
      <c r="K3" s="299"/>
      <c r="L3" s="298"/>
      <c r="M3" s="300"/>
      <c r="N3" s="300"/>
      <c r="O3" s="301"/>
      <c r="P3" s="301"/>
      <c r="S3" s="302" t="s">
        <v>246</v>
      </c>
      <c r="T3" s="303"/>
      <c r="U3" s="303"/>
      <c r="V3" s="303"/>
      <c r="W3" s="303"/>
      <c r="X3" s="304"/>
      <c r="Y3" s="305" t="s">
        <v>247</v>
      </c>
      <c r="Z3" s="306"/>
      <c r="AA3" s="306"/>
      <c r="AB3" s="306"/>
      <c r="AC3" s="306"/>
      <c r="AD3" s="307"/>
      <c r="AE3" s="308" t="s">
        <v>248</v>
      </c>
      <c r="AF3" s="309"/>
      <c r="AG3" s="310"/>
    </row>
    <row r="4" spans="1:220" s="317" customFormat="1" ht="26.25" customHeight="1">
      <c r="A4" s="311" t="s">
        <v>34</v>
      </c>
      <c r="B4" s="311" t="s">
        <v>151</v>
      </c>
      <c r="C4" s="311" t="s">
        <v>71</v>
      </c>
      <c r="D4" s="311" t="s">
        <v>70</v>
      </c>
      <c r="E4" s="311" t="s">
        <v>30</v>
      </c>
      <c r="F4" s="311" t="s">
        <v>31</v>
      </c>
      <c r="G4" s="311" t="s">
        <v>125</v>
      </c>
      <c r="H4" s="311" t="s">
        <v>126</v>
      </c>
      <c r="I4" s="312" t="s">
        <v>109</v>
      </c>
      <c r="J4" s="311" t="s">
        <v>23</v>
      </c>
      <c r="K4" s="312" t="s">
        <v>127</v>
      </c>
      <c r="L4" s="311" t="s">
        <v>128</v>
      </c>
      <c r="M4" s="311" t="s">
        <v>40</v>
      </c>
      <c r="N4" s="311" t="s">
        <v>32</v>
      </c>
      <c r="O4" s="311" t="s">
        <v>139</v>
      </c>
      <c r="P4" s="311" t="s">
        <v>74</v>
      </c>
      <c r="Q4" s="311" t="s">
        <v>140</v>
      </c>
      <c r="R4" s="311" t="s">
        <v>131</v>
      </c>
      <c r="S4" s="311" t="s">
        <v>129</v>
      </c>
      <c r="T4" s="311" t="s">
        <v>143</v>
      </c>
      <c r="U4" s="311" t="s">
        <v>144</v>
      </c>
      <c r="V4" s="311" t="s">
        <v>145</v>
      </c>
      <c r="W4" s="311" t="s">
        <v>141</v>
      </c>
      <c r="X4" s="311" t="s">
        <v>142</v>
      </c>
      <c r="Y4" s="311" t="s">
        <v>130</v>
      </c>
      <c r="Z4" s="311" t="s">
        <v>150</v>
      </c>
      <c r="AA4" s="311" t="s">
        <v>146</v>
      </c>
      <c r="AB4" s="311" t="s">
        <v>147</v>
      </c>
      <c r="AC4" s="311" t="s">
        <v>148</v>
      </c>
      <c r="AD4" s="311" t="s">
        <v>149</v>
      </c>
      <c r="AE4" s="313" t="s">
        <v>133</v>
      </c>
      <c r="AF4" s="313" t="s">
        <v>37</v>
      </c>
      <c r="AG4" s="314" t="s">
        <v>36</v>
      </c>
      <c r="AH4" s="315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  <c r="DT4" s="316"/>
      <c r="DU4" s="316"/>
      <c r="DV4" s="316"/>
      <c r="DW4" s="316"/>
      <c r="DX4" s="316"/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316"/>
      <c r="EQ4" s="316"/>
      <c r="ER4" s="316"/>
      <c r="ES4" s="316"/>
      <c r="ET4" s="316"/>
      <c r="EU4" s="316"/>
      <c r="EV4" s="316"/>
      <c r="EW4" s="316"/>
      <c r="EX4" s="316"/>
      <c r="EY4" s="316"/>
      <c r="EZ4" s="316"/>
      <c r="FA4" s="316"/>
      <c r="FB4" s="316"/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316"/>
      <c r="FU4" s="316"/>
      <c r="FV4" s="316"/>
      <c r="FW4" s="316"/>
      <c r="FX4" s="316"/>
      <c r="FY4" s="316"/>
      <c r="FZ4" s="316"/>
      <c r="GA4" s="316"/>
      <c r="GB4" s="316"/>
      <c r="GC4" s="316"/>
      <c r="GD4" s="316"/>
      <c r="GE4" s="316"/>
      <c r="GF4" s="316"/>
      <c r="GG4" s="316"/>
      <c r="GH4" s="316"/>
      <c r="GI4" s="316"/>
      <c r="GJ4" s="316"/>
      <c r="GK4" s="316"/>
      <c r="GL4" s="316"/>
      <c r="GM4" s="316"/>
      <c r="GN4" s="316"/>
      <c r="GO4" s="316"/>
      <c r="GP4" s="316"/>
      <c r="GQ4" s="316"/>
      <c r="GR4" s="316"/>
      <c r="GS4" s="316"/>
      <c r="GT4" s="316"/>
      <c r="GU4" s="316"/>
      <c r="GV4" s="316"/>
      <c r="GW4" s="316"/>
      <c r="GX4" s="316"/>
      <c r="GY4" s="316"/>
      <c r="GZ4" s="316"/>
      <c r="HA4" s="316"/>
      <c r="HB4" s="316"/>
      <c r="HC4" s="316"/>
      <c r="HD4" s="316"/>
      <c r="HE4" s="316"/>
      <c r="HF4" s="316"/>
      <c r="HG4" s="316"/>
      <c r="HH4" s="316"/>
      <c r="HI4" s="316"/>
      <c r="HJ4" s="316"/>
      <c r="HK4" s="316"/>
      <c r="HL4" s="316"/>
    </row>
    <row r="5" spans="1:220" ht="15" customHeight="1">
      <c r="A5" s="271">
        <v>1</v>
      </c>
      <c r="B5" s="271" t="str">
        <f>VLOOKUP(Ruimtestaat[[#This Row],[Code]],Locaties[#All],2,FALSE)</f>
        <v>Hoofdgebouw</v>
      </c>
      <c r="C5" s="271" t="str">
        <f>VLOOKUP(Ruimtestaat[[#This Row],[Code]],Locaties[#All],4,FALSE)</f>
        <v>Sterrenlaan 16</v>
      </c>
      <c r="D5" s="271" t="str">
        <f>VLOOKUP(Ruimtestaat[[#This Row],[Code]],Locaties[#All],5,FALSE)</f>
        <v>5631 KA</v>
      </c>
      <c r="E5" s="271" t="str">
        <f>VLOOKUP(Ruimtestaat[[#This Row],[Code]],Locaties[#All],6,FALSE)</f>
        <v>Eindhoven</v>
      </c>
      <c r="F5" s="318"/>
      <c r="G5" s="271" t="s">
        <v>478</v>
      </c>
      <c r="H5" s="271" t="s">
        <v>479</v>
      </c>
      <c r="I5" s="228" t="s">
        <v>480</v>
      </c>
      <c r="J5" s="271">
        <v>7</v>
      </c>
      <c r="K5" s="318" t="str">
        <f>VLOOKUP(J5,Ruimtegroepen[],2,FALSE)</f>
        <v>Entree</v>
      </c>
      <c r="L5" s="271" t="s">
        <v>112</v>
      </c>
      <c r="M5" s="271" t="s">
        <v>697</v>
      </c>
      <c r="N5" s="319">
        <v>9</v>
      </c>
      <c r="O5" s="319"/>
      <c r="P5" s="320" t="str">
        <f>LEFT(VLOOKUP(Ruimtestaat[[#This Row],[Ruimte code]],Ruimtegroepen[#All],4,1),2)</f>
        <v xml:space="preserve">V </v>
      </c>
      <c r="Q5" s="319"/>
      <c r="R5" s="271">
        <v>40</v>
      </c>
      <c r="S5" s="271" t="s">
        <v>2</v>
      </c>
      <c r="T5" s="321">
        <f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" s="321">
        <f>IF(T5&gt;0,VLOOKUP($J5,Ruimtegroepen[],3,FALSE)*VLOOKUP($L5,Vloersoorten[],3,FALSE)*VLOOKUP($S5,Frequenties[],3,FALSE)*VLOOKUP($A5,Locaties[],3,FALSE),0)</f>
        <v>0</v>
      </c>
      <c r="V5" s="322">
        <f>Ruimtestaat[[#This Row],[Uitvoeringen werkdagen]]*Ruimtestaat[[#This Row],[Oppervlak (netto)]]</f>
        <v>1800</v>
      </c>
      <c r="W5" s="323">
        <f>IF(U5&gt;0,Ruimtestaat[[#This Row],[Prest. (m2 /jaar) werkdagen]]/Ruimtestaat[[#This Row],[Norm (m2/uur) werkdagen]],0)</f>
        <v>0</v>
      </c>
      <c r="X5" s="324">
        <f>Ruimtestaat[[#This Row],[uren / jaar werkdagen]]*Tariefsopbouw!$E$35</f>
        <v>0</v>
      </c>
      <c r="Y5" s="321"/>
      <c r="Z5" s="325">
        <f>IF(Ruimtestaat[[#This Row],[Frequentie weekend]]&gt;0,VALUE(LEFT(Y5,1))*R5,0)</f>
        <v>0</v>
      </c>
      <c r="AA5" s="321">
        <f>IF($Z5&gt;0,VLOOKUP($J5,Ruimtegroepen[],3,FALSE)*VLOOKUP($L5,Vloersoorten[],3,FALSE)*VLOOKUP($Y5,Frequenties[],3,FALSE)*VLOOKUP(#REF!,Locaties[],3,FALSE),0)</f>
        <v>0</v>
      </c>
      <c r="AB5" s="323">
        <f>Ruimtestaat[[#This Row],[Uitvoeringen weekend]]*Ruimtestaat[[#This Row],[Oppervlak (netto)]]</f>
        <v>0</v>
      </c>
      <c r="AC5" s="326">
        <f>IF(AB5&gt;0,Ruimtestaat[[#This Row],[Prest. (m2 /jaar) weekend]]/Ruimtestaat[[#This Row],[Norm (m2/uur) weekend]],0)</f>
        <v>0</v>
      </c>
      <c r="AD5" s="327">
        <f>Ruimtestaat[[#This Row],[uren / jaar weekend]]*Tariefsopbouw!$D$40</f>
        <v>0</v>
      </c>
      <c r="AE5" s="328">
        <f>Ruimtestaat[[#This Row],[Prest. (m2 /jaar) weekend]]+Ruimtestaat[[#This Row],[Prest. (m2 /jaar) werkdagen]]</f>
        <v>1800</v>
      </c>
      <c r="AF5" s="328">
        <f>Ruimtestaat[[#This Row],[uren / jaar weekend]]+Ruimtestaat[[#This Row],[uren / jaar werkdagen]]</f>
        <v>0</v>
      </c>
      <c r="AG5" s="329">
        <f>Ruimtestaat[[#This Row],[kosten / jaar weekend]]+Ruimtestaat[[#This Row],[kosten / jaar werkdagen]]</f>
        <v>0</v>
      </c>
      <c r="AH5" s="330"/>
      <c r="HL5" s="297"/>
    </row>
    <row r="6" spans="1:220" ht="15" customHeight="1">
      <c r="A6" s="271">
        <v>1</v>
      </c>
      <c r="B6" s="271" t="str">
        <f>VLOOKUP(Ruimtestaat[[#This Row],[Code]],Locaties[#All],2,FALSE)</f>
        <v>Hoofdgebouw</v>
      </c>
      <c r="C6" s="271" t="str">
        <f>VLOOKUP(Ruimtestaat[[#This Row],[Code]],Locaties[#All],4,FALSE)</f>
        <v>Sterrenlaan 16</v>
      </c>
      <c r="D6" s="271" t="str">
        <f>VLOOKUP(Ruimtestaat[[#This Row],[Code]],Locaties[#All],5,FALSE)</f>
        <v>5631 KA</v>
      </c>
      <c r="E6" s="271" t="str">
        <f>VLOOKUP(Ruimtestaat[[#This Row],[Code]],Locaties[#All],6,FALSE)</f>
        <v>Eindhoven</v>
      </c>
      <c r="F6" s="318"/>
      <c r="G6" s="271" t="s">
        <v>478</v>
      </c>
      <c r="H6" s="271" t="s">
        <v>481</v>
      </c>
      <c r="I6" s="228" t="s">
        <v>368</v>
      </c>
      <c r="J6" s="271">
        <v>6</v>
      </c>
      <c r="K6" s="318" t="str">
        <f>VLOOKUP(J6,Ruimtegroepen[],2,FALSE)</f>
        <v>Gangen/hallen</v>
      </c>
      <c r="L6" s="271" t="s">
        <v>113</v>
      </c>
      <c r="M6" s="271" t="s">
        <v>373</v>
      </c>
      <c r="N6" s="319">
        <v>119</v>
      </c>
      <c r="O6" s="319"/>
      <c r="P6" s="320" t="str">
        <f>LEFT(VLOOKUP(Ruimtestaat[[#This Row],[Ruimte code]],Ruimtegroepen[#All],4,1),2)</f>
        <v xml:space="preserve">V </v>
      </c>
      <c r="Q6" s="319"/>
      <c r="R6" s="271">
        <v>40</v>
      </c>
      <c r="S6" s="271" t="s">
        <v>2</v>
      </c>
      <c r="T6" s="321">
        <f>IF(R6&gt;0,IF(RIGHT(Ruimtestaat[[#This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" s="321">
        <f>IF(T6&gt;0,VLOOKUP($J6,Ruimtegroepen[],3,FALSE)*VLOOKUP($L6,Vloersoorten[],3,FALSE)*VLOOKUP($S6,Frequenties[],3,FALSE)*VLOOKUP($A6,Locaties[],3,FALSE),0)</f>
        <v>0</v>
      </c>
      <c r="V6" s="322">
        <f>Ruimtestaat[[#This Row],[Uitvoeringen werkdagen]]*Ruimtestaat[[#This Row],[Oppervlak (netto)]]</f>
        <v>23800</v>
      </c>
      <c r="W6" s="323">
        <f>IF(U6&gt;0,Ruimtestaat[[#This Row],[Prest. (m2 /jaar) werkdagen]]/Ruimtestaat[[#This Row],[Norm (m2/uur) werkdagen]],0)</f>
        <v>0</v>
      </c>
      <c r="X6" s="324">
        <f>Ruimtestaat[[#This Row],[uren / jaar werkdagen]]*Tariefsopbouw!$E$35</f>
        <v>0</v>
      </c>
      <c r="Y6" s="321"/>
      <c r="Z6" s="325">
        <f>IF(Ruimtestaat[[#This Row],[Frequentie weekend]]&gt;0,VALUE(LEFT(Y6,1))*R6,0)</f>
        <v>0</v>
      </c>
      <c r="AA6" s="321">
        <f>IF($Z6&gt;0,VLOOKUP($J6,Ruimtegroepen[],3,FALSE)*VLOOKUP($L6,Vloersoorten[],3,FALSE)*VLOOKUP($Y6,Frequenties[],3,FALSE)*VLOOKUP($A1,Locaties[],3,FALSE),0)</f>
        <v>0</v>
      </c>
      <c r="AB6" s="323">
        <f>Ruimtestaat[[#This Row],[Uitvoeringen weekend]]*Ruimtestaat[[#This Row],[Oppervlak (netto)]]</f>
        <v>0</v>
      </c>
      <c r="AC6" s="326">
        <f>IF(AB6&gt;0,Ruimtestaat[[#This Row],[Prest. (m2 /jaar) weekend]]/Ruimtestaat[[#This Row],[Norm (m2/uur) weekend]],0)</f>
        <v>0</v>
      </c>
      <c r="AD6" s="327">
        <f>Ruimtestaat[[#This Row],[uren / jaar weekend]]*Tariefsopbouw!$D$40</f>
        <v>0</v>
      </c>
      <c r="AE6" s="328">
        <f>Ruimtestaat[[#This Row],[Prest. (m2 /jaar) weekend]]+Ruimtestaat[[#This Row],[Prest. (m2 /jaar) werkdagen]]</f>
        <v>23800</v>
      </c>
      <c r="AF6" s="328">
        <f>Ruimtestaat[[#This Row],[uren / jaar weekend]]+Ruimtestaat[[#This Row],[uren / jaar werkdagen]]</f>
        <v>0</v>
      </c>
      <c r="AG6" s="329">
        <f>Ruimtestaat[[#This Row],[kosten / jaar weekend]]+Ruimtestaat[[#This Row],[kosten / jaar werkdagen]]</f>
        <v>0</v>
      </c>
      <c r="AH6" s="330"/>
      <c r="HL6" s="297"/>
    </row>
    <row r="7" spans="1:220" ht="15" customHeight="1">
      <c r="A7" s="271">
        <v>1</v>
      </c>
      <c r="B7" s="271" t="str">
        <f>VLOOKUP(Ruimtestaat[[#This Row],[Code]],Locaties[#All],2,FALSE)</f>
        <v>Hoofdgebouw</v>
      </c>
      <c r="C7" s="271" t="str">
        <f>VLOOKUP(Ruimtestaat[[#This Row],[Code]],Locaties[#All],4,FALSE)</f>
        <v>Sterrenlaan 16</v>
      </c>
      <c r="D7" s="271" t="str">
        <f>VLOOKUP(Ruimtestaat[[#This Row],[Code]],Locaties[#All],5,FALSE)</f>
        <v>5631 KA</v>
      </c>
      <c r="E7" s="271" t="str">
        <f>VLOOKUP(Ruimtestaat[[#This Row],[Code]],Locaties[#All],6,FALSE)</f>
        <v>Eindhoven</v>
      </c>
      <c r="F7" s="318"/>
      <c r="G7" s="271" t="s">
        <v>478</v>
      </c>
      <c r="H7" s="271" t="s">
        <v>482</v>
      </c>
      <c r="I7" s="228" t="s">
        <v>483</v>
      </c>
      <c r="J7" s="271">
        <v>10</v>
      </c>
      <c r="K7" s="318" t="str">
        <f>VLOOKUP(J7,Ruimtegroepen[],2,FALSE)</f>
        <v>Trappenhuizen/lift</v>
      </c>
      <c r="L7" s="271" t="s">
        <v>698</v>
      </c>
      <c r="M7" s="271" t="s">
        <v>699</v>
      </c>
      <c r="N7" s="319">
        <v>11</v>
      </c>
      <c r="O7" s="319"/>
      <c r="P7" s="320" t="str">
        <f>LEFT(VLOOKUP(Ruimtestaat[[#This Row],[Ruimte code]],Ruimtegroepen[#All],4,1),2)</f>
        <v xml:space="preserve">V </v>
      </c>
      <c r="Q7" s="319"/>
      <c r="R7" s="271">
        <v>40</v>
      </c>
      <c r="S7" s="271" t="s">
        <v>2</v>
      </c>
      <c r="T7" s="321">
        <f>IF(R7&gt;0,IF(RIGHT(Ruimtestaat[[#This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" s="321">
        <f>IF(T7&gt;0,VLOOKUP($J7,Ruimtegroepen[],3,FALSE)*VLOOKUP($L7,Vloersoorten[],3,FALSE)*VLOOKUP($S7,Frequenties[],3,FALSE)*VLOOKUP($A7,Locaties[],3,FALSE),0)</f>
        <v>0</v>
      </c>
      <c r="V7" s="322">
        <f>Ruimtestaat[[#This Row],[Uitvoeringen werkdagen]]*Ruimtestaat[[#This Row],[Oppervlak (netto)]]</f>
        <v>2200</v>
      </c>
      <c r="W7" s="323">
        <f>IF(U7&gt;0,Ruimtestaat[[#This Row],[Prest. (m2 /jaar) werkdagen]]/Ruimtestaat[[#This Row],[Norm (m2/uur) werkdagen]],0)</f>
        <v>0</v>
      </c>
      <c r="X7" s="324">
        <f>Ruimtestaat[[#This Row],[uren / jaar werkdagen]]*Tariefsopbouw!$E$35</f>
        <v>0</v>
      </c>
      <c r="Y7" s="321"/>
      <c r="Z7" s="325">
        <f>IF(Ruimtestaat[[#This Row],[Frequentie weekend]]&gt;0,VALUE(LEFT(Y7,1))*R7,0)</f>
        <v>0</v>
      </c>
      <c r="AA7" s="321">
        <f>IF($Z7&gt;0,VLOOKUP($J7,Ruimtegroepen[],3,FALSE)*VLOOKUP($L7,Vloersoorten[],3,FALSE)*VLOOKUP($Y7,Frequenties[],3,FALSE)*VLOOKUP($A2,Locaties[],3,FALSE),0)</f>
        <v>0</v>
      </c>
      <c r="AB7" s="323">
        <f>Ruimtestaat[[#This Row],[Uitvoeringen weekend]]*Ruimtestaat[[#This Row],[Oppervlak (netto)]]</f>
        <v>0</v>
      </c>
      <c r="AC7" s="326">
        <f>IF(AB7&gt;0,Ruimtestaat[[#This Row],[Prest. (m2 /jaar) weekend]]/Ruimtestaat[[#This Row],[Norm (m2/uur) weekend]],0)</f>
        <v>0</v>
      </c>
      <c r="AD7" s="327">
        <f>Ruimtestaat[[#This Row],[uren / jaar weekend]]*Tariefsopbouw!$D$40</f>
        <v>0</v>
      </c>
      <c r="AE7" s="328">
        <f>Ruimtestaat[[#This Row],[Prest. (m2 /jaar) weekend]]+Ruimtestaat[[#This Row],[Prest. (m2 /jaar) werkdagen]]</f>
        <v>2200</v>
      </c>
      <c r="AF7" s="328">
        <f>Ruimtestaat[[#This Row],[uren / jaar weekend]]+Ruimtestaat[[#This Row],[uren / jaar werkdagen]]</f>
        <v>0</v>
      </c>
      <c r="AG7" s="329">
        <f>Ruimtestaat[[#This Row],[kosten / jaar weekend]]+Ruimtestaat[[#This Row],[kosten / jaar werkdagen]]</f>
        <v>0</v>
      </c>
      <c r="AH7" s="330"/>
      <c r="HL7" s="297"/>
    </row>
    <row r="8" spans="1:220" ht="15" customHeight="1">
      <c r="A8" s="271">
        <v>1</v>
      </c>
      <c r="B8" s="271" t="str">
        <f>VLOOKUP(Ruimtestaat[[#This Row],[Code]],Locaties[#All],2,FALSE)</f>
        <v>Hoofdgebouw</v>
      </c>
      <c r="C8" s="271" t="str">
        <f>VLOOKUP(Ruimtestaat[[#This Row],[Code]],Locaties[#All],4,FALSE)</f>
        <v>Sterrenlaan 16</v>
      </c>
      <c r="D8" s="271" t="str">
        <f>VLOOKUP(Ruimtestaat[[#This Row],[Code]],Locaties[#All],5,FALSE)</f>
        <v>5631 KA</v>
      </c>
      <c r="E8" s="271" t="str">
        <f>VLOOKUP(Ruimtestaat[[#This Row],[Code]],Locaties[#All],6,FALSE)</f>
        <v>Eindhoven</v>
      </c>
      <c r="F8" s="318"/>
      <c r="G8" s="271" t="s">
        <v>478</v>
      </c>
      <c r="H8" s="271" t="s">
        <v>484</v>
      </c>
      <c r="I8" s="228" t="s">
        <v>485</v>
      </c>
      <c r="J8" s="271">
        <v>6</v>
      </c>
      <c r="K8" s="318" t="str">
        <f>VLOOKUP(J8,Ruimtegroepen[],2,FALSE)</f>
        <v>Gangen/hallen</v>
      </c>
      <c r="L8" s="271" t="s">
        <v>113</v>
      </c>
      <c r="M8" s="271" t="s">
        <v>373</v>
      </c>
      <c r="N8" s="319">
        <v>7</v>
      </c>
      <c r="O8" s="319"/>
      <c r="P8" s="320" t="str">
        <f>LEFT(VLOOKUP(Ruimtestaat[[#This Row],[Ruimte code]],Ruimtegroepen[#All],4,1),2)</f>
        <v xml:space="preserve">V </v>
      </c>
      <c r="Q8" s="319"/>
      <c r="R8" s="271">
        <v>40</v>
      </c>
      <c r="S8" s="271" t="s">
        <v>2</v>
      </c>
      <c r="T8" s="321">
        <f>IF(R8&gt;0,IF(RIGHT(Ruimtestaat[[#This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" s="321">
        <f>IF(T8&gt;0,VLOOKUP($J8,Ruimtegroepen[],3,FALSE)*VLOOKUP($L8,Vloersoorten[],3,FALSE)*VLOOKUP($S8,Frequenties[],3,FALSE)*VLOOKUP($A8,Locaties[],3,FALSE),0)</f>
        <v>0</v>
      </c>
      <c r="V8" s="322">
        <f>Ruimtestaat[[#This Row],[Uitvoeringen werkdagen]]*Ruimtestaat[[#This Row],[Oppervlak (netto)]]</f>
        <v>1400</v>
      </c>
      <c r="W8" s="323">
        <f>IF(U8&gt;0,Ruimtestaat[[#This Row],[Prest. (m2 /jaar) werkdagen]]/Ruimtestaat[[#This Row],[Norm (m2/uur) werkdagen]],0)</f>
        <v>0</v>
      </c>
      <c r="X8" s="324">
        <f>Ruimtestaat[[#This Row],[uren / jaar werkdagen]]*Tariefsopbouw!$E$35</f>
        <v>0</v>
      </c>
      <c r="Y8" s="321"/>
      <c r="Z8" s="325">
        <f>IF(Ruimtestaat[[#This Row],[Frequentie weekend]]&gt;0,VALUE(LEFT(Y8,1))*R8,0)</f>
        <v>0</v>
      </c>
      <c r="AA8" s="321">
        <f>IF($Z8&gt;0,VLOOKUP($J8,Ruimtegroepen[],3,FALSE)*VLOOKUP($L8,Vloersoorten[],3,FALSE)*VLOOKUP($Y8,Frequenties[],3,FALSE)*VLOOKUP($A3,Locaties[],3,FALSE),0)</f>
        <v>0</v>
      </c>
      <c r="AB8" s="323">
        <f>Ruimtestaat[[#This Row],[Uitvoeringen weekend]]*Ruimtestaat[[#This Row],[Oppervlak (netto)]]</f>
        <v>0</v>
      </c>
      <c r="AC8" s="326">
        <f>IF(AB8&gt;0,Ruimtestaat[[#This Row],[Prest. (m2 /jaar) weekend]]/Ruimtestaat[[#This Row],[Norm (m2/uur) weekend]],0)</f>
        <v>0</v>
      </c>
      <c r="AD8" s="327">
        <f>Ruimtestaat[[#This Row],[uren / jaar weekend]]*Tariefsopbouw!$D$40</f>
        <v>0</v>
      </c>
      <c r="AE8" s="328">
        <f>Ruimtestaat[[#This Row],[Prest. (m2 /jaar) weekend]]+Ruimtestaat[[#This Row],[Prest. (m2 /jaar) werkdagen]]</f>
        <v>1400</v>
      </c>
      <c r="AF8" s="328">
        <f>Ruimtestaat[[#This Row],[uren / jaar weekend]]+Ruimtestaat[[#This Row],[uren / jaar werkdagen]]</f>
        <v>0</v>
      </c>
      <c r="AG8" s="329">
        <f>Ruimtestaat[[#This Row],[kosten / jaar weekend]]+Ruimtestaat[[#This Row],[kosten / jaar werkdagen]]</f>
        <v>0</v>
      </c>
      <c r="AH8" s="330"/>
      <c r="HL8" s="297"/>
    </row>
    <row r="9" spans="1:220" ht="15" customHeight="1">
      <c r="A9" s="271">
        <v>1</v>
      </c>
      <c r="B9" s="271" t="str">
        <f>VLOOKUP(Ruimtestaat[[#This Row],[Code]],Locaties[#All],2,FALSE)</f>
        <v>Hoofdgebouw</v>
      </c>
      <c r="C9" s="271" t="str">
        <f>VLOOKUP(Ruimtestaat[[#This Row],[Code]],Locaties[#All],4,FALSE)</f>
        <v>Sterrenlaan 16</v>
      </c>
      <c r="D9" s="271" t="str">
        <f>VLOOKUP(Ruimtestaat[[#This Row],[Code]],Locaties[#All],5,FALSE)</f>
        <v>5631 KA</v>
      </c>
      <c r="E9" s="271" t="str">
        <f>VLOOKUP(Ruimtestaat[[#This Row],[Code]],Locaties[#All],6,FALSE)</f>
        <v>Eindhoven</v>
      </c>
      <c r="F9" s="318"/>
      <c r="G9" s="271" t="s">
        <v>478</v>
      </c>
      <c r="H9" s="271" t="s">
        <v>486</v>
      </c>
      <c r="I9" s="228" t="s">
        <v>487</v>
      </c>
      <c r="J9" s="271">
        <v>5</v>
      </c>
      <c r="K9" s="318" t="str">
        <f>VLOOKUP(J9,Ruimtegroepen[],2,FALSE)</f>
        <v>Sanitair</v>
      </c>
      <c r="L9" s="271" t="s">
        <v>114</v>
      </c>
      <c r="M9" s="271" t="s">
        <v>700</v>
      </c>
      <c r="N9" s="319">
        <v>12</v>
      </c>
      <c r="O9" s="319"/>
      <c r="P9" s="320" t="str">
        <f>LEFT(VLOOKUP(Ruimtestaat[[#This Row],[Ruimte code]],Ruimtegroepen[#All],4,1),2)</f>
        <v xml:space="preserve">S </v>
      </c>
      <c r="Q9" s="319"/>
      <c r="R9" s="271">
        <v>42</v>
      </c>
      <c r="S9" s="271" t="s">
        <v>2</v>
      </c>
      <c r="T9" s="321">
        <f>IF(R9&gt;0,IF(RIGHT(Ruimtestaat[[#This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9" s="321">
        <f>IF(T9&gt;0,VLOOKUP($J9,Ruimtegroepen[],3,FALSE)*VLOOKUP($L9,Vloersoorten[],3,FALSE)*VLOOKUP($S9,Frequenties[],3,FALSE)*VLOOKUP($A9,Locaties[],3,FALSE),0)</f>
        <v>0</v>
      </c>
      <c r="V9" s="322">
        <f>Ruimtestaat[[#This Row],[Uitvoeringen werkdagen]]*Ruimtestaat[[#This Row],[Oppervlak (netto)]]</f>
        <v>2520</v>
      </c>
      <c r="W9" s="323">
        <f>IF(U9&gt;0,Ruimtestaat[[#This Row],[Prest. (m2 /jaar) werkdagen]]/Ruimtestaat[[#This Row],[Norm (m2/uur) werkdagen]],0)</f>
        <v>0</v>
      </c>
      <c r="X9" s="324">
        <f>Ruimtestaat[[#This Row],[uren / jaar werkdagen]]*Tariefsopbouw!$E$35</f>
        <v>0</v>
      </c>
      <c r="Y9" s="321"/>
      <c r="Z9" s="325">
        <f>IF(Ruimtestaat[[#This Row],[Frequentie weekend]]&gt;0,VALUE(LEFT(Y9,1))*R9,0)</f>
        <v>0</v>
      </c>
      <c r="AA9" s="321">
        <f>IF($Z9&gt;0,VLOOKUP($J9,Ruimtegroepen[],3,FALSE)*VLOOKUP($L9,Vloersoorten[],3,FALSE)*VLOOKUP($Y9,Frequenties[],3,FALSE)*VLOOKUP($A4,Locaties[],3,FALSE),0)</f>
        <v>0</v>
      </c>
      <c r="AB9" s="323">
        <f>Ruimtestaat[[#This Row],[Uitvoeringen weekend]]*Ruimtestaat[[#This Row],[Oppervlak (netto)]]</f>
        <v>0</v>
      </c>
      <c r="AC9" s="326">
        <f>IF(AB9&gt;0,Ruimtestaat[[#This Row],[Prest. (m2 /jaar) weekend]]/Ruimtestaat[[#This Row],[Norm (m2/uur) weekend]],0)</f>
        <v>0</v>
      </c>
      <c r="AD9" s="327">
        <f>Ruimtestaat[[#This Row],[uren / jaar weekend]]*Tariefsopbouw!$D$40</f>
        <v>0</v>
      </c>
      <c r="AE9" s="328">
        <f>Ruimtestaat[[#This Row],[Prest. (m2 /jaar) weekend]]+Ruimtestaat[[#This Row],[Prest. (m2 /jaar) werkdagen]]</f>
        <v>2520</v>
      </c>
      <c r="AF9" s="328">
        <f>Ruimtestaat[[#This Row],[uren / jaar weekend]]+Ruimtestaat[[#This Row],[uren / jaar werkdagen]]</f>
        <v>0</v>
      </c>
      <c r="AG9" s="329">
        <f>Ruimtestaat[[#This Row],[kosten / jaar weekend]]+Ruimtestaat[[#This Row],[kosten / jaar werkdagen]]</f>
        <v>0</v>
      </c>
      <c r="AH9" s="330"/>
      <c r="HL9" s="297"/>
    </row>
    <row r="10" spans="1:220" ht="15" customHeight="1">
      <c r="A10" s="271">
        <v>1</v>
      </c>
      <c r="B10" s="271" t="str">
        <f>VLOOKUP(Ruimtestaat[[#This Row],[Code]],Locaties[#All],2,FALSE)</f>
        <v>Hoofdgebouw</v>
      </c>
      <c r="C10" s="271" t="str">
        <f>VLOOKUP(Ruimtestaat[[#This Row],[Code]],Locaties[#All],4,FALSE)</f>
        <v>Sterrenlaan 16</v>
      </c>
      <c r="D10" s="271" t="str">
        <f>VLOOKUP(Ruimtestaat[[#This Row],[Code]],Locaties[#All],5,FALSE)</f>
        <v>5631 KA</v>
      </c>
      <c r="E10" s="271" t="str">
        <f>VLOOKUP(Ruimtestaat[[#This Row],[Code]],Locaties[#All],6,FALSE)</f>
        <v>Eindhoven</v>
      </c>
      <c r="F10" s="318"/>
      <c r="G10" s="271" t="s">
        <v>478</v>
      </c>
      <c r="H10" s="271" t="s">
        <v>488</v>
      </c>
      <c r="I10" s="228" t="s">
        <v>489</v>
      </c>
      <c r="J10" s="271">
        <v>5</v>
      </c>
      <c r="K10" s="318" t="str">
        <f>VLOOKUP(J10,Ruimtegroepen[],2,FALSE)</f>
        <v>Sanitair</v>
      </c>
      <c r="L10" s="271" t="s">
        <v>114</v>
      </c>
      <c r="M10" s="271" t="s">
        <v>700</v>
      </c>
      <c r="N10" s="319">
        <v>13</v>
      </c>
      <c r="O10" s="319"/>
      <c r="P10" s="320" t="str">
        <f>LEFT(VLOOKUP(Ruimtestaat[[#This Row],[Ruimte code]],Ruimtegroepen[#All],4,1),2)</f>
        <v xml:space="preserve">S </v>
      </c>
      <c r="Q10" s="319"/>
      <c r="R10" s="271">
        <v>42</v>
      </c>
      <c r="S10" s="271" t="s">
        <v>2</v>
      </c>
      <c r="T10" s="321">
        <f>IF(R10&gt;0,IF(RIGHT(Ruimtestaat[[#This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10" s="321">
        <f>IF(T10&gt;0,VLOOKUP($J10,Ruimtegroepen[],3,FALSE)*VLOOKUP($L10,Vloersoorten[],3,FALSE)*VLOOKUP($S10,Frequenties[],3,FALSE)*VLOOKUP($A10,Locaties[],3,FALSE),0)</f>
        <v>0</v>
      </c>
      <c r="V10" s="322">
        <f>Ruimtestaat[[#This Row],[Uitvoeringen werkdagen]]*Ruimtestaat[[#This Row],[Oppervlak (netto)]]</f>
        <v>2730</v>
      </c>
      <c r="W10" s="323">
        <f>IF(U10&gt;0,Ruimtestaat[[#This Row],[Prest. (m2 /jaar) werkdagen]]/Ruimtestaat[[#This Row],[Norm (m2/uur) werkdagen]],0)</f>
        <v>0</v>
      </c>
      <c r="X10" s="324">
        <f>Ruimtestaat[[#This Row],[uren / jaar werkdagen]]*Tariefsopbouw!$E$35</f>
        <v>0</v>
      </c>
      <c r="Y10" s="321"/>
      <c r="Z10" s="325">
        <f>IF(Ruimtestaat[[#This Row],[Frequentie weekend]]&gt;0,VALUE(LEFT(Y10,1))*R10,0)</f>
        <v>0</v>
      </c>
      <c r="AA10" s="321">
        <f>IF($Z10&gt;0,VLOOKUP($J10,Ruimtegroepen[],3,FALSE)*VLOOKUP($L10,Vloersoorten[],3,FALSE)*VLOOKUP($Y10,Frequenties[],3,FALSE)*VLOOKUP($A6,Locaties[],3,FALSE),0)</f>
        <v>0</v>
      </c>
      <c r="AB10" s="323">
        <f>Ruimtestaat[[#This Row],[Uitvoeringen weekend]]*Ruimtestaat[[#This Row],[Oppervlak (netto)]]</f>
        <v>0</v>
      </c>
      <c r="AC10" s="326">
        <f>IF(AB10&gt;0,Ruimtestaat[[#This Row],[Prest. (m2 /jaar) weekend]]/Ruimtestaat[[#This Row],[Norm (m2/uur) weekend]],0)</f>
        <v>0</v>
      </c>
      <c r="AD10" s="327">
        <f>Ruimtestaat[[#This Row],[uren / jaar weekend]]*Tariefsopbouw!$D$40</f>
        <v>0</v>
      </c>
      <c r="AE10" s="328">
        <f>Ruimtestaat[[#This Row],[Prest. (m2 /jaar) weekend]]+Ruimtestaat[[#This Row],[Prest. (m2 /jaar) werkdagen]]</f>
        <v>2730</v>
      </c>
      <c r="AF10" s="328">
        <f>Ruimtestaat[[#This Row],[uren / jaar weekend]]+Ruimtestaat[[#This Row],[uren / jaar werkdagen]]</f>
        <v>0</v>
      </c>
      <c r="AG10" s="329">
        <f>Ruimtestaat[[#This Row],[kosten / jaar weekend]]+Ruimtestaat[[#This Row],[kosten / jaar werkdagen]]</f>
        <v>0</v>
      </c>
      <c r="AH10" s="330"/>
      <c r="HL10" s="297"/>
    </row>
    <row r="11" spans="1:220" ht="15" customHeight="1">
      <c r="A11" s="271">
        <v>1</v>
      </c>
      <c r="B11" s="271" t="str">
        <f>VLOOKUP(Ruimtestaat[[#This Row],[Code]],Locaties[#All],2,FALSE)</f>
        <v>Hoofdgebouw</v>
      </c>
      <c r="C11" s="271" t="str">
        <f>VLOOKUP(Ruimtestaat[[#This Row],[Code]],Locaties[#All],4,FALSE)</f>
        <v>Sterrenlaan 16</v>
      </c>
      <c r="D11" s="271" t="str">
        <f>VLOOKUP(Ruimtestaat[[#This Row],[Code]],Locaties[#All],5,FALSE)</f>
        <v>5631 KA</v>
      </c>
      <c r="E11" s="271" t="str">
        <f>VLOOKUP(Ruimtestaat[[#This Row],[Code]],Locaties[#All],6,FALSE)</f>
        <v>Eindhoven</v>
      </c>
      <c r="F11" s="318"/>
      <c r="G11" s="271" t="s">
        <v>478</v>
      </c>
      <c r="H11" s="271" t="s">
        <v>490</v>
      </c>
      <c r="I11" s="228" t="s">
        <v>491</v>
      </c>
      <c r="J11" s="271">
        <v>20</v>
      </c>
      <c r="K11" s="318" t="str">
        <f>VLOOKUP(J11,Ruimtegroepen[],2,FALSE)</f>
        <v>Niet in onderhoud</v>
      </c>
      <c r="M11" s="271"/>
      <c r="N11" s="319"/>
      <c r="O11" s="319">
        <v>2</v>
      </c>
      <c r="P11" s="320" t="str">
        <f>LEFT(VLOOKUP(Ruimtestaat[[#This Row],[Ruimte code]],Ruimtegroepen[#All],4,1),2)</f>
        <v/>
      </c>
      <c r="Q11" s="319"/>
      <c r="R11" s="271"/>
      <c r="S11" s="271"/>
      <c r="T11" s="321">
        <f>IF(R11&gt;0,IF(RIGHT(Ruimtestaat[[#This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" s="321">
        <f>IF(T11&gt;0,VLOOKUP($J11,Ruimtegroepen[],3,FALSE)*VLOOKUP($L11,Vloersoorten[],3,FALSE)*VLOOKUP($S11,Frequenties[],3,FALSE)*VLOOKUP($A11,Locaties[],3,FALSE),0)</f>
        <v>0</v>
      </c>
      <c r="V11" s="322">
        <f>Ruimtestaat[[#This Row],[Uitvoeringen werkdagen]]*Ruimtestaat[[#This Row],[Oppervlak (netto)]]</f>
        <v>0</v>
      </c>
      <c r="W11" s="323">
        <f>IF(U11&gt;0,Ruimtestaat[[#This Row],[Prest. (m2 /jaar) werkdagen]]/Ruimtestaat[[#This Row],[Norm (m2/uur) werkdagen]],0)</f>
        <v>0</v>
      </c>
      <c r="X11" s="324">
        <f>Ruimtestaat[[#This Row],[uren / jaar werkdagen]]*Tariefsopbouw!$E$35</f>
        <v>0</v>
      </c>
      <c r="Y11" s="321"/>
      <c r="Z11" s="325">
        <f>IF(Ruimtestaat[[#This Row],[Frequentie weekend]]&gt;0,VALUE(LEFT(Y11,1))*R11,0)</f>
        <v>0</v>
      </c>
      <c r="AA11" s="321">
        <f>IF($Z11&gt;0,VLOOKUP($J11,Ruimtegroepen[],3,FALSE)*VLOOKUP($L11,Vloersoorten[],3,FALSE)*VLOOKUP($Y11,Frequenties[],3,FALSE)*VLOOKUP($A7,Locaties[],3,FALSE),0)</f>
        <v>0</v>
      </c>
      <c r="AB11" s="323">
        <f>Ruimtestaat[[#This Row],[Uitvoeringen weekend]]*Ruimtestaat[[#This Row],[Oppervlak (netto)]]</f>
        <v>0</v>
      </c>
      <c r="AC11" s="326">
        <f>IF(AB11&gt;0,Ruimtestaat[[#This Row],[Prest. (m2 /jaar) weekend]]/Ruimtestaat[[#This Row],[Norm (m2/uur) weekend]],0)</f>
        <v>0</v>
      </c>
      <c r="AD11" s="327">
        <f>Ruimtestaat[[#This Row],[uren / jaar weekend]]*Tariefsopbouw!$D$40</f>
        <v>0</v>
      </c>
      <c r="AE11" s="328">
        <f>Ruimtestaat[[#This Row],[Prest. (m2 /jaar) weekend]]+Ruimtestaat[[#This Row],[Prest. (m2 /jaar) werkdagen]]</f>
        <v>0</v>
      </c>
      <c r="AF11" s="328">
        <f>Ruimtestaat[[#This Row],[uren / jaar weekend]]+Ruimtestaat[[#This Row],[uren / jaar werkdagen]]</f>
        <v>0</v>
      </c>
      <c r="AG11" s="329">
        <f>Ruimtestaat[[#This Row],[kosten / jaar weekend]]+Ruimtestaat[[#This Row],[kosten / jaar werkdagen]]</f>
        <v>0</v>
      </c>
      <c r="AH11" s="330"/>
      <c r="HL11" s="297"/>
    </row>
    <row r="12" spans="1:220" ht="15" customHeight="1">
      <c r="A12" s="271">
        <v>1</v>
      </c>
      <c r="B12" s="271" t="str">
        <f>VLOOKUP(Ruimtestaat[[#This Row],[Code]],Locaties[#All],2,FALSE)</f>
        <v>Hoofdgebouw</v>
      </c>
      <c r="C12" s="271" t="str">
        <f>VLOOKUP(Ruimtestaat[[#This Row],[Code]],Locaties[#All],4,FALSE)</f>
        <v>Sterrenlaan 16</v>
      </c>
      <c r="D12" s="271" t="str">
        <f>VLOOKUP(Ruimtestaat[[#This Row],[Code]],Locaties[#All],5,FALSE)</f>
        <v>5631 KA</v>
      </c>
      <c r="E12" s="271" t="str">
        <f>VLOOKUP(Ruimtestaat[[#This Row],[Code]],Locaties[#All],6,FALSE)</f>
        <v>Eindhoven</v>
      </c>
      <c r="F12" s="318"/>
      <c r="G12" s="271" t="s">
        <v>478</v>
      </c>
      <c r="H12" s="271" t="s">
        <v>492</v>
      </c>
      <c r="I12" s="228" t="s">
        <v>250</v>
      </c>
      <c r="J12" s="271">
        <v>10</v>
      </c>
      <c r="K12" s="318" t="str">
        <f>VLOOKUP(J12,Ruimtegroepen[],2,FALSE)</f>
        <v>Trappenhuizen/lift</v>
      </c>
      <c r="L12" s="271" t="s">
        <v>115</v>
      </c>
      <c r="M12" s="271" t="s">
        <v>701</v>
      </c>
      <c r="N12" s="319">
        <v>2</v>
      </c>
      <c r="O12" s="319"/>
      <c r="P12" s="320" t="str">
        <f>LEFT(VLOOKUP(Ruimtestaat[[#This Row],[Ruimte code]],Ruimtegroepen[#All],4,1),2)</f>
        <v xml:space="preserve">V </v>
      </c>
      <c r="Q12" s="319"/>
      <c r="R12" s="271">
        <v>40</v>
      </c>
      <c r="S12" s="271" t="s">
        <v>2</v>
      </c>
      <c r="T12" s="321">
        <f>IF(R12&gt;0,IF(RIGHT(Ruimtestaat[[#This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" s="321">
        <f>IF(T12&gt;0,VLOOKUP($J12,Ruimtegroepen[],3,FALSE)*VLOOKUP($L12,Vloersoorten[],3,FALSE)*VLOOKUP($S12,Frequenties[],3,FALSE)*VLOOKUP($A12,Locaties[],3,FALSE),0)</f>
        <v>0</v>
      </c>
      <c r="V12" s="322">
        <f>Ruimtestaat[[#This Row],[Uitvoeringen werkdagen]]*Ruimtestaat[[#This Row],[Oppervlak (netto)]]</f>
        <v>400</v>
      </c>
      <c r="W12" s="323">
        <f>IF(U12&gt;0,Ruimtestaat[[#This Row],[Prest. (m2 /jaar) werkdagen]]/Ruimtestaat[[#This Row],[Norm (m2/uur) werkdagen]],0)</f>
        <v>0</v>
      </c>
      <c r="X12" s="324">
        <f>Ruimtestaat[[#This Row],[uren / jaar werkdagen]]*Tariefsopbouw!$E$35</f>
        <v>0</v>
      </c>
      <c r="Y12" s="321"/>
      <c r="Z12" s="325">
        <f>IF(Ruimtestaat[[#This Row],[Frequentie weekend]]&gt;0,VALUE(LEFT(Y12,1))*R12,0)</f>
        <v>0</v>
      </c>
      <c r="AA12" s="321">
        <f>IF($Z12&gt;0,VLOOKUP($J12,Ruimtegroepen[],3,FALSE)*VLOOKUP($L12,Vloersoorten[],3,FALSE)*VLOOKUP($Y12,Frequenties[],3,FALSE)*VLOOKUP($A8,Locaties[],3,FALSE),0)</f>
        <v>0</v>
      </c>
      <c r="AB12" s="323">
        <f>Ruimtestaat[[#This Row],[Uitvoeringen weekend]]*Ruimtestaat[[#This Row],[Oppervlak (netto)]]</f>
        <v>0</v>
      </c>
      <c r="AC12" s="326">
        <f>IF(AB12&gt;0,Ruimtestaat[[#This Row],[Prest. (m2 /jaar) weekend]]/Ruimtestaat[[#This Row],[Norm (m2/uur) weekend]],0)</f>
        <v>0</v>
      </c>
      <c r="AD12" s="327">
        <f>Ruimtestaat[[#This Row],[uren / jaar weekend]]*Tariefsopbouw!$D$40</f>
        <v>0</v>
      </c>
      <c r="AE12" s="328">
        <f>Ruimtestaat[[#This Row],[Prest. (m2 /jaar) weekend]]+Ruimtestaat[[#This Row],[Prest. (m2 /jaar) werkdagen]]</f>
        <v>400</v>
      </c>
      <c r="AF12" s="328">
        <f>Ruimtestaat[[#This Row],[uren / jaar weekend]]+Ruimtestaat[[#This Row],[uren / jaar werkdagen]]</f>
        <v>0</v>
      </c>
      <c r="AG12" s="329">
        <f>Ruimtestaat[[#This Row],[kosten / jaar weekend]]+Ruimtestaat[[#This Row],[kosten / jaar werkdagen]]</f>
        <v>0</v>
      </c>
      <c r="AH12" s="330"/>
      <c r="HL12" s="297"/>
    </row>
    <row r="13" spans="1:220" ht="15" customHeight="1">
      <c r="A13" s="271">
        <v>1</v>
      </c>
      <c r="B13" s="271" t="str">
        <f>VLOOKUP(Ruimtestaat[[#This Row],[Code]],Locaties[#All],2,FALSE)</f>
        <v>Hoofdgebouw</v>
      </c>
      <c r="C13" s="271" t="str">
        <f>VLOOKUP(Ruimtestaat[[#This Row],[Code]],Locaties[#All],4,FALSE)</f>
        <v>Sterrenlaan 16</v>
      </c>
      <c r="D13" s="271" t="str">
        <f>VLOOKUP(Ruimtestaat[[#This Row],[Code]],Locaties[#All],5,FALSE)</f>
        <v>5631 KA</v>
      </c>
      <c r="E13" s="271" t="str">
        <f>VLOOKUP(Ruimtestaat[[#This Row],[Code]],Locaties[#All],6,FALSE)</f>
        <v>Eindhoven</v>
      </c>
      <c r="F13" s="318"/>
      <c r="G13" s="271" t="s">
        <v>478</v>
      </c>
      <c r="H13" s="271" t="s">
        <v>493</v>
      </c>
      <c r="I13" s="228" t="s">
        <v>368</v>
      </c>
      <c r="J13" s="271">
        <v>6</v>
      </c>
      <c r="K13" s="318" t="str">
        <f>VLOOKUP(J13,Ruimtegroepen[],2,FALSE)</f>
        <v>Gangen/hallen</v>
      </c>
      <c r="L13" s="271" t="s">
        <v>113</v>
      </c>
      <c r="M13" s="271" t="s">
        <v>373</v>
      </c>
      <c r="N13" s="319">
        <v>160</v>
      </c>
      <c r="O13" s="319"/>
      <c r="P13" s="320" t="str">
        <f>LEFT(VLOOKUP(Ruimtestaat[[#This Row],[Ruimte code]],Ruimtegroepen[#All],4,1),2)</f>
        <v xml:space="preserve">V </v>
      </c>
      <c r="Q13" s="319"/>
      <c r="R13" s="271">
        <v>40</v>
      </c>
      <c r="S13" s="271" t="s">
        <v>2</v>
      </c>
      <c r="T13" s="321">
        <f>IF(R13&gt;0,IF(RIGHT(Ruimtestaat[[#This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" s="321">
        <f>IF(T13&gt;0,VLOOKUP($J13,Ruimtegroepen[],3,FALSE)*VLOOKUP($L13,Vloersoorten[],3,FALSE)*VLOOKUP($S13,Frequenties[],3,FALSE)*VLOOKUP($A13,Locaties[],3,FALSE),0)</f>
        <v>0</v>
      </c>
      <c r="V13" s="322">
        <f>Ruimtestaat[[#This Row],[Uitvoeringen werkdagen]]*Ruimtestaat[[#This Row],[Oppervlak (netto)]]</f>
        <v>32000</v>
      </c>
      <c r="W13" s="323">
        <f>IF(U13&gt;0,Ruimtestaat[[#This Row],[Prest. (m2 /jaar) werkdagen]]/Ruimtestaat[[#This Row],[Norm (m2/uur) werkdagen]],0)</f>
        <v>0</v>
      </c>
      <c r="X13" s="324">
        <f>Ruimtestaat[[#This Row],[uren / jaar werkdagen]]*Tariefsopbouw!$E$35</f>
        <v>0</v>
      </c>
      <c r="Y13" s="321"/>
      <c r="Z13" s="325">
        <f>IF(Ruimtestaat[[#This Row],[Frequentie weekend]]&gt;0,VALUE(LEFT(Y13,1))*R13,0)</f>
        <v>0</v>
      </c>
      <c r="AA13" s="321">
        <f>IF($Z13&gt;0,VLOOKUP($J13,Ruimtegroepen[],3,FALSE)*VLOOKUP($L13,Vloersoorten[],3,FALSE)*VLOOKUP($Y13,Frequenties[],3,FALSE)*VLOOKUP($A9,Locaties[],3,FALSE),0)</f>
        <v>0</v>
      </c>
      <c r="AB13" s="323">
        <f>Ruimtestaat[[#This Row],[Uitvoeringen weekend]]*Ruimtestaat[[#This Row],[Oppervlak (netto)]]</f>
        <v>0</v>
      </c>
      <c r="AC13" s="326">
        <f>IF(AB13&gt;0,Ruimtestaat[[#This Row],[Prest. (m2 /jaar) weekend]]/Ruimtestaat[[#This Row],[Norm (m2/uur) weekend]],0)</f>
        <v>0</v>
      </c>
      <c r="AD13" s="327">
        <f>Ruimtestaat[[#This Row],[uren / jaar weekend]]*Tariefsopbouw!$D$40</f>
        <v>0</v>
      </c>
      <c r="AE13" s="328">
        <f>Ruimtestaat[[#This Row],[Prest. (m2 /jaar) weekend]]+Ruimtestaat[[#This Row],[Prest. (m2 /jaar) werkdagen]]</f>
        <v>32000</v>
      </c>
      <c r="AF13" s="328">
        <f>Ruimtestaat[[#This Row],[uren / jaar weekend]]+Ruimtestaat[[#This Row],[uren / jaar werkdagen]]</f>
        <v>0</v>
      </c>
      <c r="AG13" s="329">
        <f>Ruimtestaat[[#This Row],[kosten / jaar weekend]]+Ruimtestaat[[#This Row],[kosten / jaar werkdagen]]</f>
        <v>0</v>
      </c>
      <c r="AH13" s="330"/>
      <c r="HL13" s="297"/>
    </row>
    <row r="14" spans="1:220" ht="15" customHeight="1">
      <c r="A14" s="271">
        <v>1</v>
      </c>
      <c r="B14" s="271" t="str">
        <f>VLOOKUP(Ruimtestaat[[#This Row],[Code]],Locaties[#All],2,FALSE)</f>
        <v>Hoofdgebouw</v>
      </c>
      <c r="C14" s="271" t="str">
        <f>VLOOKUP(Ruimtestaat[[#This Row],[Code]],Locaties[#All],4,FALSE)</f>
        <v>Sterrenlaan 16</v>
      </c>
      <c r="D14" s="271" t="str">
        <f>VLOOKUP(Ruimtestaat[[#This Row],[Code]],Locaties[#All],5,FALSE)</f>
        <v>5631 KA</v>
      </c>
      <c r="E14" s="271" t="str">
        <f>VLOOKUP(Ruimtestaat[[#This Row],[Code]],Locaties[#All],6,FALSE)</f>
        <v>Eindhoven</v>
      </c>
      <c r="F14" s="318"/>
      <c r="G14" s="271" t="s">
        <v>478</v>
      </c>
      <c r="H14" s="271" t="s">
        <v>494</v>
      </c>
      <c r="I14" s="228" t="s">
        <v>495</v>
      </c>
      <c r="J14" s="271">
        <v>10</v>
      </c>
      <c r="K14" s="318" t="str">
        <f>VLOOKUP(J14,Ruimtegroepen[],2,FALSE)</f>
        <v>Trappenhuizen/lift</v>
      </c>
      <c r="L14" s="271" t="s">
        <v>112</v>
      </c>
      <c r="M14" s="271" t="s">
        <v>39</v>
      </c>
      <c r="N14" s="319">
        <v>21</v>
      </c>
      <c r="O14" s="319"/>
      <c r="P14" s="320" t="str">
        <f>LEFT(VLOOKUP(Ruimtestaat[[#This Row],[Ruimte code]],Ruimtegroepen[#All],4,1),2)</f>
        <v xml:space="preserve">V </v>
      </c>
      <c r="Q14" s="319"/>
      <c r="R14" s="271">
        <v>40</v>
      </c>
      <c r="S14" s="271" t="s">
        <v>2</v>
      </c>
      <c r="T14" s="321">
        <f>IF(R14&gt;0,IF(RIGHT(Ruimtestaat[[#This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" s="321">
        <f>IF(T14&gt;0,VLOOKUP($J14,Ruimtegroepen[],3,FALSE)*VLOOKUP($L14,Vloersoorten[],3,FALSE)*VLOOKUP($S14,Frequenties[],3,FALSE)*VLOOKUP($A14,Locaties[],3,FALSE),0)</f>
        <v>0</v>
      </c>
      <c r="V14" s="322">
        <f>Ruimtestaat[[#This Row],[Uitvoeringen werkdagen]]*Ruimtestaat[[#This Row],[Oppervlak (netto)]]</f>
        <v>4200</v>
      </c>
      <c r="W14" s="323">
        <f>IF(U14&gt;0,Ruimtestaat[[#This Row],[Prest. (m2 /jaar) werkdagen]]/Ruimtestaat[[#This Row],[Norm (m2/uur) werkdagen]],0)</f>
        <v>0</v>
      </c>
      <c r="X14" s="324">
        <f>Ruimtestaat[[#This Row],[uren / jaar werkdagen]]*Tariefsopbouw!$E$35</f>
        <v>0</v>
      </c>
      <c r="Y14" s="321"/>
      <c r="Z14" s="325">
        <f>IF(Ruimtestaat[[#This Row],[Frequentie weekend]]&gt;0,VALUE(LEFT(Y14,1))*R14,0)</f>
        <v>0</v>
      </c>
      <c r="AA14" s="321">
        <f>IF($Z14&gt;0,VLOOKUP($J14,Ruimtegroepen[],3,FALSE)*VLOOKUP($L14,Vloersoorten[],3,FALSE)*VLOOKUP($Y14,Frequenties[],3,FALSE)*VLOOKUP($A10,Locaties[],3,FALSE),0)</f>
        <v>0</v>
      </c>
      <c r="AB14" s="323">
        <f>Ruimtestaat[[#This Row],[Uitvoeringen weekend]]*Ruimtestaat[[#This Row],[Oppervlak (netto)]]</f>
        <v>0</v>
      </c>
      <c r="AC14" s="326">
        <f>IF(AB14&gt;0,Ruimtestaat[[#This Row],[Prest. (m2 /jaar) weekend]]/Ruimtestaat[[#This Row],[Norm (m2/uur) weekend]],0)</f>
        <v>0</v>
      </c>
      <c r="AD14" s="327">
        <f>Ruimtestaat[[#This Row],[uren / jaar weekend]]*Tariefsopbouw!$D$40</f>
        <v>0</v>
      </c>
      <c r="AE14" s="328">
        <f>Ruimtestaat[[#This Row],[Prest. (m2 /jaar) weekend]]+Ruimtestaat[[#This Row],[Prest. (m2 /jaar) werkdagen]]</f>
        <v>4200</v>
      </c>
      <c r="AF14" s="328">
        <f>Ruimtestaat[[#This Row],[uren / jaar weekend]]+Ruimtestaat[[#This Row],[uren / jaar werkdagen]]</f>
        <v>0</v>
      </c>
      <c r="AG14" s="329">
        <f>Ruimtestaat[[#This Row],[kosten / jaar weekend]]+Ruimtestaat[[#This Row],[kosten / jaar werkdagen]]</f>
        <v>0</v>
      </c>
      <c r="AH14" s="330"/>
      <c r="HL14" s="297"/>
    </row>
    <row r="15" spans="1:220" ht="12.75" customHeight="1">
      <c r="A15" s="271">
        <v>1</v>
      </c>
      <c r="B15" s="271" t="str">
        <f>VLOOKUP(Ruimtestaat[[#This Row],[Code]],Locaties[#All],2,FALSE)</f>
        <v>Hoofdgebouw</v>
      </c>
      <c r="C15" s="271" t="str">
        <f>VLOOKUP(Ruimtestaat[[#This Row],[Code]],Locaties[#All],4,FALSE)</f>
        <v>Sterrenlaan 16</v>
      </c>
      <c r="D15" s="271" t="str">
        <f>VLOOKUP(Ruimtestaat[[#This Row],[Code]],Locaties[#All],5,FALSE)</f>
        <v>5631 KA</v>
      </c>
      <c r="E15" s="271" t="str">
        <f>VLOOKUP(Ruimtestaat[[#This Row],[Code]],Locaties[#All],6,FALSE)</f>
        <v>Eindhoven</v>
      </c>
      <c r="F15" s="318"/>
      <c r="G15" s="271" t="s">
        <v>478</v>
      </c>
      <c r="H15" s="271" t="s">
        <v>496</v>
      </c>
      <c r="I15" s="228" t="s">
        <v>497</v>
      </c>
      <c r="J15" s="271">
        <v>10</v>
      </c>
      <c r="K15" s="318" t="str">
        <f>VLOOKUP(J15,Ruimtegroepen[],2,FALSE)</f>
        <v>Trappenhuizen/lift</v>
      </c>
      <c r="L15" s="271" t="s">
        <v>698</v>
      </c>
      <c r="M15" s="271" t="s">
        <v>702</v>
      </c>
      <c r="N15" s="319">
        <v>5</v>
      </c>
      <c r="O15" s="319"/>
      <c r="P15" s="320" t="str">
        <f>LEFT(VLOOKUP(Ruimtestaat[[#This Row],[Ruimte code]],Ruimtegroepen[#All],4,1),2)</f>
        <v xml:space="preserve">V </v>
      </c>
      <c r="Q15" s="319"/>
      <c r="R15" s="271">
        <v>40</v>
      </c>
      <c r="S15" s="271" t="s">
        <v>2</v>
      </c>
      <c r="T15" s="321">
        <f>IF(R15&gt;0,IF(RIGHT(Ruimtestaat[[#This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" s="321">
        <f>IF(T15&gt;0,VLOOKUP($J15,Ruimtegroepen[],3,FALSE)*VLOOKUP($L15,Vloersoorten[],3,FALSE)*VLOOKUP($S15,Frequenties[],3,FALSE)*VLOOKUP($A15,Locaties[],3,FALSE),0)</f>
        <v>0</v>
      </c>
      <c r="V15" s="322">
        <f>Ruimtestaat[[#This Row],[Uitvoeringen werkdagen]]*Ruimtestaat[[#This Row],[Oppervlak (netto)]]</f>
        <v>1000</v>
      </c>
      <c r="W15" s="323">
        <f>IF(U15&gt;0,Ruimtestaat[[#This Row],[Prest. (m2 /jaar) werkdagen]]/Ruimtestaat[[#This Row],[Norm (m2/uur) werkdagen]],0)</f>
        <v>0</v>
      </c>
      <c r="X15" s="324">
        <f>Ruimtestaat[[#This Row],[uren / jaar werkdagen]]*Tariefsopbouw!$E$35</f>
        <v>0</v>
      </c>
      <c r="Y15" s="321"/>
      <c r="Z15" s="325">
        <f>IF(Ruimtestaat[[#This Row],[Frequentie weekend]]&gt;0,VALUE(LEFT(Y15,1))*R15,0)</f>
        <v>0</v>
      </c>
      <c r="AA15" s="321">
        <f>IF($Z15&gt;0,VLOOKUP($J15,Ruimtegroepen[],3,FALSE)*VLOOKUP($L15,Vloersoorten[],3,FALSE)*VLOOKUP($Y15,Frequenties[],3,FALSE)*VLOOKUP($A11,Locaties[],3,FALSE),0)</f>
        <v>0</v>
      </c>
      <c r="AB15" s="323">
        <f>Ruimtestaat[[#This Row],[Uitvoeringen weekend]]*Ruimtestaat[[#This Row],[Oppervlak (netto)]]</f>
        <v>0</v>
      </c>
      <c r="AC15" s="326">
        <f>IF(AB15&gt;0,Ruimtestaat[[#This Row],[Prest. (m2 /jaar) weekend]]/Ruimtestaat[[#This Row],[Norm (m2/uur) weekend]],0)</f>
        <v>0</v>
      </c>
      <c r="AD15" s="327">
        <f>Ruimtestaat[[#This Row],[uren / jaar weekend]]*Tariefsopbouw!$D$40</f>
        <v>0</v>
      </c>
      <c r="AE15" s="328">
        <f>Ruimtestaat[[#This Row],[Prest. (m2 /jaar) weekend]]+Ruimtestaat[[#This Row],[Prest. (m2 /jaar) werkdagen]]</f>
        <v>1000</v>
      </c>
      <c r="AF15" s="328">
        <f>Ruimtestaat[[#This Row],[uren / jaar weekend]]+Ruimtestaat[[#This Row],[uren / jaar werkdagen]]</f>
        <v>0</v>
      </c>
      <c r="AG15" s="329">
        <f>Ruimtestaat[[#This Row],[kosten / jaar weekend]]+Ruimtestaat[[#This Row],[kosten / jaar werkdagen]]</f>
        <v>0</v>
      </c>
      <c r="AH15" s="330"/>
      <c r="HL15" s="297"/>
    </row>
    <row r="16" spans="1:220" ht="15" customHeight="1">
      <c r="A16" s="271">
        <v>1</v>
      </c>
      <c r="B16" s="271" t="str">
        <f>VLOOKUP(Ruimtestaat[[#This Row],[Code]],Locaties[#All],2,FALSE)</f>
        <v>Hoofdgebouw</v>
      </c>
      <c r="C16" s="271" t="str">
        <f>VLOOKUP(Ruimtestaat[[#This Row],[Code]],Locaties[#All],4,FALSE)</f>
        <v>Sterrenlaan 16</v>
      </c>
      <c r="D16" s="271" t="str">
        <f>VLOOKUP(Ruimtestaat[[#This Row],[Code]],Locaties[#All],5,FALSE)</f>
        <v>5631 KA</v>
      </c>
      <c r="E16" s="271" t="str">
        <f>VLOOKUP(Ruimtestaat[[#This Row],[Code]],Locaties[#All],6,FALSE)</f>
        <v>Eindhoven</v>
      </c>
      <c r="F16" s="318"/>
      <c r="G16" s="271" t="s">
        <v>478</v>
      </c>
      <c r="H16" s="271" t="s">
        <v>498</v>
      </c>
      <c r="I16" s="228" t="s">
        <v>495</v>
      </c>
      <c r="J16" s="271">
        <v>10</v>
      </c>
      <c r="K16" s="318" t="str">
        <f>VLOOKUP(J16,Ruimtegroepen[],2,FALSE)</f>
        <v>Trappenhuizen/lift</v>
      </c>
      <c r="L16" s="271" t="s">
        <v>112</v>
      </c>
      <c r="M16" s="271" t="s">
        <v>39</v>
      </c>
      <c r="N16" s="319">
        <v>28</v>
      </c>
      <c r="O16" s="319"/>
      <c r="P16" s="320" t="str">
        <f>LEFT(VLOOKUP(Ruimtestaat[[#This Row],[Ruimte code]],Ruimtegroepen[#All],4,1),2)</f>
        <v xml:space="preserve">V </v>
      </c>
      <c r="Q16" s="319"/>
      <c r="R16" s="271">
        <v>40</v>
      </c>
      <c r="S16" s="271" t="s">
        <v>2</v>
      </c>
      <c r="T16" s="321">
        <f>IF(R16&gt;0,IF(RIGHT(Ruimtestaat[[#This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" s="321">
        <f>IF(T16&gt;0,VLOOKUP($J16,Ruimtegroepen[],3,FALSE)*VLOOKUP($L16,Vloersoorten[],3,FALSE)*VLOOKUP($S16,Frequenties[],3,FALSE)*VLOOKUP($A16,Locaties[],3,FALSE),0)</f>
        <v>0</v>
      </c>
      <c r="V16" s="322">
        <f>Ruimtestaat[[#This Row],[Uitvoeringen werkdagen]]*Ruimtestaat[[#This Row],[Oppervlak (netto)]]</f>
        <v>5600</v>
      </c>
      <c r="W16" s="323">
        <f>IF(U16&gt;0,Ruimtestaat[[#This Row],[Prest. (m2 /jaar) werkdagen]]/Ruimtestaat[[#This Row],[Norm (m2/uur) werkdagen]],0)</f>
        <v>0</v>
      </c>
      <c r="X16" s="324">
        <f>Ruimtestaat[[#This Row],[uren / jaar werkdagen]]*Tariefsopbouw!$E$35</f>
        <v>0</v>
      </c>
      <c r="Y16" s="321"/>
      <c r="Z16" s="325">
        <f>IF(Ruimtestaat[[#This Row],[Frequentie weekend]]&gt;0,VALUE(LEFT(Y16,1))*R16,0)</f>
        <v>0</v>
      </c>
      <c r="AA16" s="321">
        <f>IF($Z16&gt;0,VLOOKUP($J16,Ruimtegroepen[],3,FALSE)*VLOOKUP($L16,Vloersoorten[],3,FALSE)*VLOOKUP($Y16,Frequenties[],3,FALSE)*VLOOKUP($A12,Locaties[],3,FALSE),0)</f>
        <v>0</v>
      </c>
      <c r="AB16" s="323">
        <f>Ruimtestaat[[#This Row],[Uitvoeringen weekend]]*Ruimtestaat[[#This Row],[Oppervlak (netto)]]</f>
        <v>0</v>
      </c>
      <c r="AC16" s="326">
        <f>IF(AB16&gt;0,Ruimtestaat[[#This Row],[Prest. (m2 /jaar) weekend]]/Ruimtestaat[[#This Row],[Norm (m2/uur) weekend]],0)</f>
        <v>0</v>
      </c>
      <c r="AD16" s="327">
        <f>Ruimtestaat[[#This Row],[uren / jaar weekend]]*Tariefsopbouw!$D$40</f>
        <v>0</v>
      </c>
      <c r="AE16" s="328">
        <f>Ruimtestaat[[#This Row],[Prest. (m2 /jaar) weekend]]+Ruimtestaat[[#This Row],[Prest. (m2 /jaar) werkdagen]]</f>
        <v>5600</v>
      </c>
      <c r="AF16" s="328">
        <f>Ruimtestaat[[#This Row],[uren / jaar weekend]]+Ruimtestaat[[#This Row],[uren / jaar werkdagen]]</f>
        <v>0</v>
      </c>
      <c r="AG16" s="329">
        <f>Ruimtestaat[[#This Row],[kosten / jaar weekend]]+Ruimtestaat[[#This Row],[kosten / jaar werkdagen]]</f>
        <v>0</v>
      </c>
      <c r="AH16" s="330"/>
      <c r="HL16" s="297"/>
    </row>
    <row r="17" spans="1:220" ht="15" customHeight="1">
      <c r="A17" s="271">
        <v>1</v>
      </c>
      <c r="B17" s="271" t="str">
        <f>VLOOKUP(Ruimtestaat[[#This Row],[Code]],Locaties[#All],2,FALSE)</f>
        <v>Hoofdgebouw</v>
      </c>
      <c r="C17" s="271" t="str">
        <f>VLOOKUP(Ruimtestaat[[#This Row],[Code]],Locaties[#All],4,FALSE)</f>
        <v>Sterrenlaan 16</v>
      </c>
      <c r="D17" s="271" t="str">
        <f>VLOOKUP(Ruimtestaat[[#This Row],[Code]],Locaties[#All],5,FALSE)</f>
        <v>5631 KA</v>
      </c>
      <c r="E17" s="271" t="str">
        <f>VLOOKUP(Ruimtestaat[[#This Row],[Code]],Locaties[#All],6,FALSE)</f>
        <v>Eindhoven</v>
      </c>
      <c r="F17" s="318"/>
      <c r="G17" s="271" t="s">
        <v>478</v>
      </c>
      <c r="H17" s="271" t="s">
        <v>499</v>
      </c>
      <c r="I17" s="228" t="s">
        <v>500</v>
      </c>
      <c r="J17" s="271">
        <v>10</v>
      </c>
      <c r="K17" s="318" t="str">
        <f>VLOOKUP(J17,Ruimtegroepen[],2,FALSE)</f>
        <v>Trappenhuizen/lift</v>
      </c>
      <c r="L17" s="271" t="s">
        <v>698</v>
      </c>
      <c r="M17" s="271" t="s">
        <v>699</v>
      </c>
      <c r="N17" s="319">
        <v>5</v>
      </c>
      <c r="O17" s="319"/>
      <c r="P17" s="320" t="str">
        <f>LEFT(VLOOKUP(Ruimtestaat[[#This Row],[Ruimte code]],Ruimtegroepen[#All],4,1),2)</f>
        <v xml:space="preserve">V </v>
      </c>
      <c r="Q17" s="319"/>
      <c r="R17" s="271">
        <v>40</v>
      </c>
      <c r="S17" s="271" t="s">
        <v>2</v>
      </c>
      <c r="T17" s="321">
        <f>IF(R17&gt;0,IF(RIGHT(Ruimtestaat[[#This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" s="321">
        <f>IF(T17&gt;0,VLOOKUP($J17,Ruimtegroepen[],3,FALSE)*VLOOKUP($L17,Vloersoorten[],3,FALSE)*VLOOKUP($S17,Frequenties[],3,FALSE)*VLOOKUP($A17,Locaties[],3,FALSE),0)</f>
        <v>0</v>
      </c>
      <c r="V17" s="322">
        <f>Ruimtestaat[[#This Row],[Uitvoeringen werkdagen]]*Ruimtestaat[[#This Row],[Oppervlak (netto)]]</f>
        <v>1000</v>
      </c>
      <c r="W17" s="323">
        <f>IF(U17&gt;0,Ruimtestaat[[#This Row],[Prest. (m2 /jaar) werkdagen]]/Ruimtestaat[[#This Row],[Norm (m2/uur) werkdagen]],0)</f>
        <v>0</v>
      </c>
      <c r="X17" s="324">
        <f>Ruimtestaat[[#This Row],[uren / jaar werkdagen]]*Tariefsopbouw!$E$35</f>
        <v>0</v>
      </c>
      <c r="Y17" s="321"/>
      <c r="Z17" s="325">
        <f>IF(Ruimtestaat[[#This Row],[Frequentie weekend]]&gt;0,VALUE(LEFT(Y17,1))*R17,0)</f>
        <v>0</v>
      </c>
      <c r="AA17" s="321">
        <f>IF($Z17&gt;0,VLOOKUP($J17,Ruimtegroepen[],3,FALSE)*VLOOKUP($L17,Vloersoorten[],3,FALSE)*VLOOKUP($Y17,Frequenties[],3,FALSE)*VLOOKUP($A13,Locaties[],3,FALSE),0)</f>
        <v>0</v>
      </c>
      <c r="AB17" s="323">
        <f>Ruimtestaat[[#This Row],[Uitvoeringen weekend]]*Ruimtestaat[[#This Row],[Oppervlak (netto)]]</f>
        <v>0</v>
      </c>
      <c r="AC17" s="326">
        <f>IF(AB17&gt;0,Ruimtestaat[[#This Row],[Prest. (m2 /jaar) weekend]]/Ruimtestaat[[#This Row],[Norm (m2/uur) weekend]],0)</f>
        <v>0</v>
      </c>
      <c r="AD17" s="327">
        <f>Ruimtestaat[[#This Row],[uren / jaar weekend]]*Tariefsopbouw!$D$40</f>
        <v>0</v>
      </c>
      <c r="AE17" s="328">
        <f>Ruimtestaat[[#This Row],[Prest. (m2 /jaar) weekend]]+Ruimtestaat[[#This Row],[Prest. (m2 /jaar) werkdagen]]</f>
        <v>1000</v>
      </c>
      <c r="AF17" s="328">
        <f>Ruimtestaat[[#This Row],[uren / jaar weekend]]+Ruimtestaat[[#This Row],[uren / jaar werkdagen]]</f>
        <v>0</v>
      </c>
      <c r="AG17" s="329">
        <f>Ruimtestaat[[#This Row],[kosten / jaar weekend]]+Ruimtestaat[[#This Row],[kosten / jaar werkdagen]]</f>
        <v>0</v>
      </c>
      <c r="AH17" s="330"/>
      <c r="HL17" s="297"/>
    </row>
    <row r="18" spans="1:220" ht="15" customHeight="1">
      <c r="A18" s="271">
        <v>1</v>
      </c>
      <c r="B18" s="271" t="str">
        <f>VLOOKUP(Ruimtestaat[[#This Row],[Code]],Locaties[#All],2,FALSE)</f>
        <v>Hoofdgebouw</v>
      </c>
      <c r="C18" s="271" t="str">
        <f>VLOOKUP(Ruimtestaat[[#This Row],[Code]],Locaties[#All],4,FALSE)</f>
        <v>Sterrenlaan 16</v>
      </c>
      <c r="D18" s="271" t="str">
        <f>VLOOKUP(Ruimtestaat[[#This Row],[Code]],Locaties[#All],5,FALSE)</f>
        <v>5631 KA</v>
      </c>
      <c r="E18" s="271" t="str">
        <f>VLOOKUP(Ruimtestaat[[#This Row],[Code]],Locaties[#All],6,FALSE)</f>
        <v>Eindhoven</v>
      </c>
      <c r="F18" s="318"/>
      <c r="G18" s="271" t="s">
        <v>478</v>
      </c>
      <c r="H18" s="271" t="s">
        <v>501</v>
      </c>
      <c r="I18" s="228" t="s">
        <v>502</v>
      </c>
      <c r="J18" s="271">
        <v>7</v>
      </c>
      <c r="K18" s="318" t="str">
        <f>VLOOKUP(J18,Ruimtegroepen[],2,FALSE)</f>
        <v>Entree</v>
      </c>
      <c r="L18" s="271" t="s">
        <v>112</v>
      </c>
      <c r="M18" s="271" t="s">
        <v>697</v>
      </c>
      <c r="N18" s="319">
        <v>6</v>
      </c>
      <c r="O18" s="319"/>
      <c r="P18" s="320" t="str">
        <f>LEFT(VLOOKUP(Ruimtestaat[[#This Row],[Ruimte code]],Ruimtegroepen[#All],4,1),2)</f>
        <v xml:space="preserve">V </v>
      </c>
      <c r="Q18" s="319"/>
      <c r="R18" s="271">
        <v>40</v>
      </c>
      <c r="S18" s="271" t="s">
        <v>2</v>
      </c>
      <c r="T18" s="321">
        <f>IF(R18&gt;0,IF(RIGHT(Ruimtestaat[[#This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" s="321">
        <f>IF(T18&gt;0,VLOOKUP($J18,Ruimtegroepen[],3,FALSE)*VLOOKUP($L18,Vloersoorten[],3,FALSE)*VLOOKUP($S18,Frequenties[],3,FALSE)*VLOOKUP($A18,Locaties[],3,FALSE),0)</f>
        <v>0</v>
      </c>
      <c r="V18" s="322">
        <f>Ruimtestaat[[#This Row],[Uitvoeringen werkdagen]]*Ruimtestaat[[#This Row],[Oppervlak (netto)]]</f>
        <v>1200</v>
      </c>
      <c r="W18" s="323">
        <f>IF(U18&gt;0,Ruimtestaat[[#This Row],[Prest. (m2 /jaar) werkdagen]]/Ruimtestaat[[#This Row],[Norm (m2/uur) werkdagen]],0)</f>
        <v>0</v>
      </c>
      <c r="X18" s="324">
        <f>Ruimtestaat[[#This Row],[uren / jaar werkdagen]]*Tariefsopbouw!$E$35</f>
        <v>0</v>
      </c>
      <c r="Y18" s="321"/>
      <c r="Z18" s="325">
        <f>IF(Ruimtestaat[[#This Row],[Frequentie weekend]]&gt;0,VALUE(LEFT(Y18,1))*R18,0)</f>
        <v>0</v>
      </c>
      <c r="AA18" s="321">
        <f>IF($Z18&gt;0,VLOOKUP($J18,Ruimtegroepen[],3,FALSE)*VLOOKUP($L18,Vloersoorten[],3,FALSE)*VLOOKUP($Y18,Frequenties[],3,FALSE)*VLOOKUP($A14,Locaties[],3,FALSE),0)</f>
        <v>0</v>
      </c>
      <c r="AB18" s="323">
        <f>Ruimtestaat[[#This Row],[Uitvoeringen weekend]]*Ruimtestaat[[#This Row],[Oppervlak (netto)]]</f>
        <v>0</v>
      </c>
      <c r="AC18" s="326">
        <f>IF(AB18&gt;0,Ruimtestaat[[#This Row],[Prest. (m2 /jaar) weekend]]/Ruimtestaat[[#This Row],[Norm (m2/uur) weekend]],0)</f>
        <v>0</v>
      </c>
      <c r="AD18" s="327">
        <f>Ruimtestaat[[#This Row],[uren / jaar weekend]]*Tariefsopbouw!$D$40</f>
        <v>0</v>
      </c>
      <c r="AE18" s="328">
        <f>Ruimtestaat[[#This Row],[Prest. (m2 /jaar) weekend]]+Ruimtestaat[[#This Row],[Prest. (m2 /jaar) werkdagen]]</f>
        <v>1200</v>
      </c>
      <c r="AF18" s="328">
        <f>Ruimtestaat[[#This Row],[uren / jaar weekend]]+Ruimtestaat[[#This Row],[uren / jaar werkdagen]]</f>
        <v>0</v>
      </c>
      <c r="AG18" s="329">
        <f>Ruimtestaat[[#This Row],[kosten / jaar weekend]]+Ruimtestaat[[#This Row],[kosten / jaar werkdagen]]</f>
        <v>0</v>
      </c>
      <c r="AH18" s="330"/>
      <c r="HL18" s="297"/>
    </row>
    <row r="19" spans="1:220" ht="15" customHeight="1">
      <c r="A19" s="271">
        <v>1</v>
      </c>
      <c r="B19" s="271" t="str">
        <f>VLOOKUP(Ruimtestaat[[#This Row],[Code]],Locaties[#All],2,FALSE)</f>
        <v>Hoofdgebouw</v>
      </c>
      <c r="C19" s="271" t="str">
        <f>VLOOKUP(Ruimtestaat[[#This Row],[Code]],Locaties[#All],4,FALSE)</f>
        <v>Sterrenlaan 16</v>
      </c>
      <c r="D19" s="271" t="str">
        <f>VLOOKUP(Ruimtestaat[[#This Row],[Code]],Locaties[#All],5,FALSE)</f>
        <v>5631 KA</v>
      </c>
      <c r="E19" s="271" t="str">
        <f>VLOOKUP(Ruimtestaat[[#This Row],[Code]],Locaties[#All],6,FALSE)</f>
        <v>Eindhoven</v>
      </c>
      <c r="F19" s="318"/>
      <c r="G19" s="271" t="s">
        <v>478</v>
      </c>
      <c r="H19" s="271" t="s">
        <v>503</v>
      </c>
      <c r="I19" s="228" t="s">
        <v>368</v>
      </c>
      <c r="J19" s="271">
        <v>6</v>
      </c>
      <c r="K19" s="318" t="str">
        <f>VLOOKUP(J19,Ruimtegroepen[],2,FALSE)</f>
        <v>Gangen/hallen</v>
      </c>
      <c r="L19" s="271" t="s">
        <v>113</v>
      </c>
      <c r="M19" s="271" t="s">
        <v>373</v>
      </c>
      <c r="N19" s="319">
        <v>102</v>
      </c>
      <c r="O19" s="319"/>
      <c r="P19" s="320" t="str">
        <f>LEFT(VLOOKUP(Ruimtestaat[[#This Row],[Ruimte code]],Ruimtegroepen[#All],4,1),2)</f>
        <v xml:space="preserve">V </v>
      </c>
      <c r="Q19" s="319"/>
      <c r="R19" s="271">
        <v>40</v>
      </c>
      <c r="S19" s="271" t="s">
        <v>2</v>
      </c>
      <c r="T19" s="321">
        <f>IF(R19&gt;0,IF(RIGHT(Ruimtestaat[[#This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" s="321">
        <f>IF(T19&gt;0,VLOOKUP($J19,Ruimtegroepen[],3,FALSE)*VLOOKUP($L19,Vloersoorten[],3,FALSE)*VLOOKUP($S19,Frequenties[],3,FALSE)*VLOOKUP($A19,Locaties[],3,FALSE),0)</f>
        <v>0</v>
      </c>
      <c r="V19" s="322">
        <f>Ruimtestaat[[#This Row],[Uitvoeringen werkdagen]]*Ruimtestaat[[#This Row],[Oppervlak (netto)]]</f>
        <v>20400</v>
      </c>
      <c r="W19" s="323">
        <f>IF(U19&gt;0,Ruimtestaat[[#This Row],[Prest. (m2 /jaar) werkdagen]]/Ruimtestaat[[#This Row],[Norm (m2/uur) werkdagen]],0)</f>
        <v>0</v>
      </c>
      <c r="X19" s="324">
        <f>Ruimtestaat[[#This Row],[uren / jaar werkdagen]]*Tariefsopbouw!$E$35</f>
        <v>0</v>
      </c>
      <c r="Y19" s="321"/>
      <c r="Z19" s="325">
        <f>IF(Ruimtestaat[[#This Row],[Frequentie weekend]]&gt;0,VALUE(LEFT(Y19,1))*R19,0)</f>
        <v>0</v>
      </c>
      <c r="AA19" s="321">
        <f>IF($Z19&gt;0,VLOOKUP($J19,Ruimtegroepen[],3,FALSE)*VLOOKUP($L19,Vloersoorten[],3,FALSE)*VLOOKUP($Y19,Frequenties[],3,FALSE)*VLOOKUP($A15,Locaties[],3,FALSE),0)</f>
        <v>0</v>
      </c>
      <c r="AB19" s="323">
        <f>Ruimtestaat[[#This Row],[Uitvoeringen weekend]]*Ruimtestaat[[#This Row],[Oppervlak (netto)]]</f>
        <v>0</v>
      </c>
      <c r="AC19" s="326">
        <f>IF(AB19&gt;0,Ruimtestaat[[#This Row],[Prest. (m2 /jaar) weekend]]/Ruimtestaat[[#This Row],[Norm (m2/uur) weekend]],0)</f>
        <v>0</v>
      </c>
      <c r="AD19" s="327">
        <f>Ruimtestaat[[#This Row],[uren / jaar weekend]]*Tariefsopbouw!$D$40</f>
        <v>0</v>
      </c>
      <c r="AE19" s="328">
        <f>Ruimtestaat[[#This Row],[Prest. (m2 /jaar) weekend]]+Ruimtestaat[[#This Row],[Prest. (m2 /jaar) werkdagen]]</f>
        <v>20400</v>
      </c>
      <c r="AF19" s="328">
        <f>Ruimtestaat[[#This Row],[uren / jaar weekend]]+Ruimtestaat[[#This Row],[uren / jaar werkdagen]]</f>
        <v>0</v>
      </c>
      <c r="AG19" s="329">
        <f>Ruimtestaat[[#This Row],[kosten / jaar weekend]]+Ruimtestaat[[#This Row],[kosten / jaar werkdagen]]</f>
        <v>0</v>
      </c>
      <c r="AH19" s="330"/>
      <c r="HL19" s="297"/>
    </row>
    <row r="20" spans="1:220" ht="15" customHeight="1">
      <c r="A20" s="271">
        <v>1</v>
      </c>
      <c r="B20" s="271" t="str">
        <f>VLOOKUP(Ruimtestaat[[#This Row],[Code]],Locaties[#All],2,FALSE)</f>
        <v>Hoofdgebouw</v>
      </c>
      <c r="C20" s="271" t="str">
        <f>VLOOKUP(Ruimtestaat[[#This Row],[Code]],Locaties[#All],4,FALSE)</f>
        <v>Sterrenlaan 16</v>
      </c>
      <c r="D20" s="271" t="str">
        <f>VLOOKUP(Ruimtestaat[[#This Row],[Code]],Locaties[#All],5,FALSE)</f>
        <v>5631 KA</v>
      </c>
      <c r="E20" s="271" t="str">
        <f>VLOOKUP(Ruimtestaat[[#This Row],[Code]],Locaties[#All],6,FALSE)</f>
        <v>Eindhoven</v>
      </c>
      <c r="F20" s="318"/>
      <c r="G20" s="271" t="s">
        <v>478</v>
      </c>
      <c r="H20" s="271" t="s">
        <v>504</v>
      </c>
      <c r="I20" s="228" t="s">
        <v>505</v>
      </c>
      <c r="J20" s="271">
        <v>15</v>
      </c>
      <c r="K20" s="318" t="str">
        <f>VLOOKUP(J20,Ruimtegroepen[],2,FALSE)</f>
        <v>Keuken/pantry</v>
      </c>
      <c r="L20" s="271" t="s">
        <v>114</v>
      </c>
      <c r="M20" s="271" t="s">
        <v>700</v>
      </c>
      <c r="N20" s="319">
        <v>27</v>
      </c>
      <c r="O20" s="319"/>
      <c r="P20" s="320" t="str">
        <f>LEFT(VLOOKUP(Ruimtestaat[[#This Row],[Ruimte code]],Ruimtegroepen[#All],4,1),2)</f>
        <v xml:space="preserve">V </v>
      </c>
      <c r="Q20" s="319"/>
      <c r="R20" s="271">
        <v>40</v>
      </c>
      <c r="S20" s="271" t="s">
        <v>2</v>
      </c>
      <c r="T20" s="321">
        <f>IF(R20&gt;0,IF(RIGHT(Ruimtestaat[[#This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" s="321">
        <f>IF(T20&gt;0,VLOOKUP($J20,Ruimtegroepen[],3,FALSE)*VLOOKUP($L20,Vloersoorten[],3,FALSE)*VLOOKUP($S20,Frequenties[],3,FALSE)*VLOOKUP($A20,Locaties[],3,FALSE),0)</f>
        <v>0</v>
      </c>
      <c r="V20" s="322">
        <f>Ruimtestaat[[#This Row],[Uitvoeringen werkdagen]]*Ruimtestaat[[#This Row],[Oppervlak (netto)]]</f>
        <v>5400</v>
      </c>
      <c r="W20" s="323">
        <f>IF(U20&gt;0,Ruimtestaat[[#This Row],[Prest. (m2 /jaar) werkdagen]]/Ruimtestaat[[#This Row],[Norm (m2/uur) werkdagen]],0)</f>
        <v>0</v>
      </c>
      <c r="X20" s="324">
        <f>Ruimtestaat[[#This Row],[uren / jaar werkdagen]]*Tariefsopbouw!$E$35</f>
        <v>0</v>
      </c>
      <c r="Y20" s="321"/>
      <c r="Z20" s="325">
        <f>IF(Ruimtestaat[[#This Row],[Frequentie weekend]]&gt;0,VALUE(LEFT(Y20,1))*R20,0)</f>
        <v>0</v>
      </c>
      <c r="AA20" s="321">
        <f>IF($Z20&gt;0,VLOOKUP($J20,Ruimtegroepen[],3,FALSE)*VLOOKUP($L20,Vloersoorten[],3,FALSE)*VLOOKUP($Y20,Frequenties[],3,FALSE)*VLOOKUP($A16,Locaties[],3,FALSE),0)</f>
        <v>0</v>
      </c>
      <c r="AB20" s="323">
        <f>Ruimtestaat[[#This Row],[Uitvoeringen weekend]]*Ruimtestaat[[#This Row],[Oppervlak (netto)]]</f>
        <v>0</v>
      </c>
      <c r="AC20" s="326">
        <f>IF(AB20&gt;0,Ruimtestaat[[#This Row],[Prest. (m2 /jaar) weekend]]/Ruimtestaat[[#This Row],[Norm (m2/uur) weekend]],0)</f>
        <v>0</v>
      </c>
      <c r="AD20" s="327">
        <f>Ruimtestaat[[#This Row],[uren / jaar weekend]]*Tariefsopbouw!$D$40</f>
        <v>0</v>
      </c>
      <c r="AE20" s="328">
        <f>Ruimtestaat[[#This Row],[Prest. (m2 /jaar) weekend]]+Ruimtestaat[[#This Row],[Prest. (m2 /jaar) werkdagen]]</f>
        <v>5400</v>
      </c>
      <c r="AF20" s="328">
        <f>Ruimtestaat[[#This Row],[uren / jaar weekend]]+Ruimtestaat[[#This Row],[uren / jaar werkdagen]]</f>
        <v>0</v>
      </c>
      <c r="AG20" s="329">
        <f>Ruimtestaat[[#This Row],[kosten / jaar weekend]]+Ruimtestaat[[#This Row],[kosten / jaar werkdagen]]</f>
        <v>0</v>
      </c>
      <c r="AH20" s="330"/>
      <c r="HL20" s="297"/>
    </row>
    <row r="21" spans="1:220" ht="15" customHeight="1">
      <c r="A21" s="271">
        <v>1</v>
      </c>
      <c r="B21" s="271" t="str">
        <f>VLOOKUP(Ruimtestaat[[#This Row],[Code]],Locaties[#All],2,FALSE)</f>
        <v>Hoofdgebouw</v>
      </c>
      <c r="C21" s="271" t="str">
        <f>VLOOKUP(Ruimtestaat[[#This Row],[Code]],Locaties[#All],4,FALSE)</f>
        <v>Sterrenlaan 16</v>
      </c>
      <c r="D21" s="271" t="str">
        <f>VLOOKUP(Ruimtestaat[[#This Row],[Code]],Locaties[#All],5,FALSE)</f>
        <v>5631 KA</v>
      </c>
      <c r="E21" s="271" t="str">
        <f>VLOOKUP(Ruimtestaat[[#This Row],[Code]],Locaties[#All],6,FALSE)</f>
        <v>Eindhoven</v>
      </c>
      <c r="F21" s="318"/>
      <c r="G21" s="271" t="s">
        <v>478</v>
      </c>
      <c r="H21" s="271" t="s">
        <v>506</v>
      </c>
      <c r="I21" s="228" t="s">
        <v>507</v>
      </c>
      <c r="J21" s="271">
        <v>20</v>
      </c>
      <c r="K21" s="318" t="str">
        <f>VLOOKUP(J21,Ruimtegroepen[],2,FALSE)</f>
        <v>Niet in onderhoud</v>
      </c>
      <c r="L21" s="271" t="s">
        <v>113</v>
      </c>
      <c r="M21" s="271" t="s">
        <v>373</v>
      </c>
      <c r="N21" s="319"/>
      <c r="O21" s="319">
        <v>4</v>
      </c>
      <c r="P21" s="320" t="str">
        <f>LEFT(VLOOKUP(Ruimtestaat[[#This Row],[Ruimte code]],Ruimtegroepen[#All],4,1),2)</f>
        <v/>
      </c>
      <c r="Q21" s="319"/>
      <c r="R21" s="271"/>
      <c r="S21" s="271"/>
      <c r="T21" s="321">
        <f>IF(R21&gt;0,IF(RIGHT(Ruimtestaat[[#This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1" s="321">
        <f>IF(T21&gt;0,VLOOKUP($J21,Ruimtegroepen[],3,FALSE)*VLOOKUP($L21,Vloersoorten[],3,FALSE)*VLOOKUP($S21,Frequenties[],3,FALSE)*VLOOKUP($A21,Locaties[],3,FALSE),0)</f>
        <v>0</v>
      </c>
      <c r="V21" s="322">
        <f>Ruimtestaat[[#This Row],[Uitvoeringen werkdagen]]*Ruimtestaat[[#This Row],[Oppervlak (netto)]]</f>
        <v>0</v>
      </c>
      <c r="W21" s="323">
        <f>IF(U21&gt;0,Ruimtestaat[[#This Row],[Prest. (m2 /jaar) werkdagen]]/Ruimtestaat[[#This Row],[Norm (m2/uur) werkdagen]],0)</f>
        <v>0</v>
      </c>
      <c r="X21" s="324">
        <f>Ruimtestaat[[#This Row],[uren / jaar werkdagen]]*Tariefsopbouw!$E$35</f>
        <v>0</v>
      </c>
      <c r="Y21" s="321"/>
      <c r="Z21" s="325">
        <f>IF(Ruimtestaat[[#This Row],[Frequentie weekend]]&gt;0,VALUE(LEFT(Y21,1))*R21,0)</f>
        <v>0</v>
      </c>
      <c r="AA21" s="321">
        <f>IF($Z21&gt;0,VLOOKUP($J21,Ruimtegroepen[],3,FALSE)*VLOOKUP($L21,Vloersoorten[],3,FALSE)*VLOOKUP($Y21,Frequenties[],3,FALSE)*VLOOKUP($A16,Locaties[],3,FALSE),0)</f>
        <v>0</v>
      </c>
      <c r="AB21" s="323">
        <f>Ruimtestaat[[#This Row],[Uitvoeringen weekend]]*Ruimtestaat[[#This Row],[Oppervlak (netto)]]</f>
        <v>0</v>
      </c>
      <c r="AC21" s="326">
        <f>IF(AB21&gt;0,Ruimtestaat[[#This Row],[Prest. (m2 /jaar) weekend]]/Ruimtestaat[[#This Row],[Norm (m2/uur) weekend]],0)</f>
        <v>0</v>
      </c>
      <c r="AD21" s="327">
        <f>Ruimtestaat[[#This Row],[uren / jaar weekend]]*Tariefsopbouw!$D$40</f>
        <v>0</v>
      </c>
      <c r="AE21" s="328">
        <f>Ruimtestaat[[#This Row],[Prest. (m2 /jaar) weekend]]+Ruimtestaat[[#This Row],[Prest. (m2 /jaar) werkdagen]]</f>
        <v>0</v>
      </c>
      <c r="AF21" s="328">
        <f>Ruimtestaat[[#This Row],[uren / jaar weekend]]+Ruimtestaat[[#This Row],[uren / jaar werkdagen]]</f>
        <v>0</v>
      </c>
      <c r="AG21" s="329">
        <f>Ruimtestaat[[#This Row],[kosten / jaar weekend]]+Ruimtestaat[[#This Row],[kosten / jaar werkdagen]]</f>
        <v>0</v>
      </c>
      <c r="AH21" s="330"/>
      <c r="HL21" s="297"/>
    </row>
    <row r="22" spans="1:220" ht="15" customHeight="1">
      <c r="A22" s="271">
        <v>1</v>
      </c>
      <c r="B22" s="271" t="str">
        <f>VLOOKUP(Ruimtestaat[[#This Row],[Code]],Locaties[#All],2,FALSE)</f>
        <v>Hoofdgebouw</v>
      </c>
      <c r="C22" s="271" t="str">
        <f>VLOOKUP(Ruimtestaat[[#This Row],[Code]],Locaties[#All],4,FALSE)</f>
        <v>Sterrenlaan 16</v>
      </c>
      <c r="D22" s="271" t="str">
        <f>VLOOKUP(Ruimtestaat[[#This Row],[Code]],Locaties[#All],5,FALSE)</f>
        <v>5631 KA</v>
      </c>
      <c r="E22" s="271" t="str">
        <f>VLOOKUP(Ruimtestaat[[#This Row],[Code]],Locaties[#All],6,FALSE)</f>
        <v>Eindhoven</v>
      </c>
      <c r="F22" s="318"/>
      <c r="G22" s="271" t="s">
        <v>478</v>
      </c>
      <c r="H22" s="271" t="s">
        <v>508</v>
      </c>
      <c r="I22" s="228" t="s">
        <v>509</v>
      </c>
      <c r="J22" s="271">
        <v>20</v>
      </c>
      <c r="K22" s="318" t="str">
        <f>VLOOKUP(J22,Ruimtegroepen[],2,FALSE)</f>
        <v>Niet in onderhoud</v>
      </c>
      <c r="L22" s="271" t="s">
        <v>114</v>
      </c>
      <c r="M22" s="271" t="s">
        <v>703</v>
      </c>
      <c r="N22" s="319"/>
      <c r="O22" s="319"/>
      <c r="P22" s="320" t="str">
        <f>LEFT(VLOOKUP(Ruimtestaat[[#This Row],[Ruimte code]],Ruimtegroepen[#All],4,1),2)</f>
        <v/>
      </c>
      <c r="Q22" s="319"/>
      <c r="R22" s="271"/>
      <c r="S22" s="271"/>
      <c r="T22" s="321">
        <f>IF(R22&gt;0,IF(RIGHT(Ruimtestaat[[#This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2" s="321">
        <f>IF(T22&gt;0,VLOOKUP($J22,Ruimtegroepen[],3,FALSE)*VLOOKUP($L22,Vloersoorten[],3,FALSE)*VLOOKUP($S22,Frequenties[],3,FALSE)*VLOOKUP($A22,Locaties[],3,FALSE),0)</f>
        <v>0</v>
      </c>
      <c r="V22" s="322">
        <f>Ruimtestaat[[#This Row],[Uitvoeringen werkdagen]]*Ruimtestaat[[#This Row],[Oppervlak (netto)]]</f>
        <v>0</v>
      </c>
      <c r="W22" s="323">
        <f>IF(U22&gt;0,Ruimtestaat[[#This Row],[Prest. (m2 /jaar) werkdagen]]/Ruimtestaat[[#This Row],[Norm (m2/uur) werkdagen]],0)</f>
        <v>0</v>
      </c>
      <c r="X22" s="324">
        <f>Ruimtestaat[[#This Row],[uren / jaar werkdagen]]*Tariefsopbouw!$E$35</f>
        <v>0</v>
      </c>
      <c r="Y22" s="321"/>
      <c r="Z22" s="325">
        <f>IF(Ruimtestaat[[#This Row],[Frequentie weekend]]&gt;0,VALUE(LEFT(Y22,1))*R22,0)</f>
        <v>0</v>
      </c>
      <c r="AA22" s="321">
        <f>IF($Z22&gt;0,VLOOKUP($J22,Ruimtegroepen[],3,FALSE)*VLOOKUP($L22,Vloersoorten[],3,FALSE)*VLOOKUP($Y22,Frequenties[],3,FALSE)*VLOOKUP($A17,Locaties[],3,FALSE),0)</f>
        <v>0</v>
      </c>
      <c r="AB22" s="323">
        <f>Ruimtestaat[[#This Row],[Uitvoeringen weekend]]*Ruimtestaat[[#This Row],[Oppervlak (netto)]]</f>
        <v>0</v>
      </c>
      <c r="AC22" s="326">
        <f>IF(AB22&gt;0,Ruimtestaat[[#This Row],[Prest. (m2 /jaar) weekend]]/Ruimtestaat[[#This Row],[Norm (m2/uur) weekend]],0)</f>
        <v>0</v>
      </c>
      <c r="AD22" s="327">
        <f>Ruimtestaat[[#This Row],[uren / jaar weekend]]*Tariefsopbouw!$D$40</f>
        <v>0</v>
      </c>
      <c r="AE22" s="328">
        <f>Ruimtestaat[[#This Row],[Prest. (m2 /jaar) weekend]]+Ruimtestaat[[#This Row],[Prest. (m2 /jaar) werkdagen]]</f>
        <v>0</v>
      </c>
      <c r="AF22" s="328">
        <f>Ruimtestaat[[#This Row],[uren / jaar weekend]]+Ruimtestaat[[#This Row],[uren / jaar werkdagen]]</f>
        <v>0</v>
      </c>
      <c r="AG22" s="329">
        <f>Ruimtestaat[[#This Row],[kosten / jaar weekend]]+Ruimtestaat[[#This Row],[kosten / jaar werkdagen]]</f>
        <v>0</v>
      </c>
      <c r="AH22" s="330"/>
      <c r="HL22" s="297"/>
    </row>
    <row r="23" spans="1:220" ht="15" customHeight="1">
      <c r="A23" s="271">
        <v>1</v>
      </c>
      <c r="B23" s="271" t="str">
        <f>VLOOKUP(Ruimtestaat[[#This Row],[Code]],Locaties[#All],2,FALSE)</f>
        <v>Hoofdgebouw</v>
      </c>
      <c r="C23" s="271" t="str">
        <f>VLOOKUP(Ruimtestaat[[#This Row],[Code]],Locaties[#All],4,FALSE)</f>
        <v>Sterrenlaan 16</v>
      </c>
      <c r="D23" s="271" t="str">
        <f>VLOOKUP(Ruimtestaat[[#This Row],[Code]],Locaties[#All],5,FALSE)</f>
        <v>5631 KA</v>
      </c>
      <c r="E23" s="271" t="str">
        <f>VLOOKUP(Ruimtestaat[[#This Row],[Code]],Locaties[#All],6,FALSE)</f>
        <v>Eindhoven</v>
      </c>
      <c r="F23" s="318"/>
      <c r="G23" s="271" t="s">
        <v>478</v>
      </c>
      <c r="H23" s="271" t="s">
        <v>510</v>
      </c>
      <c r="I23" s="228" t="s">
        <v>511</v>
      </c>
      <c r="J23" s="271">
        <v>18</v>
      </c>
      <c r="K23" s="318" t="str">
        <f>VLOOKUP(J23,Ruimtegroepen[],2,FALSE)</f>
        <v>Gymzaal</v>
      </c>
      <c r="L23" s="271" t="s">
        <v>698</v>
      </c>
      <c r="M23" s="271" t="s">
        <v>704</v>
      </c>
      <c r="N23" s="319">
        <v>107</v>
      </c>
      <c r="O23" s="319"/>
      <c r="P23" s="320" t="str">
        <f>LEFT(VLOOKUP(Ruimtestaat[[#This Row],[Ruimte code]],Ruimtegroepen[#All],4,1),2)</f>
        <v>Sp</v>
      </c>
      <c r="Q23" s="319"/>
      <c r="R23" s="271">
        <v>40</v>
      </c>
      <c r="S23" s="271" t="s">
        <v>2</v>
      </c>
      <c r="T23" s="321">
        <f>IF(R23&gt;0,IF(RIGHT(Ruimtestaat[[#This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" s="321">
        <f>IF(T23&gt;0,VLOOKUP($J23,Ruimtegroepen[],3,FALSE)*VLOOKUP($L23,Vloersoorten[],3,FALSE)*VLOOKUP($S23,Frequenties[],3,FALSE)*VLOOKUP($A23,Locaties[],3,FALSE),0)</f>
        <v>0</v>
      </c>
      <c r="V23" s="322">
        <f>Ruimtestaat[[#This Row],[Uitvoeringen werkdagen]]*Ruimtestaat[[#This Row],[Oppervlak (netto)]]</f>
        <v>21400</v>
      </c>
      <c r="W23" s="323">
        <f>IF(U23&gt;0,Ruimtestaat[[#This Row],[Prest. (m2 /jaar) werkdagen]]/Ruimtestaat[[#This Row],[Norm (m2/uur) werkdagen]],0)</f>
        <v>0</v>
      </c>
      <c r="X23" s="324">
        <f>Ruimtestaat[[#This Row],[uren / jaar werkdagen]]*Tariefsopbouw!$E$35</f>
        <v>0</v>
      </c>
      <c r="Y23" s="321"/>
      <c r="Z23" s="325">
        <f>IF(Ruimtestaat[[#This Row],[Frequentie weekend]]&gt;0,VALUE(LEFT(Y23,1))*R23,0)</f>
        <v>0</v>
      </c>
      <c r="AA23" s="321">
        <f>IF($Z23&gt;0,VLOOKUP($J23,Ruimtegroepen[],3,FALSE)*VLOOKUP($L23,Vloersoorten[],3,FALSE)*VLOOKUP($Y23,Frequenties[],3,FALSE)*VLOOKUP($A18,Locaties[],3,FALSE),0)</f>
        <v>0</v>
      </c>
      <c r="AB23" s="323">
        <f>Ruimtestaat[[#This Row],[Uitvoeringen weekend]]*Ruimtestaat[[#This Row],[Oppervlak (netto)]]</f>
        <v>0</v>
      </c>
      <c r="AC23" s="326">
        <f>IF(AB23&gt;0,Ruimtestaat[[#This Row],[Prest. (m2 /jaar) weekend]]/Ruimtestaat[[#This Row],[Norm (m2/uur) weekend]],0)</f>
        <v>0</v>
      </c>
      <c r="AD23" s="327">
        <f>Ruimtestaat[[#This Row],[uren / jaar weekend]]*Tariefsopbouw!$D$40</f>
        <v>0</v>
      </c>
      <c r="AE23" s="328">
        <f>Ruimtestaat[[#This Row],[Prest. (m2 /jaar) weekend]]+Ruimtestaat[[#This Row],[Prest. (m2 /jaar) werkdagen]]</f>
        <v>21400</v>
      </c>
      <c r="AF23" s="328">
        <f>Ruimtestaat[[#This Row],[uren / jaar weekend]]+Ruimtestaat[[#This Row],[uren / jaar werkdagen]]</f>
        <v>0</v>
      </c>
      <c r="AG23" s="329">
        <f>Ruimtestaat[[#This Row],[kosten / jaar weekend]]+Ruimtestaat[[#This Row],[kosten / jaar werkdagen]]</f>
        <v>0</v>
      </c>
      <c r="AH23" s="330"/>
      <c r="HL23" s="297"/>
    </row>
    <row r="24" spans="1:220" ht="15" customHeight="1">
      <c r="A24" s="271">
        <v>1</v>
      </c>
      <c r="B24" s="271" t="str">
        <f>VLOOKUP(Ruimtestaat[[#This Row],[Code]],Locaties[#All],2,FALSE)</f>
        <v>Hoofdgebouw</v>
      </c>
      <c r="C24" s="271" t="str">
        <f>VLOOKUP(Ruimtestaat[[#This Row],[Code]],Locaties[#All],4,FALSE)</f>
        <v>Sterrenlaan 16</v>
      </c>
      <c r="D24" s="271" t="str">
        <f>VLOOKUP(Ruimtestaat[[#This Row],[Code]],Locaties[#All],5,FALSE)</f>
        <v>5631 KA</v>
      </c>
      <c r="E24" s="271" t="str">
        <f>VLOOKUP(Ruimtestaat[[#This Row],[Code]],Locaties[#All],6,FALSE)</f>
        <v>Eindhoven</v>
      </c>
      <c r="F24" s="318"/>
      <c r="G24" s="271" t="s">
        <v>478</v>
      </c>
      <c r="H24" s="271" t="s">
        <v>512</v>
      </c>
      <c r="I24" s="228" t="s">
        <v>513</v>
      </c>
      <c r="J24" s="271">
        <v>3</v>
      </c>
      <c r="K24" s="318" t="str">
        <f>VLOOKUP(J24,Ruimtegroepen[],2,FALSE)</f>
        <v>Reproruimte</v>
      </c>
      <c r="L24" s="271" t="s">
        <v>113</v>
      </c>
      <c r="M24" s="271" t="s">
        <v>373</v>
      </c>
      <c r="N24" s="331">
        <v>56</v>
      </c>
      <c r="O24" s="319"/>
      <c r="P24" s="320" t="str">
        <f>LEFT(VLOOKUP(Ruimtestaat[[#This Row],[Ruimte code]],Ruimtegroepen[#All],4,1),2)</f>
        <v xml:space="preserve">V </v>
      </c>
      <c r="Q24" s="319"/>
      <c r="R24" s="271">
        <v>40</v>
      </c>
      <c r="S24" s="271" t="s">
        <v>18</v>
      </c>
      <c r="T24" s="321">
        <f>IF(R24&gt;0,IF(RIGHT(Ruimtestaat[[#This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24" s="321">
        <f>IF(T24&gt;0,VLOOKUP($J24,Ruimtegroepen[],3,FALSE)*VLOOKUP($L24,Vloersoorten[],3,FALSE)*VLOOKUP($S24,Frequenties[],3,FALSE)*VLOOKUP($A24,Locaties[],3,FALSE),0)</f>
        <v>0</v>
      </c>
      <c r="V24" s="322">
        <f>Ruimtestaat[[#This Row],[Uitvoeringen werkdagen]]*Ruimtestaat[[#This Row],[Oppervlak (netto)]]</f>
        <v>6720</v>
      </c>
      <c r="W24" s="323">
        <f>IF(U24&gt;0,Ruimtestaat[[#This Row],[Prest. (m2 /jaar) werkdagen]]/Ruimtestaat[[#This Row],[Norm (m2/uur) werkdagen]],0)</f>
        <v>0</v>
      </c>
      <c r="X24" s="324">
        <f>Ruimtestaat[[#This Row],[uren / jaar werkdagen]]*Tariefsopbouw!$E$35</f>
        <v>0</v>
      </c>
      <c r="Y24" s="321"/>
      <c r="Z24" s="325">
        <f>IF(Ruimtestaat[[#This Row],[Frequentie weekend]]&gt;0,VALUE(LEFT(Y24,1))*R24,0)</f>
        <v>0</v>
      </c>
      <c r="AA24" s="321">
        <f>IF($Z24&gt;0,VLOOKUP($J24,Ruimtegroepen[],3,FALSE)*VLOOKUP($L24,Vloersoorten[],3,FALSE)*VLOOKUP($Y24,Frequenties[],3,FALSE)*VLOOKUP($A19,Locaties[],3,FALSE),0)</f>
        <v>0</v>
      </c>
      <c r="AB24" s="323">
        <f>Ruimtestaat[[#This Row],[Uitvoeringen weekend]]*Ruimtestaat[[#This Row],[Oppervlak (netto)]]</f>
        <v>0</v>
      </c>
      <c r="AC24" s="326">
        <f>IF(AB24&gt;0,Ruimtestaat[[#This Row],[Prest. (m2 /jaar) weekend]]/Ruimtestaat[[#This Row],[Norm (m2/uur) weekend]],0)</f>
        <v>0</v>
      </c>
      <c r="AD24" s="327">
        <f>Ruimtestaat[[#This Row],[uren / jaar weekend]]*Tariefsopbouw!$D$40</f>
        <v>0</v>
      </c>
      <c r="AE24" s="328">
        <f>Ruimtestaat[[#This Row],[Prest. (m2 /jaar) weekend]]+Ruimtestaat[[#This Row],[Prest. (m2 /jaar) werkdagen]]</f>
        <v>6720</v>
      </c>
      <c r="AF24" s="328">
        <f>Ruimtestaat[[#This Row],[uren / jaar weekend]]+Ruimtestaat[[#This Row],[uren / jaar werkdagen]]</f>
        <v>0</v>
      </c>
      <c r="AG24" s="329">
        <f>Ruimtestaat[[#This Row],[kosten / jaar weekend]]+Ruimtestaat[[#This Row],[kosten / jaar werkdagen]]</f>
        <v>0</v>
      </c>
      <c r="AH24" s="330"/>
      <c r="HL24" s="297"/>
    </row>
    <row r="25" spans="1:220" ht="15" customHeight="1">
      <c r="A25" s="271">
        <v>1</v>
      </c>
      <c r="B25" s="271" t="str">
        <f>VLOOKUP(Ruimtestaat[[#This Row],[Code]],Locaties[#All],2,FALSE)</f>
        <v>Hoofdgebouw</v>
      </c>
      <c r="C25" s="271" t="str">
        <f>VLOOKUP(Ruimtestaat[[#This Row],[Code]],Locaties[#All],4,FALSE)</f>
        <v>Sterrenlaan 16</v>
      </c>
      <c r="D25" s="271" t="str">
        <f>VLOOKUP(Ruimtestaat[[#This Row],[Code]],Locaties[#All],5,FALSE)</f>
        <v>5631 KA</v>
      </c>
      <c r="E25" s="271" t="str">
        <f>VLOOKUP(Ruimtestaat[[#This Row],[Code]],Locaties[#All],6,FALSE)</f>
        <v>Eindhoven</v>
      </c>
      <c r="F25" s="318"/>
      <c r="G25" s="271" t="s">
        <v>478</v>
      </c>
      <c r="H25" s="271" t="s">
        <v>514</v>
      </c>
      <c r="I25" s="228" t="s">
        <v>515</v>
      </c>
      <c r="J25" s="271">
        <v>20</v>
      </c>
      <c r="K25" s="318" t="str">
        <f>VLOOKUP(J25,Ruimtegroepen[],2,FALSE)</f>
        <v>Niet in onderhoud</v>
      </c>
      <c r="L25" s="271" t="s">
        <v>113</v>
      </c>
      <c r="M25" s="271" t="s">
        <v>373</v>
      </c>
      <c r="N25" s="319"/>
      <c r="O25" s="319">
        <v>33</v>
      </c>
      <c r="P25" s="320" t="str">
        <f>LEFT(VLOOKUP(Ruimtestaat[[#This Row],[Ruimte code]],Ruimtegroepen[#All],4,1),2)</f>
        <v/>
      </c>
      <c r="Q25" s="319"/>
      <c r="R25" s="271"/>
      <c r="S25" s="271"/>
      <c r="T25" s="321">
        <f>IF(R25&gt;0,IF(RIGHT(Ruimtestaat[[#This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5" s="321">
        <f>IF(T25&gt;0,VLOOKUP($J25,Ruimtegroepen[],3,FALSE)*VLOOKUP($L25,Vloersoorten[],3,FALSE)*VLOOKUP($S25,Frequenties[],3,FALSE)*VLOOKUP($A25,Locaties[],3,FALSE),0)</f>
        <v>0</v>
      </c>
      <c r="V25" s="322">
        <f>Ruimtestaat[[#This Row],[Uitvoeringen werkdagen]]*Ruimtestaat[[#This Row],[Oppervlak (netto)]]</f>
        <v>0</v>
      </c>
      <c r="W25" s="323">
        <f>IF(U25&gt;0,Ruimtestaat[[#This Row],[Prest. (m2 /jaar) werkdagen]]/Ruimtestaat[[#This Row],[Norm (m2/uur) werkdagen]],0)</f>
        <v>0</v>
      </c>
      <c r="X25" s="324">
        <f>Ruimtestaat[[#This Row],[uren / jaar werkdagen]]*Tariefsopbouw!$E$35</f>
        <v>0</v>
      </c>
      <c r="Y25" s="321"/>
      <c r="Z25" s="325">
        <f>IF(Ruimtestaat[[#This Row],[Frequentie weekend]]&gt;0,VALUE(LEFT(Y25,1))*R25,0)</f>
        <v>0</v>
      </c>
      <c r="AA25" s="321">
        <f>IF($Z25&gt;0,VLOOKUP($J25,Ruimtegroepen[],3,FALSE)*VLOOKUP($L25,Vloersoorten[],3,FALSE)*VLOOKUP($Y25,Frequenties[],3,FALSE)*VLOOKUP($A21,Locaties[],3,FALSE),0)</f>
        <v>0</v>
      </c>
      <c r="AB25" s="323">
        <f>Ruimtestaat[[#This Row],[Uitvoeringen weekend]]*Ruimtestaat[[#This Row],[Oppervlak (netto)]]</f>
        <v>0</v>
      </c>
      <c r="AC25" s="326">
        <f>IF(AB25&gt;0,Ruimtestaat[[#This Row],[Prest. (m2 /jaar) weekend]]/Ruimtestaat[[#This Row],[Norm (m2/uur) weekend]],0)</f>
        <v>0</v>
      </c>
      <c r="AD25" s="327">
        <f>Ruimtestaat[[#This Row],[uren / jaar weekend]]*Tariefsopbouw!$D$40</f>
        <v>0</v>
      </c>
      <c r="AE25" s="328">
        <f>Ruimtestaat[[#This Row],[Prest. (m2 /jaar) weekend]]+Ruimtestaat[[#This Row],[Prest. (m2 /jaar) werkdagen]]</f>
        <v>0</v>
      </c>
      <c r="AF25" s="328">
        <f>Ruimtestaat[[#This Row],[uren / jaar weekend]]+Ruimtestaat[[#This Row],[uren / jaar werkdagen]]</f>
        <v>0</v>
      </c>
      <c r="AG25" s="329">
        <f>Ruimtestaat[[#This Row],[kosten / jaar weekend]]+Ruimtestaat[[#This Row],[kosten / jaar werkdagen]]</f>
        <v>0</v>
      </c>
      <c r="AH25" s="330"/>
      <c r="HL25" s="297"/>
    </row>
    <row r="26" spans="1:220" ht="15" customHeight="1">
      <c r="A26" s="271">
        <v>1</v>
      </c>
      <c r="B26" s="271" t="str">
        <f>VLOOKUP(Ruimtestaat[[#This Row],[Code]],Locaties[#All],2,FALSE)</f>
        <v>Hoofdgebouw</v>
      </c>
      <c r="C26" s="271" t="str">
        <f>VLOOKUP(Ruimtestaat[[#This Row],[Code]],Locaties[#All],4,FALSE)</f>
        <v>Sterrenlaan 16</v>
      </c>
      <c r="D26" s="271" t="str">
        <f>VLOOKUP(Ruimtestaat[[#This Row],[Code]],Locaties[#All],5,FALSE)</f>
        <v>5631 KA</v>
      </c>
      <c r="E26" s="271" t="str">
        <f>VLOOKUP(Ruimtestaat[[#This Row],[Code]],Locaties[#All],6,FALSE)</f>
        <v>Eindhoven</v>
      </c>
      <c r="F26" s="318"/>
      <c r="G26" s="271" t="s">
        <v>478</v>
      </c>
      <c r="H26" s="271" t="s">
        <v>516</v>
      </c>
      <c r="I26" s="228" t="s">
        <v>368</v>
      </c>
      <c r="J26" s="271">
        <v>6</v>
      </c>
      <c r="K26" s="318" t="str">
        <f>VLOOKUP(J26,Ruimtegroepen[],2,FALSE)</f>
        <v>Gangen/hallen</v>
      </c>
      <c r="L26" s="271" t="s">
        <v>113</v>
      </c>
      <c r="M26" s="271" t="s">
        <v>373</v>
      </c>
      <c r="N26" s="319">
        <v>52</v>
      </c>
      <c r="O26" s="319"/>
      <c r="P26" s="320" t="str">
        <f>LEFT(VLOOKUP(Ruimtestaat[[#This Row],[Ruimte code]],Ruimtegroepen[#All],4,1),2)</f>
        <v xml:space="preserve">V </v>
      </c>
      <c r="Q26" s="319"/>
      <c r="R26" s="271">
        <v>40</v>
      </c>
      <c r="S26" s="271" t="s">
        <v>2</v>
      </c>
      <c r="T26" s="321">
        <f>IF(R26&gt;0,IF(RIGHT(Ruimtestaat[[#This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" s="321">
        <f>IF(T26&gt;0,VLOOKUP($J26,Ruimtegroepen[],3,FALSE)*VLOOKUP($L26,Vloersoorten[],3,FALSE)*VLOOKUP($S26,Frequenties[],3,FALSE)*VLOOKUP($A26,Locaties[],3,FALSE),0)</f>
        <v>0</v>
      </c>
      <c r="V26" s="322">
        <f>Ruimtestaat[[#This Row],[Uitvoeringen werkdagen]]*Ruimtestaat[[#This Row],[Oppervlak (netto)]]</f>
        <v>10400</v>
      </c>
      <c r="W26" s="323">
        <f>IF(U26&gt;0,Ruimtestaat[[#This Row],[Prest. (m2 /jaar) werkdagen]]/Ruimtestaat[[#This Row],[Norm (m2/uur) werkdagen]],0)</f>
        <v>0</v>
      </c>
      <c r="X26" s="324">
        <f>Ruimtestaat[[#This Row],[uren / jaar werkdagen]]*Tariefsopbouw!$E$35</f>
        <v>0</v>
      </c>
      <c r="Y26" s="321"/>
      <c r="Z26" s="325">
        <f>IF(Ruimtestaat[[#This Row],[Frequentie weekend]]&gt;0,VALUE(LEFT(Y26,1))*R26,0)</f>
        <v>0</v>
      </c>
      <c r="AA26" s="321">
        <f>IF($Z26&gt;0,VLOOKUP($J26,Ruimtegroepen[],3,FALSE)*VLOOKUP($L26,Vloersoorten[],3,FALSE)*VLOOKUP($Y26,Frequenties[],3,FALSE)*VLOOKUP($A22,Locaties[],3,FALSE),0)</f>
        <v>0</v>
      </c>
      <c r="AB26" s="323">
        <f>Ruimtestaat[[#This Row],[Uitvoeringen weekend]]*Ruimtestaat[[#This Row],[Oppervlak (netto)]]</f>
        <v>0</v>
      </c>
      <c r="AC26" s="326">
        <f>IF(AB26&gt;0,Ruimtestaat[[#This Row],[Prest. (m2 /jaar) weekend]]/Ruimtestaat[[#This Row],[Norm (m2/uur) weekend]],0)</f>
        <v>0</v>
      </c>
      <c r="AD26" s="327">
        <f>Ruimtestaat[[#This Row],[uren / jaar weekend]]*Tariefsopbouw!$D$40</f>
        <v>0</v>
      </c>
      <c r="AE26" s="328">
        <f>Ruimtestaat[[#This Row],[Prest. (m2 /jaar) weekend]]+Ruimtestaat[[#This Row],[Prest. (m2 /jaar) werkdagen]]</f>
        <v>10400</v>
      </c>
      <c r="AF26" s="328">
        <f>Ruimtestaat[[#This Row],[uren / jaar weekend]]+Ruimtestaat[[#This Row],[uren / jaar werkdagen]]</f>
        <v>0</v>
      </c>
      <c r="AG26" s="329">
        <f>Ruimtestaat[[#This Row],[kosten / jaar weekend]]+Ruimtestaat[[#This Row],[kosten / jaar werkdagen]]</f>
        <v>0</v>
      </c>
      <c r="AH26" s="330"/>
      <c r="HL26" s="297"/>
    </row>
    <row r="27" spans="1:220" ht="15" customHeight="1">
      <c r="A27" s="271">
        <v>1</v>
      </c>
      <c r="B27" s="271" t="str">
        <f>VLOOKUP(Ruimtestaat[[#This Row],[Code]],Locaties[#All],2,FALSE)</f>
        <v>Hoofdgebouw</v>
      </c>
      <c r="C27" s="271" t="str">
        <f>VLOOKUP(Ruimtestaat[[#This Row],[Code]],Locaties[#All],4,FALSE)</f>
        <v>Sterrenlaan 16</v>
      </c>
      <c r="D27" s="271" t="str">
        <f>VLOOKUP(Ruimtestaat[[#This Row],[Code]],Locaties[#All],5,FALSE)</f>
        <v>5631 KA</v>
      </c>
      <c r="E27" s="271" t="str">
        <f>VLOOKUP(Ruimtestaat[[#This Row],[Code]],Locaties[#All],6,FALSE)</f>
        <v>Eindhoven</v>
      </c>
      <c r="F27" s="318"/>
      <c r="G27" s="271" t="s">
        <v>478</v>
      </c>
      <c r="H27" s="271" t="s">
        <v>517</v>
      </c>
      <c r="I27" s="228" t="s">
        <v>518</v>
      </c>
      <c r="J27" s="271">
        <v>2</v>
      </c>
      <c r="K27" s="318" t="str">
        <f>VLOOKUP(J27,Ruimtegroepen[],2,FALSE)</f>
        <v>Kantoren</v>
      </c>
      <c r="L27" s="271" t="s">
        <v>113</v>
      </c>
      <c r="M27" s="271" t="s">
        <v>373</v>
      </c>
      <c r="N27" s="319">
        <v>25</v>
      </c>
      <c r="O27" s="319"/>
      <c r="P27" s="320" t="str">
        <f>LEFT(VLOOKUP(Ruimtestaat[[#This Row],[Ruimte code]],Ruimtegroepen[#All],4,1),2)</f>
        <v xml:space="preserve">B </v>
      </c>
      <c r="Q27" s="319"/>
      <c r="R27" s="271">
        <v>40</v>
      </c>
      <c r="S27" s="271" t="s">
        <v>17</v>
      </c>
      <c r="T27" s="321">
        <f>IF(R27&gt;0,IF(RIGHT(Ruimtestaat[[#This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7" s="321">
        <f>IF(T27&gt;0,VLOOKUP($J27,Ruimtegroepen[],3,FALSE)*VLOOKUP($L27,Vloersoorten[],3,FALSE)*VLOOKUP($S27,Frequenties[],3,FALSE)*VLOOKUP($A27,Locaties[],3,FALSE),0)</f>
        <v>0</v>
      </c>
      <c r="V27" s="322">
        <f>Ruimtestaat[[#This Row],[Uitvoeringen werkdagen]]*Ruimtestaat[[#This Row],[Oppervlak (netto)]]</f>
        <v>2000</v>
      </c>
      <c r="W27" s="323">
        <f>IF(U27&gt;0,Ruimtestaat[[#This Row],[Prest. (m2 /jaar) werkdagen]]/Ruimtestaat[[#This Row],[Norm (m2/uur) werkdagen]],0)</f>
        <v>0</v>
      </c>
      <c r="X27" s="324">
        <f>Ruimtestaat[[#This Row],[uren / jaar werkdagen]]*Tariefsopbouw!$E$35</f>
        <v>0</v>
      </c>
      <c r="Y27" s="321"/>
      <c r="Z27" s="325">
        <f>IF(Ruimtestaat[[#This Row],[Frequentie weekend]]&gt;0,VALUE(LEFT(Y27,1))*R27,0)</f>
        <v>0</v>
      </c>
      <c r="AA27" s="321">
        <f>IF($Z27&gt;0,VLOOKUP($J27,Ruimtegroepen[],3,FALSE)*VLOOKUP($L27,Vloersoorten[],3,FALSE)*VLOOKUP($Y27,Frequenties[],3,FALSE)*VLOOKUP($A23,Locaties[],3,FALSE),0)</f>
        <v>0</v>
      </c>
      <c r="AB27" s="323">
        <f>Ruimtestaat[[#This Row],[Uitvoeringen weekend]]*Ruimtestaat[[#This Row],[Oppervlak (netto)]]</f>
        <v>0</v>
      </c>
      <c r="AC27" s="326">
        <f>IF(AB27&gt;0,Ruimtestaat[[#This Row],[Prest. (m2 /jaar) weekend]]/Ruimtestaat[[#This Row],[Norm (m2/uur) weekend]],0)</f>
        <v>0</v>
      </c>
      <c r="AD27" s="327">
        <f>Ruimtestaat[[#This Row],[uren / jaar weekend]]*Tariefsopbouw!$D$40</f>
        <v>0</v>
      </c>
      <c r="AE27" s="328">
        <f>Ruimtestaat[[#This Row],[Prest. (m2 /jaar) weekend]]+Ruimtestaat[[#This Row],[Prest. (m2 /jaar) werkdagen]]</f>
        <v>2000</v>
      </c>
      <c r="AF27" s="328">
        <f>Ruimtestaat[[#This Row],[uren / jaar weekend]]+Ruimtestaat[[#This Row],[uren / jaar werkdagen]]</f>
        <v>0</v>
      </c>
      <c r="AG27" s="329">
        <f>Ruimtestaat[[#This Row],[kosten / jaar weekend]]+Ruimtestaat[[#This Row],[kosten / jaar werkdagen]]</f>
        <v>0</v>
      </c>
      <c r="AH27" s="330"/>
      <c r="HL27" s="297"/>
    </row>
    <row r="28" spans="1:220" ht="15" customHeight="1">
      <c r="A28" s="271">
        <v>1</v>
      </c>
      <c r="B28" s="271" t="str">
        <f>VLOOKUP(Ruimtestaat[[#This Row],[Code]],Locaties[#All],2,FALSE)</f>
        <v>Hoofdgebouw</v>
      </c>
      <c r="C28" s="271" t="str">
        <f>VLOOKUP(Ruimtestaat[[#This Row],[Code]],Locaties[#All],4,FALSE)</f>
        <v>Sterrenlaan 16</v>
      </c>
      <c r="D28" s="271" t="str">
        <f>VLOOKUP(Ruimtestaat[[#This Row],[Code]],Locaties[#All],5,FALSE)</f>
        <v>5631 KA</v>
      </c>
      <c r="E28" s="271" t="str">
        <f>VLOOKUP(Ruimtestaat[[#This Row],[Code]],Locaties[#All],6,FALSE)</f>
        <v>Eindhoven</v>
      </c>
      <c r="F28" s="318"/>
      <c r="G28" s="271" t="s">
        <v>478</v>
      </c>
      <c r="H28" s="271" t="s">
        <v>519</v>
      </c>
      <c r="I28" s="228" t="s">
        <v>520</v>
      </c>
      <c r="J28" s="271">
        <v>2</v>
      </c>
      <c r="K28" s="318" t="str">
        <f>VLOOKUP(J28,Ruimtegroepen[],2,FALSE)</f>
        <v>Kantoren</v>
      </c>
      <c r="L28" s="271" t="s">
        <v>113</v>
      </c>
      <c r="M28" s="271" t="s">
        <v>373</v>
      </c>
      <c r="N28" s="319">
        <v>17</v>
      </c>
      <c r="O28" s="319"/>
      <c r="P28" s="320" t="str">
        <f>LEFT(VLOOKUP(Ruimtestaat[[#This Row],[Ruimte code]],Ruimtegroepen[#All],4,1),2)</f>
        <v xml:space="preserve">B </v>
      </c>
      <c r="Q28" s="319"/>
      <c r="R28" s="271">
        <v>40</v>
      </c>
      <c r="S28" s="271" t="s">
        <v>17</v>
      </c>
      <c r="T28" s="321">
        <f>IF(R28&gt;0,IF(RIGHT(Ruimtestaat[[#This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8" s="321">
        <f>IF(T28&gt;0,VLOOKUP($J28,Ruimtegroepen[],3,FALSE)*VLOOKUP($L28,Vloersoorten[],3,FALSE)*VLOOKUP($S28,Frequenties[],3,FALSE)*VLOOKUP($A28,Locaties[],3,FALSE),0)</f>
        <v>0</v>
      </c>
      <c r="V28" s="322">
        <f>Ruimtestaat[[#This Row],[Uitvoeringen werkdagen]]*Ruimtestaat[[#This Row],[Oppervlak (netto)]]</f>
        <v>1360</v>
      </c>
      <c r="W28" s="323">
        <f>IF(U28&gt;0,Ruimtestaat[[#This Row],[Prest. (m2 /jaar) werkdagen]]/Ruimtestaat[[#This Row],[Norm (m2/uur) werkdagen]],0)</f>
        <v>0</v>
      </c>
      <c r="X28" s="324">
        <f>Ruimtestaat[[#This Row],[uren / jaar werkdagen]]*Tariefsopbouw!$E$35</f>
        <v>0</v>
      </c>
      <c r="Y28" s="321"/>
      <c r="Z28" s="325">
        <f>IF(Ruimtestaat[[#This Row],[Frequentie weekend]]&gt;0,VALUE(LEFT(Y28,1))*R28,0)</f>
        <v>0</v>
      </c>
      <c r="AA28" s="321">
        <f>IF($Z28&gt;0,VLOOKUP($J28,Ruimtegroepen[],3,FALSE)*VLOOKUP($L28,Vloersoorten[],3,FALSE)*VLOOKUP($Y28,Frequenties[],3,FALSE)*VLOOKUP($A24,Locaties[],3,FALSE),0)</f>
        <v>0</v>
      </c>
      <c r="AB28" s="323">
        <f>Ruimtestaat[[#This Row],[Uitvoeringen weekend]]*Ruimtestaat[[#This Row],[Oppervlak (netto)]]</f>
        <v>0</v>
      </c>
      <c r="AC28" s="326">
        <f>IF(AB28&gt;0,Ruimtestaat[[#This Row],[Prest. (m2 /jaar) weekend]]/Ruimtestaat[[#This Row],[Norm (m2/uur) weekend]],0)</f>
        <v>0</v>
      </c>
      <c r="AD28" s="327">
        <f>Ruimtestaat[[#This Row],[uren / jaar weekend]]*Tariefsopbouw!$D$40</f>
        <v>0</v>
      </c>
      <c r="AE28" s="328">
        <f>Ruimtestaat[[#This Row],[Prest. (m2 /jaar) weekend]]+Ruimtestaat[[#This Row],[Prest. (m2 /jaar) werkdagen]]</f>
        <v>1360</v>
      </c>
      <c r="AF28" s="328">
        <f>Ruimtestaat[[#This Row],[uren / jaar weekend]]+Ruimtestaat[[#This Row],[uren / jaar werkdagen]]</f>
        <v>0</v>
      </c>
      <c r="AG28" s="329">
        <f>Ruimtestaat[[#This Row],[kosten / jaar weekend]]+Ruimtestaat[[#This Row],[kosten / jaar werkdagen]]</f>
        <v>0</v>
      </c>
      <c r="AH28" s="330"/>
      <c r="HL28" s="297"/>
    </row>
    <row r="29" spans="1:220" ht="15" customHeight="1">
      <c r="A29" s="271">
        <v>1</v>
      </c>
      <c r="B29" s="271" t="str">
        <f>VLOOKUP(Ruimtestaat[[#This Row],[Code]],Locaties[#All],2,FALSE)</f>
        <v>Hoofdgebouw</v>
      </c>
      <c r="C29" s="271" t="str">
        <f>VLOOKUP(Ruimtestaat[[#This Row],[Code]],Locaties[#All],4,FALSE)</f>
        <v>Sterrenlaan 16</v>
      </c>
      <c r="D29" s="271" t="str">
        <f>VLOOKUP(Ruimtestaat[[#This Row],[Code]],Locaties[#All],5,FALSE)</f>
        <v>5631 KA</v>
      </c>
      <c r="E29" s="271" t="str">
        <f>VLOOKUP(Ruimtestaat[[#This Row],[Code]],Locaties[#All],6,FALSE)</f>
        <v>Eindhoven</v>
      </c>
      <c r="F29" s="318"/>
      <c r="G29" s="271" t="s">
        <v>478</v>
      </c>
      <c r="H29" s="271" t="s">
        <v>521</v>
      </c>
      <c r="I29" s="318" t="s">
        <v>522</v>
      </c>
      <c r="J29" s="271">
        <v>5</v>
      </c>
      <c r="K29" s="318" t="str">
        <f>VLOOKUP(J29,Ruimtegroepen[],2,FALSE)</f>
        <v>Sanitair</v>
      </c>
      <c r="L29" s="271" t="s">
        <v>114</v>
      </c>
      <c r="M29" s="271" t="s">
        <v>700</v>
      </c>
      <c r="N29" s="331">
        <v>5</v>
      </c>
      <c r="O29" s="331"/>
      <c r="P29" s="320" t="str">
        <f>LEFT(VLOOKUP(Ruimtestaat[[#This Row],[Ruimte code]],Ruimtegroepen[#All],4,1),2)</f>
        <v xml:space="preserve">S </v>
      </c>
      <c r="Q29" s="332"/>
      <c r="R29" s="271">
        <v>42</v>
      </c>
      <c r="S29" s="271" t="s">
        <v>2</v>
      </c>
      <c r="T29" s="321">
        <f>IF(R29&gt;0,IF(RIGHT(Ruimtestaat[[#This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29" s="321">
        <f>IF(T29&gt;0,VLOOKUP($J29,Ruimtegroepen[],3,FALSE)*VLOOKUP($L29,Vloersoorten[],3,FALSE)*VLOOKUP($S29,Frequenties[],3,FALSE)*VLOOKUP($A29,Locaties[],3,FALSE),0)</f>
        <v>0</v>
      </c>
      <c r="V29" s="322">
        <f>Ruimtestaat[[#This Row],[Uitvoeringen werkdagen]]*Ruimtestaat[[#This Row],[Oppervlak (netto)]]</f>
        <v>1050</v>
      </c>
      <c r="W29" s="323">
        <f>IF(U29&gt;0,Ruimtestaat[[#This Row],[Prest. (m2 /jaar) werkdagen]]/Ruimtestaat[[#This Row],[Norm (m2/uur) werkdagen]],0)</f>
        <v>0</v>
      </c>
      <c r="X29" s="324">
        <f>Ruimtestaat[[#This Row],[uren / jaar werkdagen]]*Tariefsopbouw!$E$35</f>
        <v>0</v>
      </c>
      <c r="Y29" s="333"/>
      <c r="Z29" s="325">
        <f>IF(Ruimtestaat[[#This Row],[Frequentie weekend]]&gt;0,VALUE(LEFT(Y29,1))*R29,0)</f>
        <v>0</v>
      </c>
      <c r="AA29" s="321">
        <f>IF($Z29&gt;0,VLOOKUP($J29,Ruimtegroepen[],3,FALSE)*VLOOKUP($L29,Vloersoorten[],3,FALSE)*VLOOKUP($Y29,Frequenties[],3,FALSE)*VLOOKUP($A25,Locaties[],3,FALSE),0)</f>
        <v>0</v>
      </c>
      <c r="AB29" s="323">
        <f>Ruimtestaat[[#This Row],[Uitvoeringen weekend]]*Ruimtestaat[[#This Row],[Oppervlak (netto)]]</f>
        <v>0</v>
      </c>
      <c r="AC29" s="326">
        <f>IF(AB29&gt;0,Ruimtestaat[[#This Row],[Prest. (m2 /jaar) weekend]]/Ruimtestaat[[#This Row],[Norm (m2/uur) weekend]],0)</f>
        <v>0</v>
      </c>
      <c r="AD29" s="327">
        <f>Ruimtestaat[[#This Row],[uren / jaar weekend]]*Tariefsopbouw!$D$40</f>
        <v>0</v>
      </c>
      <c r="AE29" s="328">
        <f>Ruimtestaat[[#This Row],[Prest. (m2 /jaar) weekend]]+Ruimtestaat[[#This Row],[Prest. (m2 /jaar) werkdagen]]</f>
        <v>1050</v>
      </c>
      <c r="AF29" s="328">
        <f>Ruimtestaat[[#This Row],[uren / jaar weekend]]+Ruimtestaat[[#This Row],[uren / jaar werkdagen]]</f>
        <v>0</v>
      </c>
      <c r="AG29" s="329">
        <f>Ruimtestaat[[#This Row],[kosten / jaar weekend]]+Ruimtestaat[[#This Row],[kosten / jaar werkdagen]]</f>
        <v>0</v>
      </c>
      <c r="AH29" s="330"/>
      <c r="HL29" s="297"/>
    </row>
    <row r="30" spans="1:220" ht="15" customHeight="1">
      <c r="A30" s="271">
        <v>1</v>
      </c>
      <c r="B30" s="271" t="str">
        <f>VLOOKUP(Ruimtestaat[[#This Row],[Code]],Locaties[#All],2,FALSE)</f>
        <v>Hoofdgebouw</v>
      </c>
      <c r="C30" s="271" t="str">
        <f>VLOOKUP(Ruimtestaat[[#This Row],[Code]],Locaties[#All],4,FALSE)</f>
        <v>Sterrenlaan 16</v>
      </c>
      <c r="D30" s="271" t="str">
        <f>VLOOKUP(Ruimtestaat[[#This Row],[Code]],Locaties[#All],5,FALSE)</f>
        <v>5631 KA</v>
      </c>
      <c r="E30" s="271" t="str">
        <f>VLOOKUP(Ruimtestaat[[#This Row],[Code]],Locaties[#All],6,FALSE)</f>
        <v>Eindhoven</v>
      </c>
      <c r="F30" s="318"/>
      <c r="G30" s="271" t="s">
        <v>478</v>
      </c>
      <c r="H30" s="271" t="s">
        <v>523</v>
      </c>
      <c r="I30" s="228" t="s">
        <v>509</v>
      </c>
      <c r="J30" s="271">
        <v>20</v>
      </c>
      <c r="K30" s="318" t="str">
        <f>VLOOKUP(J30,Ruimtegroepen[],2,FALSE)</f>
        <v>Niet in onderhoud</v>
      </c>
      <c r="L30" s="271" t="s">
        <v>114</v>
      </c>
      <c r="M30" s="271" t="s">
        <v>703</v>
      </c>
      <c r="N30" s="319"/>
      <c r="O30" s="319"/>
      <c r="P30" s="320" t="str">
        <f>LEFT(VLOOKUP(Ruimtestaat[[#This Row],[Ruimte code]],Ruimtegroepen[#All],4,1),2)</f>
        <v/>
      </c>
      <c r="Q30" s="319"/>
      <c r="R30" s="271"/>
      <c r="S30" s="271"/>
      <c r="T30" s="321">
        <f>IF(R30&gt;0,IF(RIGHT(Ruimtestaat[[#This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0" s="321">
        <f>IF(T30&gt;0,VLOOKUP($J30,Ruimtegroepen[],3,FALSE)*VLOOKUP($L30,Vloersoorten[],3,FALSE)*VLOOKUP($S30,Frequenties[],3,FALSE)*VLOOKUP($A30,Locaties[],3,FALSE),0)</f>
        <v>0</v>
      </c>
      <c r="V30" s="322">
        <f>Ruimtestaat[[#This Row],[Uitvoeringen werkdagen]]*Ruimtestaat[[#This Row],[Oppervlak (netto)]]</f>
        <v>0</v>
      </c>
      <c r="W30" s="323">
        <f>IF(U30&gt;0,Ruimtestaat[[#This Row],[Prest. (m2 /jaar) werkdagen]]/Ruimtestaat[[#This Row],[Norm (m2/uur) werkdagen]],0)</f>
        <v>0</v>
      </c>
      <c r="X30" s="324">
        <f>Ruimtestaat[[#This Row],[uren / jaar werkdagen]]*Tariefsopbouw!$E$35</f>
        <v>0</v>
      </c>
      <c r="Y30" s="321"/>
      <c r="Z30" s="325">
        <f>IF(Ruimtestaat[[#This Row],[Frequentie weekend]]&gt;0,VALUE(LEFT(Y30,1))*R30,0)</f>
        <v>0</v>
      </c>
      <c r="AA30" s="321">
        <f>IF($Z30&gt;0,VLOOKUP($J30,Ruimtegroepen[],3,FALSE)*VLOOKUP($L30,Vloersoorten[],3,FALSE)*VLOOKUP($Y30,Frequenties[],3,FALSE)*VLOOKUP($A25,Locaties[],3,FALSE),0)</f>
        <v>0</v>
      </c>
      <c r="AB30" s="323">
        <f>Ruimtestaat[[#This Row],[Uitvoeringen weekend]]*Ruimtestaat[[#This Row],[Oppervlak (netto)]]</f>
        <v>0</v>
      </c>
      <c r="AC30" s="326">
        <f>IF(AB30&gt;0,Ruimtestaat[[#This Row],[Prest. (m2 /jaar) weekend]]/Ruimtestaat[[#This Row],[Norm (m2/uur) weekend]],0)</f>
        <v>0</v>
      </c>
      <c r="AD30" s="327">
        <f>Ruimtestaat[[#This Row],[uren / jaar weekend]]*Tariefsopbouw!$D$40</f>
        <v>0</v>
      </c>
      <c r="AE30" s="328">
        <f>Ruimtestaat[[#This Row],[Prest. (m2 /jaar) weekend]]+Ruimtestaat[[#This Row],[Prest. (m2 /jaar) werkdagen]]</f>
        <v>0</v>
      </c>
      <c r="AF30" s="328">
        <f>Ruimtestaat[[#This Row],[uren / jaar weekend]]+Ruimtestaat[[#This Row],[uren / jaar werkdagen]]</f>
        <v>0</v>
      </c>
      <c r="AG30" s="329">
        <f>Ruimtestaat[[#This Row],[kosten / jaar weekend]]+Ruimtestaat[[#This Row],[kosten / jaar werkdagen]]</f>
        <v>0</v>
      </c>
      <c r="AH30" s="330"/>
      <c r="HL30" s="297"/>
    </row>
    <row r="31" spans="1:220" ht="15" customHeight="1">
      <c r="A31" s="271">
        <v>1</v>
      </c>
      <c r="B31" s="271" t="str">
        <f>VLOOKUP(Ruimtestaat[[#This Row],[Code]],Locaties[#All],2,FALSE)</f>
        <v>Hoofdgebouw</v>
      </c>
      <c r="C31" s="271" t="str">
        <f>VLOOKUP(Ruimtestaat[[#This Row],[Code]],Locaties[#All],4,FALSE)</f>
        <v>Sterrenlaan 16</v>
      </c>
      <c r="D31" s="271" t="str">
        <f>VLOOKUP(Ruimtestaat[[#This Row],[Code]],Locaties[#All],5,FALSE)</f>
        <v>5631 KA</v>
      </c>
      <c r="E31" s="271" t="str">
        <f>VLOOKUP(Ruimtestaat[[#This Row],[Code]],Locaties[#All],6,FALSE)</f>
        <v>Eindhoven</v>
      </c>
      <c r="F31" s="318"/>
      <c r="G31" s="271" t="s">
        <v>478</v>
      </c>
      <c r="H31" s="271" t="s">
        <v>524</v>
      </c>
      <c r="I31" s="228" t="s">
        <v>525</v>
      </c>
      <c r="J31" s="271">
        <v>5</v>
      </c>
      <c r="K31" s="318" t="str">
        <f>VLOOKUP(J31,Ruimtegroepen[],2,FALSE)</f>
        <v>Sanitair</v>
      </c>
      <c r="L31" s="271" t="s">
        <v>114</v>
      </c>
      <c r="M31" s="271" t="s">
        <v>700</v>
      </c>
      <c r="N31" s="319">
        <v>1</v>
      </c>
      <c r="O31" s="319"/>
      <c r="P31" s="320" t="str">
        <f>LEFT(VLOOKUP(Ruimtestaat[[#This Row],[Ruimte code]],Ruimtegroepen[#All],4,1),2)</f>
        <v xml:space="preserve">S </v>
      </c>
      <c r="Q31" s="319"/>
      <c r="R31" s="271">
        <v>42</v>
      </c>
      <c r="S31" s="271" t="s">
        <v>2</v>
      </c>
      <c r="T31" s="321">
        <f>IF(R31&gt;0,IF(RIGHT(Ruimtestaat[[#This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31" s="321">
        <f>IF(T31&gt;0,VLOOKUP($J31,Ruimtegroepen[],3,FALSE)*VLOOKUP($L31,Vloersoorten[],3,FALSE)*VLOOKUP($S31,Frequenties[],3,FALSE)*VLOOKUP($A31,Locaties[],3,FALSE),0)</f>
        <v>0</v>
      </c>
      <c r="V31" s="322">
        <f>Ruimtestaat[[#This Row],[Uitvoeringen werkdagen]]*Ruimtestaat[[#This Row],[Oppervlak (netto)]]</f>
        <v>210</v>
      </c>
      <c r="W31" s="323">
        <f>IF(U31&gt;0,Ruimtestaat[[#This Row],[Prest. (m2 /jaar) werkdagen]]/Ruimtestaat[[#This Row],[Norm (m2/uur) werkdagen]],0)</f>
        <v>0</v>
      </c>
      <c r="X31" s="324">
        <f>Ruimtestaat[[#This Row],[uren / jaar werkdagen]]*Tariefsopbouw!$E$35</f>
        <v>0</v>
      </c>
      <c r="Y31" s="321"/>
      <c r="Z31" s="325">
        <f>IF(Ruimtestaat[[#This Row],[Frequentie weekend]]&gt;0,VALUE(LEFT(Y31,1))*R31,0)</f>
        <v>0</v>
      </c>
      <c r="AA31" s="321">
        <f>IF($Z31&gt;0,VLOOKUP($J31,Ruimtegroepen[],3,FALSE)*VLOOKUP($L31,Vloersoorten[],3,FALSE)*VLOOKUP($Y31,Frequenties[],3,FALSE)*VLOOKUP($A26,Locaties[],3,FALSE),0)</f>
        <v>0</v>
      </c>
      <c r="AB31" s="323">
        <f>Ruimtestaat[[#This Row],[Uitvoeringen weekend]]*Ruimtestaat[[#This Row],[Oppervlak (netto)]]</f>
        <v>0</v>
      </c>
      <c r="AC31" s="326">
        <f>IF(AB31&gt;0,Ruimtestaat[[#This Row],[Prest. (m2 /jaar) weekend]]/Ruimtestaat[[#This Row],[Norm (m2/uur) weekend]],0)</f>
        <v>0</v>
      </c>
      <c r="AD31" s="327">
        <f>Ruimtestaat[[#This Row],[uren / jaar weekend]]*Tariefsopbouw!$D$40</f>
        <v>0</v>
      </c>
      <c r="AE31" s="328">
        <f>Ruimtestaat[[#This Row],[Prest. (m2 /jaar) weekend]]+Ruimtestaat[[#This Row],[Prest. (m2 /jaar) werkdagen]]</f>
        <v>210</v>
      </c>
      <c r="AF31" s="328">
        <f>Ruimtestaat[[#This Row],[uren / jaar weekend]]+Ruimtestaat[[#This Row],[uren / jaar werkdagen]]</f>
        <v>0</v>
      </c>
      <c r="AG31" s="329">
        <f>Ruimtestaat[[#This Row],[kosten / jaar weekend]]+Ruimtestaat[[#This Row],[kosten / jaar werkdagen]]</f>
        <v>0</v>
      </c>
      <c r="AH31" s="330"/>
      <c r="HL31" s="297"/>
    </row>
    <row r="32" spans="1:220" ht="15" customHeight="1">
      <c r="A32" s="271">
        <v>1</v>
      </c>
      <c r="B32" s="271" t="str">
        <f>VLOOKUP(Ruimtestaat[[#This Row],[Code]],Locaties[#All],2,FALSE)</f>
        <v>Hoofdgebouw</v>
      </c>
      <c r="C32" s="271" t="str">
        <f>VLOOKUP(Ruimtestaat[[#This Row],[Code]],Locaties[#All],4,FALSE)</f>
        <v>Sterrenlaan 16</v>
      </c>
      <c r="D32" s="271" t="str">
        <f>VLOOKUP(Ruimtestaat[[#This Row],[Code]],Locaties[#All],5,FALSE)</f>
        <v>5631 KA</v>
      </c>
      <c r="E32" s="271" t="str">
        <f>VLOOKUP(Ruimtestaat[[#This Row],[Code]],Locaties[#All],6,FALSE)</f>
        <v>Eindhoven</v>
      </c>
      <c r="F32" s="318"/>
      <c r="G32" s="271" t="s">
        <v>478</v>
      </c>
      <c r="H32" s="271" t="s">
        <v>526</v>
      </c>
      <c r="I32" s="228" t="s">
        <v>527</v>
      </c>
      <c r="J32" s="271">
        <v>5</v>
      </c>
      <c r="K32" s="318" t="str">
        <f>VLOOKUP(J32,Ruimtegroepen[],2,FALSE)</f>
        <v>Sanitair</v>
      </c>
      <c r="L32" s="271" t="s">
        <v>114</v>
      </c>
      <c r="M32" s="271" t="s">
        <v>700</v>
      </c>
      <c r="N32" s="331">
        <v>1</v>
      </c>
      <c r="O32" s="319"/>
      <c r="P32" s="320" t="str">
        <f>LEFT(VLOOKUP(Ruimtestaat[[#This Row],[Ruimte code]],Ruimtegroepen[#All],4,1),2)</f>
        <v xml:space="preserve">S </v>
      </c>
      <c r="Q32" s="319"/>
      <c r="R32" s="271">
        <v>42</v>
      </c>
      <c r="S32" s="271" t="s">
        <v>2</v>
      </c>
      <c r="T32" s="321">
        <f>IF(R32&gt;0,IF(RIGHT(Ruimtestaat[[#This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32" s="321">
        <f>IF(T32&gt;0,VLOOKUP($J32,Ruimtegroepen[],3,FALSE)*VLOOKUP($L32,Vloersoorten[],3,FALSE)*VLOOKUP($S32,Frequenties[],3,FALSE)*VLOOKUP($A32,Locaties[],3,FALSE),0)</f>
        <v>0</v>
      </c>
      <c r="V32" s="322">
        <f>Ruimtestaat[[#This Row],[Uitvoeringen werkdagen]]*Ruimtestaat[[#This Row],[Oppervlak (netto)]]</f>
        <v>210</v>
      </c>
      <c r="W32" s="323">
        <f>IF(U32&gt;0,Ruimtestaat[[#This Row],[Prest. (m2 /jaar) werkdagen]]/Ruimtestaat[[#This Row],[Norm (m2/uur) werkdagen]],0)</f>
        <v>0</v>
      </c>
      <c r="X32" s="324">
        <f>Ruimtestaat[[#This Row],[uren / jaar werkdagen]]*Tariefsopbouw!$E$35</f>
        <v>0</v>
      </c>
      <c r="Y32" s="321"/>
      <c r="Z32" s="325">
        <f>IF(Ruimtestaat[[#This Row],[Frequentie weekend]]&gt;0,VALUE(LEFT(Y32,1))*R32,0)</f>
        <v>0</v>
      </c>
      <c r="AA32" s="321">
        <f>IF($Z32&gt;0,VLOOKUP($J32,Ruimtegroepen[],3,FALSE)*VLOOKUP($L32,Vloersoorten[],3,FALSE)*VLOOKUP($Y32,Frequenties[],3,FALSE)*VLOOKUP($A27,Locaties[],3,FALSE),0)</f>
        <v>0</v>
      </c>
      <c r="AB32" s="323">
        <f>Ruimtestaat[[#This Row],[Uitvoeringen weekend]]*Ruimtestaat[[#This Row],[Oppervlak (netto)]]</f>
        <v>0</v>
      </c>
      <c r="AC32" s="326">
        <f>IF(AB32&gt;0,Ruimtestaat[[#This Row],[Prest. (m2 /jaar) weekend]]/Ruimtestaat[[#This Row],[Norm (m2/uur) weekend]],0)</f>
        <v>0</v>
      </c>
      <c r="AD32" s="327">
        <f>Ruimtestaat[[#This Row],[uren / jaar weekend]]*Tariefsopbouw!$D$40</f>
        <v>0</v>
      </c>
      <c r="AE32" s="328">
        <f>Ruimtestaat[[#This Row],[Prest. (m2 /jaar) weekend]]+Ruimtestaat[[#This Row],[Prest. (m2 /jaar) werkdagen]]</f>
        <v>210</v>
      </c>
      <c r="AF32" s="328">
        <f>Ruimtestaat[[#This Row],[uren / jaar weekend]]+Ruimtestaat[[#This Row],[uren / jaar werkdagen]]</f>
        <v>0</v>
      </c>
      <c r="AG32" s="329">
        <f>Ruimtestaat[[#This Row],[kosten / jaar weekend]]+Ruimtestaat[[#This Row],[kosten / jaar werkdagen]]</f>
        <v>0</v>
      </c>
      <c r="AH32" s="330"/>
      <c r="HL32" s="297"/>
    </row>
    <row r="33" spans="1:220" ht="15" customHeight="1">
      <c r="A33" s="271">
        <v>1</v>
      </c>
      <c r="B33" s="271" t="str">
        <f>VLOOKUP(Ruimtestaat[[#This Row],[Code]],Locaties[#All],2,FALSE)</f>
        <v>Hoofdgebouw</v>
      </c>
      <c r="C33" s="271" t="str">
        <f>VLOOKUP(Ruimtestaat[[#This Row],[Code]],Locaties[#All],4,FALSE)</f>
        <v>Sterrenlaan 16</v>
      </c>
      <c r="D33" s="271" t="str">
        <f>VLOOKUP(Ruimtestaat[[#This Row],[Code]],Locaties[#All],5,FALSE)</f>
        <v>5631 KA</v>
      </c>
      <c r="E33" s="271" t="str">
        <f>VLOOKUP(Ruimtestaat[[#This Row],[Code]],Locaties[#All],6,FALSE)</f>
        <v>Eindhoven</v>
      </c>
      <c r="F33" s="318"/>
      <c r="G33" s="271" t="s">
        <v>478</v>
      </c>
      <c r="H33" s="271" t="s">
        <v>528</v>
      </c>
      <c r="I33" s="228" t="s">
        <v>529</v>
      </c>
      <c r="J33" s="271">
        <v>20</v>
      </c>
      <c r="K33" s="318" t="str">
        <f>VLOOKUP(J33,Ruimtegroepen[],2,FALSE)</f>
        <v>Niet in onderhoud</v>
      </c>
      <c r="L33" s="271" t="s">
        <v>113</v>
      </c>
      <c r="M33" s="271" t="s">
        <v>373</v>
      </c>
      <c r="N33" s="319"/>
      <c r="O33" s="319">
        <v>5</v>
      </c>
      <c r="P33" s="320" t="str">
        <f>LEFT(VLOOKUP(Ruimtestaat[[#This Row],[Ruimte code]],Ruimtegroepen[#All],4,1),2)</f>
        <v/>
      </c>
      <c r="Q33" s="319"/>
      <c r="R33" s="271"/>
      <c r="S33" s="271"/>
      <c r="T33" s="321">
        <f>IF(R33&gt;0,IF(RIGHT(Ruimtestaat[[#This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3" s="321">
        <f>IF(T33&gt;0,VLOOKUP($J33,Ruimtegroepen[],3,FALSE)*VLOOKUP($L33,Vloersoorten[],3,FALSE)*VLOOKUP($S33,Frequenties[],3,FALSE)*VLOOKUP($A33,Locaties[],3,FALSE),0)</f>
        <v>0</v>
      </c>
      <c r="V33" s="322">
        <f>Ruimtestaat[[#This Row],[Uitvoeringen werkdagen]]*Ruimtestaat[[#This Row],[Oppervlak (netto)]]</f>
        <v>0</v>
      </c>
      <c r="W33" s="323">
        <f>IF(U33&gt;0,Ruimtestaat[[#This Row],[Prest. (m2 /jaar) werkdagen]]/Ruimtestaat[[#This Row],[Norm (m2/uur) werkdagen]],0)</f>
        <v>0</v>
      </c>
      <c r="X33" s="324">
        <f>Ruimtestaat[[#This Row],[uren / jaar werkdagen]]*Tariefsopbouw!$E$35</f>
        <v>0</v>
      </c>
      <c r="Y33" s="321"/>
      <c r="Z33" s="325">
        <f>IF(Ruimtestaat[[#This Row],[Frequentie weekend]]&gt;0,VALUE(LEFT(Y33,1))*R33,0)</f>
        <v>0</v>
      </c>
      <c r="AA33" s="321">
        <f>IF($Z33&gt;0,VLOOKUP($J33,Ruimtegroepen[],3,FALSE)*VLOOKUP($L33,Vloersoorten[],3,FALSE)*VLOOKUP($Y33,Frequenties[],3,FALSE)*VLOOKUP($A28,Locaties[],3,FALSE),0)</f>
        <v>0</v>
      </c>
      <c r="AB33" s="323">
        <f>Ruimtestaat[[#This Row],[Uitvoeringen weekend]]*Ruimtestaat[[#This Row],[Oppervlak (netto)]]</f>
        <v>0</v>
      </c>
      <c r="AC33" s="326">
        <f>IF(AB33&gt;0,Ruimtestaat[[#This Row],[Prest. (m2 /jaar) weekend]]/Ruimtestaat[[#This Row],[Norm (m2/uur) weekend]],0)</f>
        <v>0</v>
      </c>
      <c r="AD33" s="327">
        <f>Ruimtestaat[[#This Row],[uren / jaar weekend]]*Tariefsopbouw!$D$40</f>
        <v>0</v>
      </c>
      <c r="AE33" s="328">
        <f>Ruimtestaat[[#This Row],[Prest. (m2 /jaar) weekend]]+Ruimtestaat[[#This Row],[Prest. (m2 /jaar) werkdagen]]</f>
        <v>0</v>
      </c>
      <c r="AF33" s="328">
        <f>Ruimtestaat[[#This Row],[uren / jaar weekend]]+Ruimtestaat[[#This Row],[uren / jaar werkdagen]]</f>
        <v>0</v>
      </c>
      <c r="AG33" s="329">
        <f>Ruimtestaat[[#This Row],[kosten / jaar weekend]]+Ruimtestaat[[#This Row],[kosten / jaar werkdagen]]</f>
        <v>0</v>
      </c>
      <c r="AH33" s="330"/>
      <c r="HL33" s="297"/>
    </row>
    <row r="34" spans="1:220" ht="15" customHeight="1">
      <c r="A34" s="271">
        <v>1</v>
      </c>
      <c r="B34" s="271" t="str">
        <f>VLOOKUP(Ruimtestaat[[#This Row],[Code]],Locaties[#All],2,FALSE)</f>
        <v>Hoofdgebouw</v>
      </c>
      <c r="C34" s="271" t="str">
        <f>VLOOKUP(Ruimtestaat[[#This Row],[Code]],Locaties[#All],4,FALSE)</f>
        <v>Sterrenlaan 16</v>
      </c>
      <c r="D34" s="271" t="str">
        <f>VLOOKUP(Ruimtestaat[[#This Row],[Code]],Locaties[#All],5,FALSE)</f>
        <v>5631 KA</v>
      </c>
      <c r="E34" s="271" t="str">
        <f>VLOOKUP(Ruimtestaat[[#This Row],[Code]],Locaties[#All],6,FALSE)</f>
        <v>Eindhoven</v>
      </c>
      <c r="F34" s="318"/>
      <c r="G34" s="271" t="s">
        <v>478</v>
      </c>
      <c r="H34" s="271" t="s">
        <v>519</v>
      </c>
      <c r="I34" s="228" t="s">
        <v>529</v>
      </c>
      <c r="J34" s="271">
        <v>20</v>
      </c>
      <c r="K34" s="318" t="str">
        <f>VLOOKUP(J34,Ruimtegroepen[],2,FALSE)</f>
        <v>Niet in onderhoud</v>
      </c>
      <c r="L34" s="271" t="s">
        <v>113</v>
      </c>
      <c r="M34" s="271" t="s">
        <v>373</v>
      </c>
      <c r="O34" s="319">
        <v>8</v>
      </c>
      <c r="P34" s="320" t="str">
        <f>LEFT(VLOOKUP(Ruimtestaat[[#This Row],[Ruimte code]],Ruimtegroepen[#All],4,1),2)</f>
        <v/>
      </c>
      <c r="Q34" s="319"/>
      <c r="R34" s="271"/>
      <c r="S34" s="271"/>
      <c r="T34" s="321">
        <f>IF(R34&gt;0,IF(RIGHT(Ruimtestaat[[#This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4" s="321">
        <f>IF(T34&gt;0,VLOOKUP($J34,Ruimtegroepen[],3,FALSE)*VLOOKUP($L34,Vloersoorten[],3,FALSE)*VLOOKUP($S34,Frequenties[],3,FALSE)*VLOOKUP($A34,Locaties[],3,FALSE),0)</f>
        <v>0</v>
      </c>
      <c r="V34" s="322">
        <f>Ruimtestaat[[#This Row],[Uitvoeringen werkdagen]]*Ruimtestaat[[#This Row],[Oppervlak (netto)]]</f>
        <v>0</v>
      </c>
      <c r="W34" s="323">
        <f>IF(U34&gt;0,Ruimtestaat[[#This Row],[Prest. (m2 /jaar) werkdagen]]/Ruimtestaat[[#This Row],[Norm (m2/uur) werkdagen]],0)</f>
        <v>0</v>
      </c>
      <c r="X34" s="324">
        <f>Ruimtestaat[[#This Row],[uren / jaar werkdagen]]*Tariefsopbouw!$E$35</f>
        <v>0</v>
      </c>
      <c r="Y34" s="321"/>
      <c r="Z34" s="325">
        <f>IF(Ruimtestaat[[#This Row],[Frequentie weekend]]&gt;0,VALUE(LEFT(Y34,1))*R34,0)</f>
        <v>0</v>
      </c>
      <c r="AA34" s="321">
        <f>IF($Z34&gt;0,VLOOKUP($J34,Ruimtegroepen[],3,FALSE)*VLOOKUP($L34,Vloersoorten[],3,FALSE)*VLOOKUP($Y34,Frequenties[],3,FALSE)*VLOOKUP($A30,Locaties[],3,FALSE),0)</f>
        <v>0</v>
      </c>
      <c r="AB34" s="323">
        <f>Ruimtestaat[[#This Row],[Uitvoeringen weekend]]*Ruimtestaat[[#This Row],[Oppervlak (netto)]]</f>
        <v>0</v>
      </c>
      <c r="AC34" s="326">
        <f>IF(AB34&gt;0,Ruimtestaat[[#This Row],[Prest. (m2 /jaar) weekend]]/Ruimtestaat[[#This Row],[Norm (m2/uur) weekend]],0)</f>
        <v>0</v>
      </c>
      <c r="AD34" s="327">
        <f>Ruimtestaat[[#This Row],[uren / jaar weekend]]*Tariefsopbouw!$D$40</f>
        <v>0</v>
      </c>
      <c r="AE34" s="328">
        <f>Ruimtestaat[[#This Row],[Prest. (m2 /jaar) weekend]]+Ruimtestaat[[#This Row],[Prest. (m2 /jaar) werkdagen]]</f>
        <v>0</v>
      </c>
      <c r="AF34" s="328">
        <f>Ruimtestaat[[#This Row],[uren / jaar weekend]]+Ruimtestaat[[#This Row],[uren / jaar werkdagen]]</f>
        <v>0</v>
      </c>
      <c r="AG34" s="329">
        <f>Ruimtestaat[[#This Row],[kosten / jaar weekend]]+Ruimtestaat[[#This Row],[kosten / jaar werkdagen]]</f>
        <v>0</v>
      </c>
      <c r="AH34" s="330"/>
      <c r="HL34" s="297"/>
    </row>
    <row r="35" spans="1:220" ht="15" customHeight="1">
      <c r="A35" s="271">
        <v>1</v>
      </c>
      <c r="B35" s="271" t="str">
        <f>VLOOKUP(Ruimtestaat[[#This Row],[Code]],Locaties[#All],2,FALSE)</f>
        <v>Hoofdgebouw</v>
      </c>
      <c r="C35" s="271" t="str">
        <f>VLOOKUP(Ruimtestaat[[#This Row],[Code]],Locaties[#All],4,FALSE)</f>
        <v>Sterrenlaan 16</v>
      </c>
      <c r="D35" s="271" t="str">
        <f>VLOOKUP(Ruimtestaat[[#This Row],[Code]],Locaties[#All],5,FALSE)</f>
        <v>5631 KA</v>
      </c>
      <c r="E35" s="271" t="str">
        <f>VLOOKUP(Ruimtestaat[[#This Row],[Code]],Locaties[#All],6,FALSE)</f>
        <v>Eindhoven</v>
      </c>
      <c r="F35" s="318"/>
      <c r="G35" s="271" t="s">
        <v>478</v>
      </c>
      <c r="H35" s="271" t="s">
        <v>530</v>
      </c>
      <c r="I35" s="228" t="s">
        <v>531</v>
      </c>
      <c r="J35" s="271">
        <v>16</v>
      </c>
      <c r="K35" s="318" t="str">
        <f>VLOOKUP(J35,Ruimtegroepen[],2,FALSE)</f>
        <v>Leslokalen theorie</v>
      </c>
      <c r="L35" s="271" t="s">
        <v>113</v>
      </c>
      <c r="M35" s="271" t="s">
        <v>373</v>
      </c>
      <c r="N35" s="319">
        <v>48</v>
      </c>
      <c r="O35" s="319"/>
      <c r="P35" s="320" t="str">
        <f>LEFT(VLOOKUP(Ruimtestaat[[#This Row],[Ruimte code]],Ruimtegroepen[#All],4,1),2)</f>
        <v xml:space="preserve">L </v>
      </c>
      <c r="Q35" s="319"/>
      <c r="R35" s="271">
        <v>40</v>
      </c>
      <c r="S35" s="271" t="s">
        <v>2</v>
      </c>
      <c r="T35" s="321">
        <f>IF(R35&gt;0,IF(RIGHT(Ruimtestaat[[#This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" s="321">
        <f>IF(T35&gt;0,VLOOKUP($J35,Ruimtegroepen[],3,FALSE)*VLOOKUP($L35,Vloersoorten[],3,FALSE)*VLOOKUP($S35,Frequenties[],3,FALSE)*VLOOKUP($A35,Locaties[],3,FALSE),0)</f>
        <v>0</v>
      </c>
      <c r="V35" s="322">
        <f>Ruimtestaat[[#This Row],[Uitvoeringen werkdagen]]*Ruimtestaat[[#This Row],[Oppervlak (netto)]]</f>
        <v>9600</v>
      </c>
      <c r="W35" s="323">
        <f>IF(U35&gt;0,Ruimtestaat[[#This Row],[Prest. (m2 /jaar) werkdagen]]/Ruimtestaat[[#This Row],[Norm (m2/uur) werkdagen]],0)</f>
        <v>0</v>
      </c>
      <c r="X35" s="324">
        <f>Ruimtestaat[[#This Row],[uren / jaar werkdagen]]*Tariefsopbouw!$E$35</f>
        <v>0</v>
      </c>
      <c r="Y35" s="321"/>
      <c r="Z35" s="325">
        <f>IF(Ruimtestaat[[#This Row],[Frequentie weekend]]&gt;0,VALUE(LEFT(Y35,1))*R35,0)</f>
        <v>0</v>
      </c>
      <c r="AA35" s="321">
        <f>IF($Z35&gt;0,VLOOKUP($J35,Ruimtegroepen[],3,FALSE)*VLOOKUP($L35,Vloersoorten[],3,FALSE)*VLOOKUP($Y35,Frequenties[],3,FALSE)*VLOOKUP($A31,Locaties[],3,FALSE),0)</f>
        <v>0</v>
      </c>
      <c r="AB35" s="323">
        <f>Ruimtestaat[[#This Row],[Uitvoeringen weekend]]*Ruimtestaat[[#This Row],[Oppervlak (netto)]]</f>
        <v>0</v>
      </c>
      <c r="AC35" s="326">
        <f>IF(AB35&gt;0,Ruimtestaat[[#This Row],[Prest. (m2 /jaar) weekend]]/Ruimtestaat[[#This Row],[Norm (m2/uur) weekend]],0)</f>
        <v>0</v>
      </c>
      <c r="AD35" s="327">
        <f>Ruimtestaat[[#This Row],[uren / jaar weekend]]*Tariefsopbouw!$D$40</f>
        <v>0</v>
      </c>
      <c r="AE35" s="328">
        <f>Ruimtestaat[[#This Row],[Prest. (m2 /jaar) weekend]]+Ruimtestaat[[#This Row],[Prest. (m2 /jaar) werkdagen]]</f>
        <v>9600</v>
      </c>
      <c r="AF35" s="328">
        <f>Ruimtestaat[[#This Row],[uren / jaar weekend]]+Ruimtestaat[[#This Row],[uren / jaar werkdagen]]</f>
        <v>0</v>
      </c>
      <c r="AG35" s="329">
        <f>Ruimtestaat[[#This Row],[kosten / jaar weekend]]+Ruimtestaat[[#This Row],[kosten / jaar werkdagen]]</f>
        <v>0</v>
      </c>
      <c r="AH35" s="330"/>
      <c r="HL35" s="297"/>
    </row>
    <row r="36" spans="1:220" ht="15" customHeight="1">
      <c r="A36" s="271">
        <v>1</v>
      </c>
      <c r="B36" s="271" t="str">
        <f>VLOOKUP(Ruimtestaat[[#This Row],[Code]],Locaties[#All],2,FALSE)</f>
        <v>Hoofdgebouw</v>
      </c>
      <c r="C36" s="271" t="str">
        <f>VLOOKUP(Ruimtestaat[[#This Row],[Code]],Locaties[#All],4,FALSE)</f>
        <v>Sterrenlaan 16</v>
      </c>
      <c r="D36" s="271" t="str">
        <f>VLOOKUP(Ruimtestaat[[#This Row],[Code]],Locaties[#All],5,FALSE)</f>
        <v>5631 KA</v>
      </c>
      <c r="E36" s="271" t="str">
        <f>VLOOKUP(Ruimtestaat[[#This Row],[Code]],Locaties[#All],6,FALSE)</f>
        <v>Eindhoven</v>
      </c>
      <c r="F36" s="318"/>
      <c r="G36" s="271" t="s">
        <v>478</v>
      </c>
      <c r="H36" s="271" t="s">
        <v>532</v>
      </c>
      <c r="I36" s="228" t="s">
        <v>531</v>
      </c>
      <c r="J36" s="271">
        <v>16</v>
      </c>
      <c r="K36" s="318" t="str">
        <f>VLOOKUP(J36,Ruimtegroepen[],2,FALSE)</f>
        <v>Leslokalen theorie</v>
      </c>
      <c r="L36" s="271" t="s">
        <v>113</v>
      </c>
      <c r="M36" s="271" t="s">
        <v>373</v>
      </c>
      <c r="N36" s="319">
        <v>48</v>
      </c>
      <c r="O36" s="319"/>
      <c r="P36" s="320" t="str">
        <f>LEFT(VLOOKUP(Ruimtestaat[[#This Row],[Ruimte code]],Ruimtegroepen[#All],4,1),2)</f>
        <v xml:space="preserve">L </v>
      </c>
      <c r="Q36" s="319"/>
      <c r="R36" s="271">
        <v>40</v>
      </c>
      <c r="S36" s="271" t="s">
        <v>2</v>
      </c>
      <c r="T36" s="321">
        <f>IF(R36&gt;0,IF(RIGHT(Ruimtestaat[[#This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" s="321">
        <f>IF(T36&gt;0,VLOOKUP($J36,Ruimtegroepen[],3,FALSE)*VLOOKUP($L36,Vloersoorten[],3,FALSE)*VLOOKUP($S36,Frequenties[],3,FALSE)*VLOOKUP($A36,Locaties[],3,FALSE),0)</f>
        <v>0</v>
      </c>
      <c r="V36" s="322">
        <f>Ruimtestaat[[#This Row],[Uitvoeringen werkdagen]]*Ruimtestaat[[#This Row],[Oppervlak (netto)]]</f>
        <v>9600</v>
      </c>
      <c r="W36" s="323">
        <f>IF(U36&gt;0,Ruimtestaat[[#This Row],[Prest. (m2 /jaar) werkdagen]]/Ruimtestaat[[#This Row],[Norm (m2/uur) werkdagen]],0)</f>
        <v>0</v>
      </c>
      <c r="X36" s="324">
        <f>Ruimtestaat[[#This Row],[uren / jaar werkdagen]]*Tariefsopbouw!$E$35</f>
        <v>0</v>
      </c>
      <c r="Y36" s="321"/>
      <c r="Z36" s="325">
        <f>IF(Ruimtestaat[[#This Row],[Frequentie weekend]]&gt;0,VALUE(LEFT(Y36,1))*R36,0)</f>
        <v>0</v>
      </c>
      <c r="AA36" s="321">
        <f>IF($Z36&gt;0,VLOOKUP($J36,Ruimtegroepen[],3,FALSE)*VLOOKUP($L36,Vloersoorten[],3,FALSE)*VLOOKUP($Y36,Frequenties[],3,FALSE)*VLOOKUP($A32,Locaties[],3,FALSE),0)</f>
        <v>0</v>
      </c>
      <c r="AB36" s="323">
        <f>Ruimtestaat[[#This Row],[Uitvoeringen weekend]]*Ruimtestaat[[#This Row],[Oppervlak (netto)]]</f>
        <v>0</v>
      </c>
      <c r="AC36" s="326">
        <f>IF(AB36&gt;0,Ruimtestaat[[#This Row],[Prest. (m2 /jaar) weekend]]/Ruimtestaat[[#This Row],[Norm (m2/uur) weekend]],0)</f>
        <v>0</v>
      </c>
      <c r="AD36" s="327">
        <f>Ruimtestaat[[#This Row],[uren / jaar weekend]]*Tariefsopbouw!$D$40</f>
        <v>0</v>
      </c>
      <c r="AE36" s="328">
        <f>Ruimtestaat[[#This Row],[Prest. (m2 /jaar) weekend]]+Ruimtestaat[[#This Row],[Prest. (m2 /jaar) werkdagen]]</f>
        <v>9600</v>
      </c>
      <c r="AF36" s="328">
        <f>Ruimtestaat[[#This Row],[uren / jaar weekend]]+Ruimtestaat[[#This Row],[uren / jaar werkdagen]]</f>
        <v>0</v>
      </c>
      <c r="AG36" s="329">
        <f>Ruimtestaat[[#This Row],[kosten / jaar weekend]]+Ruimtestaat[[#This Row],[kosten / jaar werkdagen]]</f>
        <v>0</v>
      </c>
      <c r="AH36" s="330"/>
      <c r="HL36" s="297"/>
    </row>
    <row r="37" spans="1:220" ht="15" customHeight="1">
      <c r="A37" s="271">
        <v>1</v>
      </c>
      <c r="B37" s="271" t="str">
        <f>VLOOKUP(Ruimtestaat[[#This Row],[Code]],Locaties[#All],2,FALSE)</f>
        <v>Hoofdgebouw</v>
      </c>
      <c r="C37" s="271" t="str">
        <f>VLOOKUP(Ruimtestaat[[#This Row],[Code]],Locaties[#All],4,FALSE)</f>
        <v>Sterrenlaan 16</v>
      </c>
      <c r="D37" s="271" t="str">
        <f>VLOOKUP(Ruimtestaat[[#This Row],[Code]],Locaties[#All],5,FALSE)</f>
        <v>5631 KA</v>
      </c>
      <c r="E37" s="271" t="str">
        <f>VLOOKUP(Ruimtestaat[[#This Row],[Code]],Locaties[#All],6,FALSE)</f>
        <v>Eindhoven</v>
      </c>
      <c r="F37" s="318"/>
      <c r="G37" s="271" t="s">
        <v>478</v>
      </c>
      <c r="H37" s="271" t="s">
        <v>533</v>
      </c>
      <c r="I37" s="228" t="s">
        <v>531</v>
      </c>
      <c r="J37" s="271">
        <v>16</v>
      </c>
      <c r="K37" s="318" t="str">
        <f>VLOOKUP(J37,Ruimtegroepen[],2,FALSE)</f>
        <v>Leslokalen theorie</v>
      </c>
      <c r="L37" s="271" t="s">
        <v>113</v>
      </c>
      <c r="M37" s="271" t="s">
        <v>373</v>
      </c>
      <c r="N37" s="319">
        <v>48</v>
      </c>
      <c r="O37" s="319"/>
      <c r="P37" s="320" t="str">
        <f>LEFT(VLOOKUP(Ruimtestaat[[#This Row],[Ruimte code]],Ruimtegroepen[#All],4,1),2)</f>
        <v xml:space="preserve">L </v>
      </c>
      <c r="Q37" s="319"/>
      <c r="R37" s="271">
        <v>40</v>
      </c>
      <c r="S37" s="271" t="s">
        <v>2</v>
      </c>
      <c r="T37" s="321">
        <f>IF(R37&gt;0,IF(RIGHT(Ruimtestaat[[#This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" s="321">
        <f>IF(T37&gt;0,VLOOKUP($J37,Ruimtegroepen[],3,FALSE)*VLOOKUP($L37,Vloersoorten[],3,FALSE)*VLOOKUP($S37,Frequenties[],3,FALSE)*VLOOKUP($A37,Locaties[],3,FALSE),0)</f>
        <v>0</v>
      </c>
      <c r="V37" s="322">
        <f>Ruimtestaat[[#This Row],[Uitvoeringen werkdagen]]*Ruimtestaat[[#This Row],[Oppervlak (netto)]]</f>
        <v>9600</v>
      </c>
      <c r="W37" s="323">
        <f>IF(U37&gt;0,Ruimtestaat[[#This Row],[Prest. (m2 /jaar) werkdagen]]/Ruimtestaat[[#This Row],[Norm (m2/uur) werkdagen]],0)</f>
        <v>0</v>
      </c>
      <c r="X37" s="324">
        <f>Ruimtestaat[[#This Row],[uren / jaar werkdagen]]*Tariefsopbouw!$E$35</f>
        <v>0</v>
      </c>
      <c r="Y37" s="321"/>
      <c r="Z37" s="325">
        <f>IF(Ruimtestaat[[#This Row],[Frequentie weekend]]&gt;0,VALUE(LEFT(Y37,1))*R37,0)</f>
        <v>0</v>
      </c>
      <c r="AA37" s="321">
        <f>IF($Z37&gt;0,VLOOKUP($J37,Ruimtegroepen[],3,FALSE)*VLOOKUP($L37,Vloersoorten[],3,FALSE)*VLOOKUP($Y37,Frequenties[],3,FALSE)*VLOOKUP($A33,Locaties[],3,FALSE),0)</f>
        <v>0</v>
      </c>
      <c r="AB37" s="323">
        <f>Ruimtestaat[[#This Row],[Uitvoeringen weekend]]*Ruimtestaat[[#This Row],[Oppervlak (netto)]]</f>
        <v>0</v>
      </c>
      <c r="AC37" s="326">
        <f>IF(AB37&gt;0,Ruimtestaat[[#This Row],[Prest. (m2 /jaar) weekend]]/Ruimtestaat[[#This Row],[Norm (m2/uur) weekend]],0)</f>
        <v>0</v>
      </c>
      <c r="AD37" s="327">
        <f>Ruimtestaat[[#This Row],[uren / jaar weekend]]*Tariefsopbouw!$D$40</f>
        <v>0</v>
      </c>
      <c r="AE37" s="328">
        <f>Ruimtestaat[[#This Row],[Prest. (m2 /jaar) weekend]]+Ruimtestaat[[#This Row],[Prest. (m2 /jaar) werkdagen]]</f>
        <v>9600</v>
      </c>
      <c r="AF37" s="328">
        <f>Ruimtestaat[[#This Row],[uren / jaar weekend]]+Ruimtestaat[[#This Row],[uren / jaar werkdagen]]</f>
        <v>0</v>
      </c>
      <c r="AG37" s="329">
        <f>Ruimtestaat[[#This Row],[kosten / jaar weekend]]+Ruimtestaat[[#This Row],[kosten / jaar werkdagen]]</f>
        <v>0</v>
      </c>
      <c r="AH37" s="330"/>
      <c r="HL37" s="297"/>
    </row>
    <row r="38" spans="1:220" ht="15" customHeight="1">
      <c r="A38" s="271">
        <v>1</v>
      </c>
      <c r="B38" s="271" t="str">
        <f>VLOOKUP(Ruimtestaat[[#This Row],[Code]],Locaties[#All],2,FALSE)</f>
        <v>Hoofdgebouw</v>
      </c>
      <c r="C38" s="271" t="str">
        <f>VLOOKUP(Ruimtestaat[[#This Row],[Code]],Locaties[#All],4,FALSE)</f>
        <v>Sterrenlaan 16</v>
      </c>
      <c r="D38" s="271" t="str">
        <f>VLOOKUP(Ruimtestaat[[#This Row],[Code]],Locaties[#All],5,FALSE)</f>
        <v>5631 KA</v>
      </c>
      <c r="E38" s="271" t="str">
        <f>VLOOKUP(Ruimtestaat[[#This Row],[Code]],Locaties[#All],6,FALSE)</f>
        <v>Eindhoven</v>
      </c>
      <c r="F38" s="318"/>
      <c r="G38" s="271" t="s">
        <v>478</v>
      </c>
      <c r="H38" s="271" t="s">
        <v>534</v>
      </c>
      <c r="I38" s="228" t="s">
        <v>531</v>
      </c>
      <c r="J38" s="271">
        <v>16</v>
      </c>
      <c r="K38" s="318" t="str">
        <f>VLOOKUP(J38,Ruimtegroepen[],2,FALSE)</f>
        <v>Leslokalen theorie</v>
      </c>
      <c r="L38" s="271" t="s">
        <v>113</v>
      </c>
      <c r="M38" s="271" t="s">
        <v>373</v>
      </c>
      <c r="N38" s="331">
        <v>48</v>
      </c>
      <c r="O38" s="319"/>
      <c r="P38" s="320" t="str">
        <f>LEFT(VLOOKUP(Ruimtestaat[[#This Row],[Ruimte code]],Ruimtegroepen[#All],4,1),2)</f>
        <v xml:space="preserve">L </v>
      </c>
      <c r="Q38" s="319"/>
      <c r="R38" s="271">
        <v>40</v>
      </c>
      <c r="S38" s="271" t="s">
        <v>2</v>
      </c>
      <c r="T38" s="321">
        <f>IF(R38&gt;0,IF(RIGHT(Ruimtestaat[[#This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" s="321">
        <f>IF(T38&gt;0,VLOOKUP($J38,Ruimtegroepen[],3,FALSE)*VLOOKUP($L38,Vloersoorten[],3,FALSE)*VLOOKUP($S38,Frequenties[],3,FALSE)*VLOOKUP($A38,Locaties[],3,FALSE),0)</f>
        <v>0</v>
      </c>
      <c r="V38" s="322">
        <f>Ruimtestaat[[#This Row],[Uitvoeringen werkdagen]]*Ruimtestaat[[#This Row],[Oppervlak (netto)]]</f>
        <v>9600</v>
      </c>
      <c r="W38" s="323">
        <f>IF(U38&gt;0,Ruimtestaat[[#This Row],[Prest. (m2 /jaar) werkdagen]]/Ruimtestaat[[#This Row],[Norm (m2/uur) werkdagen]],0)</f>
        <v>0</v>
      </c>
      <c r="X38" s="324">
        <f>Ruimtestaat[[#This Row],[uren / jaar werkdagen]]*Tariefsopbouw!$E$35</f>
        <v>0</v>
      </c>
      <c r="Y38" s="321"/>
      <c r="Z38" s="325">
        <f>IF(Ruimtestaat[[#This Row],[Frequentie weekend]]&gt;0,VALUE(LEFT(Y38,1))*R38,0)</f>
        <v>0</v>
      </c>
      <c r="AA38" s="321">
        <f>IF($Z38&gt;0,VLOOKUP($J38,Ruimtegroepen[],3,FALSE)*VLOOKUP($L38,Vloersoorten[],3,FALSE)*VLOOKUP($Y38,Frequenties[],3,FALSE)*VLOOKUP($A34,Locaties[],3,FALSE),0)</f>
        <v>0</v>
      </c>
      <c r="AB38" s="323">
        <f>Ruimtestaat[[#This Row],[Uitvoeringen weekend]]*Ruimtestaat[[#This Row],[Oppervlak (netto)]]</f>
        <v>0</v>
      </c>
      <c r="AC38" s="326">
        <f>IF(AB38&gt;0,Ruimtestaat[[#This Row],[Prest. (m2 /jaar) weekend]]/Ruimtestaat[[#This Row],[Norm (m2/uur) weekend]],0)</f>
        <v>0</v>
      </c>
      <c r="AD38" s="327">
        <f>Ruimtestaat[[#This Row],[uren / jaar weekend]]*Tariefsopbouw!$D$40</f>
        <v>0</v>
      </c>
      <c r="AE38" s="328">
        <f>Ruimtestaat[[#This Row],[Prest. (m2 /jaar) weekend]]+Ruimtestaat[[#This Row],[Prest. (m2 /jaar) werkdagen]]</f>
        <v>9600</v>
      </c>
      <c r="AF38" s="328">
        <f>Ruimtestaat[[#This Row],[uren / jaar weekend]]+Ruimtestaat[[#This Row],[uren / jaar werkdagen]]</f>
        <v>0</v>
      </c>
      <c r="AG38" s="329">
        <f>Ruimtestaat[[#This Row],[kosten / jaar weekend]]+Ruimtestaat[[#This Row],[kosten / jaar werkdagen]]</f>
        <v>0</v>
      </c>
      <c r="AH38" s="330"/>
      <c r="HL38" s="297"/>
    </row>
    <row r="39" spans="1:220" ht="15" customHeight="1">
      <c r="A39" s="271">
        <v>1</v>
      </c>
      <c r="B39" s="271" t="str">
        <f>VLOOKUP(Ruimtestaat[[#This Row],[Code]],Locaties[#All],2,FALSE)</f>
        <v>Hoofdgebouw</v>
      </c>
      <c r="C39" s="271" t="str">
        <f>VLOOKUP(Ruimtestaat[[#This Row],[Code]],Locaties[#All],4,FALSE)</f>
        <v>Sterrenlaan 16</v>
      </c>
      <c r="D39" s="271" t="str">
        <f>VLOOKUP(Ruimtestaat[[#This Row],[Code]],Locaties[#All],5,FALSE)</f>
        <v>5631 KA</v>
      </c>
      <c r="E39" s="271" t="str">
        <f>VLOOKUP(Ruimtestaat[[#This Row],[Code]],Locaties[#All],6,FALSE)</f>
        <v>Eindhoven</v>
      </c>
      <c r="F39" s="318"/>
      <c r="G39" s="271" t="s">
        <v>478</v>
      </c>
      <c r="H39" s="271" t="s">
        <v>535</v>
      </c>
      <c r="I39" s="228" t="s">
        <v>536</v>
      </c>
      <c r="J39" s="271">
        <v>11</v>
      </c>
      <c r="K39" s="318" t="str">
        <f>VLOOKUP(J39,Ruimtegroepen[],2,FALSE)</f>
        <v>Kooklokaal/leskeuken</v>
      </c>
      <c r="L39" s="271" t="s">
        <v>113</v>
      </c>
      <c r="M39" s="271" t="s">
        <v>373</v>
      </c>
      <c r="N39" s="319">
        <v>63</v>
      </c>
      <c r="O39" s="319"/>
      <c r="P39" s="320" t="str">
        <f>LEFT(VLOOKUP(Ruimtestaat[[#This Row],[Ruimte code]],Ruimtegroepen[#All],4,1),2)</f>
        <v xml:space="preserve">L </v>
      </c>
      <c r="Q39" s="319"/>
      <c r="R39" s="271">
        <v>40</v>
      </c>
      <c r="S39" s="271" t="s">
        <v>2</v>
      </c>
      <c r="T39" s="321">
        <f>IF(R39&gt;0,IF(RIGHT(Ruimtestaat[[#This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" s="321">
        <f>IF(T39&gt;0,VLOOKUP($J39,Ruimtegroepen[],3,FALSE)*VLOOKUP($L39,Vloersoorten[],3,FALSE)*VLOOKUP($S39,Frequenties[],3,FALSE)*VLOOKUP($A39,Locaties[],3,FALSE),0)</f>
        <v>0</v>
      </c>
      <c r="V39" s="322">
        <f>Ruimtestaat[[#This Row],[Uitvoeringen werkdagen]]*Ruimtestaat[[#This Row],[Oppervlak (netto)]]</f>
        <v>12600</v>
      </c>
      <c r="W39" s="323">
        <f>IF(U39&gt;0,Ruimtestaat[[#This Row],[Prest. (m2 /jaar) werkdagen]]/Ruimtestaat[[#This Row],[Norm (m2/uur) werkdagen]],0)</f>
        <v>0</v>
      </c>
      <c r="X39" s="324">
        <f>Ruimtestaat[[#This Row],[uren / jaar werkdagen]]*Tariefsopbouw!$E$35</f>
        <v>0</v>
      </c>
      <c r="Y39" s="321"/>
      <c r="Z39" s="325">
        <f>IF(Ruimtestaat[[#This Row],[Frequentie weekend]]&gt;0,VALUE(LEFT(Y39,1))*R39,0)</f>
        <v>0</v>
      </c>
      <c r="AA39" s="321">
        <f>IF($Z39&gt;0,VLOOKUP($J39,Ruimtegroepen[],3,FALSE)*VLOOKUP($L39,Vloersoorten[],3,FALSE)*VLOOKUP($Y39,Frequenties[],3,FALSE)*VLOOKUP($A35,Locaties[],3,FALSE),0)</f>
        <v>0</v>
      </c>
      <c r="AB39" s="323">
        <f>Ruimtestaat[[#This Row],[Uitvoeringen weekend]]*Ruimtestaat[[#This Row],[Oppervlak (netto)]]</f>
        <v>0</v>
      </c>
      <c r="AC39" s="326">
        <f>IF(AB39&gt;0,Ruimtestaat[[#This Row],[Prest. (m2 /jaar) weekend]]/Ruimtestaat[[#This Row],[Norm (m2/uur) weekend]],0)</f>
        <v>0</v>
      </c>
      <c r="AD39" s="327">
        <f>Ruimtestaat[[#This Row],[uren / jaar weekend]]*Tariefsopbouw!$D$40</f>
        <v>0</v>
      </c>
      <c r="AE39" s="328">
        <f>Ruimtestaat[[#This Row],[Prest. (m2 /jaar) weekend]]+Ruimtestaat[[#This Row],[Prest. (m2 /jaar) werkdagen]]</f>
        <v>12600</v>
      </c>
      <c r="AF39" s="328">
        <f>Ruimtestaat[[#This Row],[uren / jaar weekend]]+Ruimtestaat[[#This Row],[uren / jaar werkdagen]]</f>
        <v>0</v>
      </c>
      <c r="AG39" s="329">
        <f>Ruimtestaat[[#This Row],[kosten / jaar weekend]]+Ruimtestaat[[#This Row],[kosten / jaar werkdagen]]</f>
        <v>0</v>
      </c>
      <c r="AH39" s="330"/>
      <c r="HL39" s="297"/>
    </row>
    <row r="40" spans="1:220" ht="15" customHeight="1">
      <c r="A40" s="271">
        <v>1</v>
      </c>
      <c r="B40" s="271" t="str">
        <f>VLOOKUP(Ruimtestaat[[#This Row],[Code]],Locaties[#All],2,FALSE)</f>
        <v>Hoofdgebouw</v>
      </c>
      <c r="C40" s="271" t="str">
        <f>VLOOKUP(Ruimtestaat[[#This Row],[Code]],Locaties[#All],4,FALSE)</f>
        <v>Sterrenlaan 16</v>
      </c>
      <c r="D40" s="271" t="str">
        <f>VLOOKUP(Ruimtestaat[[#This Row],[Code]],Locaties[#All],5,FALSE)</f>
        <v>5631 KA</v>
      </c>
      <c r="E40" s="271" t="str">
        <f>VLOOKUP(Ruimtestaat[[#This Row],[Code]],Locaties[#All],6,FALSE)</f>
        <v>Eindhoven</v>
      </c>
      <c r="F40" s="318"/>
      <c r="G40" s="271" t="s">
        <v>478</v>
      </c>
      <c r="H40" s="271" t="s">
        <v>537</v>
      </c>
      <c r="I40" s="228" t="s">
        <v>538</v>
      </c>
      <c r="J40" s="271">
        <v>11</v>
      </c>
      <c r="K40" s="318" t="str">
        <f>VLOOKUP(J40,Ruimtegroepen[],2,FALSE)</f>
        <v>Kooklokaal/leskeuken</v>
      </c>
      <c r="L40" s="271" t="s">
        <v>113</v>
      </c>
      <c r="M40" s="271" t="s">
        <v>373</v>
      </c>
      <c r="N40" s="319">
        <v>63</v>
      </c>
      <c r="O40" s="319"/>
      <c r="P40" s="320" t="str">
        <f>LEFT(VLOOKUP(Ruimtestaat[[#This Row],[Ruimte code]],Ruimtegroepen[#All],4,1),2)</f>
        <v xml:space="preserve">L </v>
      </c>
      <c r="Q40" s="319"/>
      <c r="R40" s="271">
        <v>40</v>
      </c>
      <c r="S40" s="271" t="s">
        <v>2</v>
      </c>
      <c r="T40" s="321">
        <f>IF(R40&gt;0,IF(RIGHT(Ruimtestaat[[#This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" s="321">
        <f>IF(T40&gt;0,VLOOKUP($J40,Ruimtegroepen[],3,FALSE)*VLOOKUP($L40,Vloersoorten[],3,FALSE)*VLOOKUP($S40,Frequenties[],3,FALSE)*VLOOKUP($A40,Locaties[],3,FALSE),0)</f>
        <v>0</v>
      </c>
      <c r="V40" s="322">
        <f>Ruimtestaat[[#This Row],[Uitvoeringen werkdagen]]*Ruimtestaat[[#This Row],[Oppervlak (netto)]]</f>
        <v>12600</v>
      </c>
      <c r="W40" s="323">
        <f>IF(U40&gt;0,Ruimtestaat[[#This Row],[Prest. (m2 /jaar) werkdagen]]/Ruimtestaat[[#This Row],[Norm (m2/uur) werkdagen]],0)</f>
        <v>0</v>
      </c>
      <c r="X40" s="324">
        <f>Ruimtestaat[[#This Row],[uren / jaar werkdagen]]*Tariefsopbouw!$E$35</f>
        <v>0</v>
      </c>
      <c r="Y40" s="321"/>
      <c r="Z40" s="325">
        <f>IF(Ruimtestaat[[#This Row],[Frequentie weekend]]&gt;0,VALUE(LEFT(Y40,1))*R40,0)</f>
        <v>0</v>
      </c>
      <c r="AA40" s="321">
        <f>IF($Z40&gt;0,VLOOKUP($J40,Ruimtegroepen[],3,FALSE)*VLOOKUP($L40,Vloersoorten[],3,FALSE)*VLOOKUP($Y40,Frequenties[],3,FALSE)*VLOOKUP($A36,Locaties[],3,FALSE),0)</f>
        <v>0</v>
      </c>
      <c r="AB40" s="323">
        <f>Ruimtestaat[[#This Row],[Uitvoeringen weekend]]*Ruimtestaat[[#This Row],[Oppervlak (netto)]]</f>
        <v>0</v>
      </c>
      <c r="AC40" s="326">
        <f>IF(AB40&gt;0,Ruimtestaat[[#This Row],[Prest. (m2 /jaar) weekend]]/Ruimtestaat[[#This Row],[Norm (m2/uur) weekend]],0)</f>
        <v>0</v>
      </c>
      <c r="AD40" s="327">
        <f>Ruimtestaat[[#This Row],[uren / jaar weekend]]*Tariefsopbouw!$D$40</f>
        <v>0</v>
      </c>
      <c r="AE40" s="328">
        <f>Ruimtestaat[[#This Row],[Prest. (m2 /jaar) weekend]]+Ruimtestaat[[#This Row],[Prest. (m2 /jaar) werkdagen]]</f>
        <v>12600</v>
      </c>
      <c r="AF40" s="328">
        <f>Ruimtestaat[[#This Row],[uren / jaar weekend]]+Ruimtestaat[[#This Row],[uren / jaar werkdagen]]</f>
        <v>0</v>
      </c>
      <c r="AG40" s="329">
        <f>Ruimtestaat[[#This Row],[kosten / jaar weekend]]+Ruimtestaat[[#This Row],[kosten / jaar werkdagen]]</f>
        <v>0</v>
      </c>
      <c r="AH40" s="330"/>
      <c r="HL40" s="297"/>
    </row>
    <row r="41" spans="1:220" ht="15" customHeight="1">
      <c r="A41" s="271">
        <v>1</v>
      </c>
      <c r="B41" s="271" t="str">
        <f>VLOOKUP(Ruimtestaat[[#This Row],[Code]],Locaties[#All],2,FALSE)</f>
        <v>Hoofdgebouw</v>
      </c>
      <c r="C41" s="271" t="str">
        <f>VLOOKUP(Ruimtestaat[[#This Row],[Code]],Locaties[#All],4,FALSE)</f>
        <v>Sterrenlaan 16</v>
      </c>
      <c r="D41" s="271" t="str">
        <f>VLOOKUP(Ruimtestaat[[#This Row],[Code]],Locaties[#All],5,FALSE)</f>
        <v>5631 KA</v>
      </c>
      <c r="E41" s="271" t="str">
        <f>VLOOKUP(Ruimtestaat[[#This Row],[Code]],Locaties[#All],6,FALSE)</f>
        <v>Eindhoven</v>
      </c>
      <c r="F41" s="318"/>
      <c r="G41" s="271" t="s">
        <v>478</v>
      </c>
      <c r="H41" s="271" t="s">
        <v>539</v>
      </c>
      <c r="I41" s="228" t="s">
        <v>540</v>
      </c>
      <c r="J41" s="271">
        <v>2</v>
      </c>
      <c r="K41" s="318" t="str">
        <f>VLOOKUP(J41,Ruimtegroepen[],2,FALSE)</f>
        <v>Kantoren</v>
      </c>
      <c r="L41" s="271" t="s">
        <v>113</v>
      </c>
      <c r="M41" s="271" t="s">
        <v>373</v>
      </c>
      <c r="N41" s="319">
        <v>9</v>
      </c>
      <c r="O41" s="319"/>
      <c r="P41" s="320" t="str">
        <f>LEFT(VLOOKUP(Ruimtestaat[[#This Row],[Ruimte code]],Ruimtegroepen[#All],4,1),2)</f>
        <v xml:space="preserve">B </v>
      </c>
      <c r="Q41" s="319"/>
      <c r="R41" s="271">
        <v>40</v>
      </c>
      <c r="S41" s="271" t="s">
        <v>17</v>
      </c>
      <c r="T41" s="321">
        <f>IF(R41&gt;0,IF(RIGHT(Ruimtestaat[[#This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1" s="321">
        <f>IF(T41&gt;0,VLOOKUP($J41,Ruimtegroepen[],3,FALSE)*VLOOKUP($L41,Vloersoorten[],3,FALSE)*VLOOKUP($S41,Frequenties[],3,FALSE)*VLOOKUP($A41,Locaties[],3,FALSE),0)</f>
        <v>0</v>
      </c>
      <c r="V41" s="322">
        <f>Ruimtestaat[[#This Row],[Uitvoeringen werkdagen]]*Ruimtestaat[[#This Row],[Oppervlak (netto)]]</f>
        <v>720</v>
      </c>
      <c r="W41" s="323">
        <f>IF(U41&gt;0,Ruimtestaat[[#This Row],[Prest. (m2 /jaar) werkdagen]]/Ruimtestaat[[#This Row],[Norm (m2/uur) werkdagen]],0)</f>
        <v>0</v>
      </c>
      <c r="X41" s="324">
        <f>Ruimtestaat[[#This Row],[uren / jaar werkdagen]]*Tariefsopbouw!$E$35</f>
        <v>0</v>
      </c>
      <c r="Y41" s="321"/>
      <c r="Z41" s="325">
        <f>IF(Ruimtestaat[[#This Row],[Frequentie weekend]]&gt;0,VALUE(LEFT(Y41,1))*R41,0)</f>
        <v>0</v>
      </c>
      <c r="AA41" s="321">
        <f>IF($Z41&gt;0,VLOOKUP($J41,Ruimtegroepen[],3,FALSE)*VLOOKUP($L41,Vloersoorten[],3,FALSE)*VLOOKUP($Y41,Frequenties[],3,FALSE)*VLOOKUP($A37,Locaties[],3,FALSE),0)</f>
        <v>0</v>
      </c>
      <c r="AB41" s="323">
        <f>Ruimtestaat[[#This Row],[Uitvoeringen weekend]]*Ruimtestaat[[#This Row],[Oppervlak (netto)]]</f>
        <v>0</v>
      </c>
      <c r="AC41" s="326">
        <f>IF(AB41&gt;0,Ruimtestaat[[#This Row],[Prest. (m2 /jaar) weekend]]/Ruimtestaat[[#This Row],[Norm (m2/uur) weekend]],0)</f>
        <v>0</v>
      </c>
      <c r="AD41" s="327">
        <f>Ruimtestaat[[#This Row],[uren / jaar weekend]]*Tariefsopbouw!$D$40</f>
        <v>0</v>
      </c>
      <c r="AE41" s="328">
        <f>Ruimtestaat[[#This Row],[Prest. (m2 /jaar) weekend]]+Ruimtestaat[[#This Row],[Prest. (m2 /jaar) werkdagen]]</f>
        <v>720</v>
      </c>
      <c r="AF41" s="328">
        <f>Ruimtestaat[[#This Row],[uren / jaar weekend]]+Ruimtestaat[[#This Row],[uren / jaar werkdagen]]</f>
        <v>0</v>
      </c>
      <c r="AG41" s="329">
        <f>Ruimtestaat[[#This Row],[kosten / jaar weekend]]+Ruimtestaat[[#This Row],[kosten / jaar werkdagen]]</f>
        <v>0</v>
      </c>
      <c r="AH41" s="330"/>
      <c r="HL41" s="297"/>
    </row>
    <row r="42" spans="1:220" ht="15" customHeight="1">
      <c r="A42" s="271">
        <v>1</v>
      </c>
      <c r="B42" s="271" t="str">
        <f>VLOOKUP(Ruimtestaat[[#This Row],[Code]],Locaties[#All],2,FALSE)</f>
        <v>Hoofdgebouw</v>
      </c>
      <c r="C42" s="271" t="str">
        <f>VLOOKUP(Ruimtestaat[[#This Row],[Code]],Locaties[#All],4,FALSE)</f>
        <v>Sterrenlaan 16</v>
      </c>
      <c r="D42" s="271" t="str">
        <f>VLOOKUP(Ruimtestaat[[#This Row],[Code]],Locaties[#All],5,FALSE)</f>
        <v>5631 KA</v>
      </c>
      <c r="E42" s="271" t="str">
        <f>VLOOKUP(Ruimtestaat[[#This Row],[Code]],Locaties[#All],6,FALSE)</f>
        <v>Eindhoven</v>
      </c>
      <c r="F42" s="318"/>
      <c r="G42" s="271" t="s">
        <v>478</v>
      </c>
      <c r="H42" s="271" t="s">
        <v>541</v>
      </c>
      <c r="I42" s="228" t="s">
        <v>540</v>
      </c>
      <c r="J42" s="271">
        <v>2</v>
      </c>
      <c r="K42" s="318" t="str">
        <f>VLOOKUP(J42,Ruimtegroepen[],2,FALSE)</f>
        <v>Kantoren</v>
      </c>
      <c r="L42" s="271" t="s">
        <v>113</v>
      </c>
      <c r="M42" s="271" t="s">
        <v>373</v>
      </c>
      <c r="N42" s="319">
        <v>14</v>
      </c>
      <c r="O42" s="319"/>
      <c r="P42" s="320" t="str">
        <f>LEFT(VLOOKUP(Ruimtestaat[[#This Row],[Ruimte code]],Ruimtegroepen[#All],4,1),2)</f>
        <v xml:space="preserve">B </v>
      </c>
      <c r="Q42" s="319"/>
      <c r="R42" s="271">
        <v>40</v>
      </c>
      <c r="S42" s="271" t="s">
        <v>17</v>
      </c>
      <c r="T42" s="321">
        <f>IF(R42&gt;0,IF(RIGHT(Ruimtestaat[[#This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" s="321">
        <f>IF(T42&gt;0,VLOOKUP($J42,Ruimtegroepen[],3,FALSE)*VLOOKUP($L42,Vloersoorten[],3,FALSE)*VLOOKUP($S42,Frequenties[],3,FALSE)*VLOOKUP($A42,Locaties[],3,FALSE),0)</f>
        <v>0</v>
      </c>
      <c r="V42" s="322">
        <f>Ruimtestaat[[#This Row],[Uitvoeringen werkdagen]]*Ruimtestaat[[#This Row],[Oppervlak (netto)]]</f>
        <v>1120</v>
      </c>
      <c r="W42" s="323">
        <f>IF(U42&gt;0,Ruimtestaat[[#This Row],[Prest. (m2 /jaar) werkdagen]]/Ruimtestaat[[#This Row],[Norm (m2/uur) werkdagen]],0)</f>
        <v>0</v>
      </c>
      <c r="X42" s="324">
        <f>Ruimtestaat[[#This Row],[uren / jaar werkdagen]]*Tariefsopbouw!$E$35</f>
        <v>0</v>
      </c>
      <c r="Y42" s="321"/>
      <c r="Z42" s="325">
        <f>IF(Ruimtestaat[[#This Row],[Frequentie weekend]]&gt;0,VALUE(LEFT(Y42,1))*R42,0)</f>
        <v>0</v>
      </c>
      <c r="AA42" s="321">
        <f>IF($Z42&gt;0,VLOOKUP($J42,Ruimtegroepen[],3,FALSE)*VLOOKUP($L42,Vloersoorten[],3,FALSE)*VLOOKUP($Y42,Frequenties[],3,FALSE)*VLOOKUP($A38,Locaties[],3,FALSE),0)</f>
        <v>0</v>
      </c>
      <c r="AB42" s="323">
        <f>Ruimtestaat[[#This Row],[Uitvoeringen weekend]]*Ruimtestaat[[#This Row],[Oppervlak (netto)]]</f>
        <v>0</v>
      </c>
      <c r="AC42" s="326">
        <f>IF(AB42&gt;0,Ruimtestaat[[#This Row],[Prest. (m2 /jaar) weekend]]/Ruimtestaat[[#This Row],[Norm (m2/uur) weekend]],0)</f>
        <v>0</v>
      </c>
      <c r="AD42" s="327">
        <f>Ruimtestaat[[#This Row],[uren / jaar weekend]]*Tariefsopbouw!$D$40</f>
        <v>0</v>
      </c>
      <c r="AE42" s="328">
        <f>Ruimtestaat[[#This Row],[Prest. (m2 /jaar) weekend]]+Ruimtestaat[[#This Row],[Prest. (m2 /jaar) werkdagen]]</f>
        <v>1120</v>
      </c>
      <c r="AF42" s="328">
        <f>Ruimtestaat[[#This Row],[uren / jaar weekend]]+Ruimtestaat[[#This Row],[uren / jaar werkdagen]]</f>
        <v>0</v>
      </c>
      <c r="AG42" s="329">
        <f>Ruimtestaat[[#This Row],[kosten / jaar weekend]]+Ruimtestaat[[#This Row],[kosten / jaar werkdagen]]</f>
        <v>0</v>
      </c>
      <c r="AH42" s="330"/>
      <c r="HL42" s="297"/>
    </row>
    <row r="43" spans="1:220" ht="15" customHeight="1">
      <c r="A43" s="271">
        <v>1</v>
      </c>
      <c r="B43" s="271" t="str">
        <f>VLOOKUP(Ruimtestaat[[#This Row],[Code]],Locaties[#All],2,FALSE)</f>
        <v>Hoofdgebouw</v>
      </c>
      <c r="C43" s="271" t="str">
        <f>VLOOKUP(Ruimtestaat[[#This Row],[Code]],Locaties[#All],4,FALSE)</f>
        <v>Sterrenlaan 16</v>
      </c>
      <c r="D43" s="271" t="str">
        <f>VLOOKUP(Ruimtestaat[[#This Row],[Code]],Locaties[#All],5,FALSE)</f>
        <v>5631 KA</v>
      </c>
      <c r="E43" s="271" t="str">
        <f>VLOOKUP(Ruimtestaat[[#This Row],[Code]],Locaties[#All],6,FALSE)</f>
        <v>Eindhoven</v>
      </c>
      <c r="F43" s="318"/>
      <c r="G43" s="271" t="s">
        <v>478</v>
      </c>
      <c r="H43" s="271" t="s">
        <v>542</v>
      </c>
      <c r="I43" s="228" t="s">
        <v>543</v>
      </c>
      <c r="J43" s="271">
        <v>2</v>
      </c>
      <c r="K43" s="318" t="str">
        <f>VLOOKUP(J43,Ruimtegroepen[],2,FALSE)</f>
        <v>Kantoren</v>
      </c>
      <c r="L43" s="271" t="s">
        <v>113</v>
      </c>
      <c r="M43" s="271" t="s">
        <v>373</v>
      </c>
      <c r="N43" s="319">
        <v>48</v>
      </c>
      <c r="O43" s="319"/>
      <c r="P43" s="320" t="str">
        <f>LEFT(VLOOKUP(Ruimtestaat[[#This Row],[Ruimte code]],Ruimtegroepen[#All],4,1),2)</f>
        <v xml:space="preserve">B </v>
      </c>
      <c r="Q43" s="319"/>
      <c r="R43" s="271">
        <v>40</v>
      </c>
      <c r="S43" s="271" t="s">
        <v>2</v>
      </c>
      <c r="T43" s="321">
        <f>IF(R43&gt;0,IF(RIGHT(Ruimtestaat[[#This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" s="321">
        <f>IF(T43&gt;0,VLOOKUP($J43,Ruimtegroepen[],3,FALSE)*VLOOKUP($L43,Vloersoorten[],3,FALSE)*VLOOKUP($S43,Frequenties[],3,FALSE)*VLOOKUP($A43,Locaties[],3,FALSE),0)</f>
        <v>0</v>
      </c>
      <c r="V43" s="322">
        <f>Ruimtestaat[[#This Row],[Uitvoeringen werkdagen]]*Ruimtestaat[[#This Row],[Oppervlak (netto)]]</f>
        <v>9600</v>
      </c>
      <c r="W43" s="323">
        <f>IF(U43&gt;0,Ruimtestaat[[#This Row],[Prest. (m2 /jaar) werkdagen]]/Ruimtestaat[[#This Row],[Norm (m2/uur) werkdagen]],0)</f>
        <v>0</v>
      </c>
      <c r="X43" s="324">
        <f>Ruimtestaat[[#This Row],[uren / jaar werkdagen]]*Tariefsopbouw!$E$35</f>
        <v>0</v>
      </c>
      <c r="Y43" s="321"/>
      <c r="Z43" s="325">
        <f>IF(Ruimtestaat[[#This Row],[Frequentie weekend]]&gt;0,VALUE(LEFT(Y43,1))*R43,0)</f>
        <v>0</v>
      </c>
      <c r="AA43" s="321">
        <f>IF($Z43&gt;0,VLOOKUP($J43,Ruimtegroepen[],3,FALSE)*VLOOKUP($L43,Vloersoorten[],3,FALSE)*VLOOKUP($Y43,Frequenties[],3,FALSE)*VLOOKUP($A39,Locaties[],3,FALSE),0)</f>
        <v>0</v>
      </c>
      <c r="AB43" s="323">
        <f>Ruimtestaat[[#This Row],[Uitvoeringen weekend]]*Ruimtestaat[[#This Row],[Oppervlak (netto)]]</f>
        <v>0</v>
      </c>
      <c r="AC43" s="326">
        <f>IF(AB43&gt;0,Ruimtestaat[[#This Row],[Prest. (m2 /jaar) weekend]]/Ruimtestaat[[#This Row],[Norm (m2/uur) weekend]],0)</f>
        <v>0</v>
      </c>
      <c r="AD43" s="327">
        <f>Ruimtestaat[[#This Row],[uren / jaar weekend]]*Tariefsopbouw!$D$40</f>
        <v>0</v>
      </c>
      <c r="AE43" s="328">
        <f>Ruimtestaat[[#This Row],[Prest. (m2 /jaar) weekend]]+Ruimtestaat[[#This Row],[Prest. (m2 /jaar) werkdagen]]</f>
        <v>9600</v>
      </c>
      <c r="AF43" s="328">
        <f>Ruimtestaat[[#This Row],[uren / jaar weekend]]+Ruimtestaat[[#This Row],[uren / jaar werkdagen]]</f>
        <v>0</v>
      </c>
      <c r="AG43" s="329">
        <f>Ruimtestaat[[#This Row],[kosten / jaar weekend]]+Ruimtestaat[[#This Row],[kosten / jaar werkdagen]]</f>
        <v>0</v>
      </c>
      <c r="AH43" s="330"/>
      <c r="HL43" s="297"/>
    </row>
    <row r="44" spans="1:220" ht="15" customHeight="1">
      <c r="A44" s="271">
        <v>1</v>
      </c>
      <c r="B44" s="271" t="str">
        <f>VLOOKUP(Ruimtestaat[[#This Row],[Code]],Locaties[#All],2,FALSE)</f>
        <v>Hoofdgebouw</v>
      </c>
      <c r="C44" s="271" t="str">
        <f>VLOOKUP(Ruimtestaat[[#This Row],[Code]],Locaties[#All],4,FALSE)</f>
        <v>Sterrenlaan 16</v>
      </c>
      <c r="D44" s="271" t="str">
        <f>VLOOKUP(Ruimtestaat[[#This Row],[Code]],Locaties[#All],5,FALSE)</f>
        <v>5631 KA</v>
      </c>
      <c r="E44" s="271" t="str">
        <f>VLOOKUP(Ruimtestaat[[#This Row],[Code]],Locaties[#All],6,FALSE)</f>
        <v>Eindhoven</v>
      </c>
      <c r="F44" s="318"/>
      <c r="G44" s="271" t="s">
        <v>478</v>
      </c>
      <c r="H44" s="271" t="s">
        <v>544</v>
      </c>
      <c r="I44" s="228" t="s">
        <v>545</v>
      </c>
      <c r="J44" s="271">
        <v>2</v>
      </c>
      <c r="K44" s="318" t="str">
        <f>VLOOKUP(J44,Ruimtegroepen[],2,FALSE)</f>
        <v>Kantoren</v>
      </c>
      <c r="L44" s="271" t="s">
        <v>113</v>
      </c>
      <c r="M44" s="271" t="s">
        <v>373</v>
      </c>
      <c r="N44" s="319">
        <v>29</v>
      </c>
      <c r="O44" s="319"/>
      <c r="P44" s="320" t="str">
        <f>LEFT(VLOOKUP(Ruimtestaat[[#This Row],[Ruimte code]],Ruimtegroepen[#All],4,1),2)</f>
        <v xml:space="preserve">B </v>
      </c>
      <c r="Q44" s="319"/>
      <c r="R44" s="271">
        <v>40</v>
      </c>
      <c r="S44" s="271" t="s">
        <v>17</v>
      </c>
      <c r="T44" s="321">
        <f>IF(R44&gt;0,IF(RIGHT(Ruimtestaat[[#This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4" s="321">
        <f>IF(T44&gt;0,VLOOKUP($J44,Ruimtegroepen[],3,FALSE)*VLOOKUP($L44,Vloersoorten[],3,FALSE)*VLOOKUP($S44,Frequenties[],3,FALSE)*VLOOKUP($A44,Locaties[],3,FALSE),0)</f>
        <v>0</v>
      </c>
      <c r="V44" s="322">
        <f>Ruimtestaat[[#This Row],[Uitvoeringen werkdagen]]*Ruimtestaat[[#This Row],[Oppervlak (netto)]]</f>
        <v>2320</v>
      </c>
      <c r="W44" s="323">
        <f>IF(U44&gt;0,Ruimtestaat[[#This Row],[Prest. (m2 /jaar) werkdagen]]/Ruimtestaat[[#This Row],[Norm (m2/uur) werkdagen]],0)</f>
        <v>0</v>
      </c>
      <c r="X44" s="324">
        <f>Ruimtestaat[[#This Row],[uren / jaar werkdagen]]*Tariefsopbouw!$E$35</f>
        <v>0</v>
      </c>
      <c r="Y44" s="321"/>
      <c r="Z44" s="325">
        <f>IF(Ruimtestaat[[#This Row],[Frequentie weekend]]&gt;0,VALUE(LEFT(Y44,1))*R44,0)</f>
        <v>0</v>
      </c>
      <c r="AA44" s="321">
        <f>IF($Z44&gt;0,VLOOKUP($J44,Ruimtegroepen[],3,FALSE)*VLOOKUP($L44,Vloersoorten[],3,FALSE)*VLOOKUP($Y44,Frequenties[],3,FALSE)*VLOOKUP($A40,Locaties[],3,FALSE),0)</f>
        <v>0</v>
      </c>
      <c r="AB44" s="323">
        <f>Ruimtestaat[[#This Row],[Uitvoeringen weekend]]*Ruimtestaat[[#This Row],[Oppervlak (netto)]]</f>
        <v>0</v>
      </c>
      <c r="AC44" s="326">
        <f>IF(AB44&gt;0,Ruimtestaat[[#This Row],[Prest. (m2 /jaar) weekend]]/Ruimtestaat[[#This Row],[Norm (m2/uur) weekend]],0)</f>
        <v>0</v>
      </c>
      <c r="AD44" s="327">
        <f>Ruimtestaat[[#This Row],[uren / jaar weekend]]*Tariefsopbouw!$D$40</f>
        <v>0</v>
      </c>
      <c r="AE44" s="328">
        <f>Ruimtestaat[[#This Row],[Prest. (m2 /jaar) weekend]]+Ruimtestaat[[#This Row],[Prest. (m2 /jaar) werkdagen]]</f>
        <v>2320</v>
      </c>
      <c r="AF44" s="328">
        <f>Ruimtestaat[[#This Row],[uren / jaar weekend]]+Ruimtestaat[[#This Row],[uren / jaar werkdagen]]</f>
        <v>0</v>
      </c>
      <c r="AG44" s="329">
        <f>Ruimtestaat[[#This Row],[kosten / jaar weekend]]+Ruimtestaat[[#This Row],[kosten / jaar werkdagen]]</f>
        <v>0</v>
      </c>
      <c r="AH44" s="330"/>
      <c r="HL44" s="297"/>
    </row>
    <row r="45" spans="1:220" ht="15" customHeight="1">
      <c r="A45" s="271">
        <v>1</v>
      </c>
      <c r="B45" s="271" t="str">
        <f>VLOOKUP(Ruimtestaat[[#This Row],[Code]],Locaties[#All],2,FALSE)</f>
        <v>Hoofdgebouw</v>
      </c>
      <c r="C45" s="271" t="str">
        <f>VLOOKUP(Ruimtestaat[[#This Row],[Code]],Locaties[#All],4,FALSE)</f>
        <v>Sterrenlaan 16</v>
      </c>
      <c r="D45" s="271" t="str">
        <f>VLOOKUP(Ruimtestaat[[#This Row],[Code]],Locaties[#All],5,FALSE)</f>
        <v>5631 KA</v>
      </c>
      <c r="E45" s="271" t="str">
        <f>VLOOKUP(Ruimtestaat[[#This Row],[Code]],Locaties[#All],6,FALSE)</f>
        <v>Eindhoven</v>
      </c>
      <c r="F45" s="318"/>
      <c r="G45" s="271" t="s">
        <v>546</v>
      </c>
      <c r="H45" s="271" t="s">
        <v>547</v>
      </c>
      <c r="I45" s="228" t="s">
        <v>368</v>
      </c>
      <c r="J45" s="271">
        <v>6</v>
      </c>
      <c r="K45" s="318" t="str">
        <f>VLOOKUP(J45,Ruimtegroepen[],2,FALSE)</f>
        <v>Gangen/hallen</v>
      </c>
      <c r="L45" s="271" t="s">
        <v>113</v>
      </c>
      <c r="M45" s="271" t="s">
        <v>373</v>
      </c>
      <c r="N45" s="319">
        <v>114</v>
      </c>
      <c r="O45" s="319"/>
      <c r="P45" s="320" t="str">
        <f>LEFT(VLOOKUP(Ruimtestaat[[#This Row],[Ruimte code]],Ruimtegroepen[#All],4,1),2)</f>
        <v xml:space="preserve">V </v>
      </c>
      <c r="Q45" s="319"/>
      <c r="R45" s="271">
        <v>40</v>
      </c>
      <c r="S45" s="271" t="s">
        <v>2</v>
      </c>
      <c r="T45" s="321">
        <f>IF(R45&gt;0,IF(RIGHT(Ruimtestaat[[#This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" s="321">
        <f>IF(T45&gt;0,VLOOKUP($J45,Ruimtegroepen[],3,FALSE)*VLOOKUP($L45,Vloersoorten[],3,FALSE)*VLOOKUP($S45,Frequenties[],3,FALSE)*VLOOKUP($A45,Locaties[],3,FALSE),0)</f>
        <v>0</v>
      </c>
      <c r="V45" s="322">
        <f>Ruimtestaat[[#This Row],[Uitvoeringen werkdagen]]*Ruimtestaat[[#This Row],[Oppervlak (netto)]]</f>
        <v>22800</v>
      </c>
      <c r="W45" s="323">
        <f>IF(U45&gt;0,Ruimtestaat[[#This Row],[Prest. (m2 /jaar) werkdagen]]/Ruimtestaat[[#This Row],[Norm (m2/uur) werkdagen]],0)</f>
        <v>0</v>
      </c>
      <c r="X45" s="324">
        <f>Ruimtestaat[[#This Row],[uren / jaar werkdagen]]*Tariefsopbouw!$E$35</f>
        <v>0</v>
      </c>
      <c r="Y45" s="321"/>
      <c r="Z45" s="325">
        <f>IF(Ruimtestaat[[#This Row],[Frequentie weekend]]&gt;0,VALUE(LEFT(Y45,1))*R45,0)</f>
        <v>0</v>
      </c>
      <c r="AA45" s="321">
        <f>IF($Z45&gt;0,VLOOKUP($J45,Ruimtegroepen[],3,FALSE)*VLOOKUP($L45,Vloersoorten[],3,FALSE)*VLOOKUP($Y45,Frequenties[],3,FALSE)*VLOOKUP($A41,Locaties[],3,FALSE),0)</f>
        <v>0</v>
      </c>
      <c r="AB45" s="323">
        <f>Ruimtestaat[[#This Row],[Uitvoeringen weekend]]*Ruimtestaat[[#This Row],[Oppervlak (netto)]]</f>
        <v>0</v>
      </c>
      <c r="AC45" s="326">
        <f>IF(AB45&gt;0,Ruimtestaat[[#This Row],[Prest. (m2 /jaar) weekend]]/Ruimtestaat[[#This Row],[Norm (m2/uur) weekend]],0)</f>
        <v>0</v>
      </c>
      <c r="AD45" s="327">
        <f>Ruimtestaat[[#This Row],[uren / jaar weekend]]*Tariefsopbouw!$D$40</f>
        <v>0</v>
      </c>
      <c r="AE45" s="328">
        <f>Ruimtestaat[[#This Row],[Prest. (m2 /jaar) weekend]]+Ruimtestaat[[#This Row],[Prest. (m2 /jaar) werkdagen]]</f>
        <v>22800</v>
      </c>
      <c r="AF45" s="328">
        <f>Ruimtestaat[[#This Row],[uren / jaar weekend]]+Ruimtestaat[[#This Row],[uren / jaar werkdagen]]</f>
        <v>0</v>
      </c>
      <c r="AG45" s="329">
        <f>Ruimtestaat[[#This Row],[kosten / jaar weekend]]+Ruimtestaat[[#This Row],[kosten / jaar werkdagen]]</f>
        <v>0</v>
      </c>
      <c r="AH45" s="330"/>
      <c r="HL45" s="297"/>
    </row>
    <row r="46" spans="1:220" ht="15" customHeight="1">
      <c r="A46" s="271">
        <v>1</v>
      </c>
      <c r="B46" s="271" t="str">
        <f>VLOOKUP(Ruimtestaat[[#This Row],[Code]],Locaties[#All],2,FALSE)</f>
        <v>Hoofdgebouw</v>
      </c>
      <c r="C46" s="271" t="str">
        <f>VLOOKUP(Ruimtestaat[[#This Row],[Code]],Locaties[#All],4,FALSE)</f>
        <v>Sterrenlaan 16</v>
      </c>
      <c r="D46" s="271" t="str">
        <f>VLOOKUP(Ruimtestaat[[#This Row],[Code]],Locaties[#All],5,FALSE)</f>
        <v>5631 KA</v>
      </c>
      <c r="E46" s="271" t="str">
        <f>VLOOKUP(Ruimtestaat[[#This Row],[Code]],Locaties[#All],6,FALSE)</f>
        <v>Eindhoven</v>
      </c>
      <c r="F46" s="318"/>
      <c r="G46" s="271" t="s">
        <v>546</v>
      </c>
      <c r="H46" s="271" t="s">
        <v>548</v>
      </c>
      <c r="I46" s="228" t="s">
        <v>485</v>
      </c>
      <c r="J46" s="271">
        <v>6</v>
      </c>
      <c r="K46" s="318" t="str">
        <f>VLOOKUP(J46,Ruimtegroepen[],2,FALSE)</f>
        <v>Gangen/hallen</v>
      </c>
      <c r="L46" s="271" t="s">
        <v>113</v>
      </c>
      <c r="M46" s="271" t="s">
        <v>373</v>
      </c>
      <c r="N46" s="319">
        <v>15</v>
      </c>
      <c r="O46" s="319"/>
      <c r="P46" s="320" t="str">
        <f>LEFT(VLOOKUP(Ruimtestaat[[#This Row],[Ruimte code]],Ruimtegroepen[#All],4,1),2)</f>
        <v xml:space="preserve">V </v>
      </c>
      <c r="Q46" s="319"/>
      <c r="R46" s="271">
        <v>40</v>
      </c>
      <c r="S46" s="271" t="s">
        <v>2</v>
      </c>
      <c r="T46" s="321">
        <f>IF(R46&gt;0,IF(RIGHT(Ruimtestaat[[#This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" s="321">
        <f>IF(T46&gt;0,VLOOKUP($J46,Ruimtegroepen[],3,FALSE)*VLOOKUP($L46,Vloersoorten[],3,FALSE)*VLOOKUP($S46,Frequenties[],3,FALSE)*VLOOKUP($A46,Locaties[],3,FALSE),0)</f>
        <v>0</v>
      </c>
      <c r="V46" s="322">
        <f>Ruimtestaat[[#This Row],[Uitvoeringen werkdagen]]*Ruimtestaat[[#This Row],[Oppervlak (netto)]]</f>
        <v>3000</v>
      </c>
      <c r="W46" s="323">
        <f>IF(U46&gt;0,Ruimtestaat[[#This Row],[Prest. (m2 /jaar) werkdagen]]/Ruimtestaat[[#This Row],[Norm (m2/uur) werkdagen]],0)</f>
        <v>0</v>
      </c>
      <c r="X46" s="324">
        <f>Ruimtestaat[[#This Row],[uren / jaar werkdagen]]*Tariefsopbouw!$E$35</f>
        <v>0</v>
      </c>
      <c r="Y46" s="321"/>
      <c r="Z46" s="325">
        <f>IF(Ruimtestaat[[#This Row],[Frequentie weekend]]&gt;0,VALUE(LEFT(Y46,1))*R46,0)</f>
        <v>0</v>
      </c>
      <c r="AA46" s="321">
        <f>IF($Z46&gt;0,VLOOKUP($J46,Ruimtegroepen[],3,FALSE)*VLOOKUP($L46,Vloersoorten[],3,FALSE)*VLOOKUP($Y46,Frequenties[],3,FALSE)*VLOOKUP($A42,Locaties[],3,FALSE),0)</f>
        <v>0</v>
      </c>
      <c r="AB46" s="323">
        <f>Ruimtestaat[[#This Row],[Uitvoeringen weekend]]*Ruimtestaat[[#This Row],[Oppervlak (netto)]]</f>
        <v>0</v>
      </c>
      <c r="AC46" s="326">
        <f>IF(AB46&gt;0,Ruimtestaat[[#This Row],[Prest. (m2 /jaar) weekend]]/Ruimtestaat[[#This Row],[Norm (m2/uur) weekend]],0)</f>
        <v>0</v>
      </c>
      <c r="AD46" s="327">
        <f>Ruimtestaat[[#This Row],[uren / jaar weekend]]*Tariefsopbouw!$D$40</f>
        <v>0</v>
      </c>
      <c r="AE46" s="328">
        <f>Ruimtestaat[[#This Row],[Prest. (m2 /jaar) weekend]]+Ruimtestaat[[#This Row],[Prest. (m2 /jaar) werkdagen]]</f>
        <v>3000</v>
      </c>
      <c r="AF46" s="328">
        <f>Ruimtestaat[[#This Row],[uren / jaar weekend]]+Ruimtestaat[[#This Row],[uren / jaar werkdagen]]</f>
        <v>0</v>
      </c>
      <c r="AG46" s="329">
        <f>Ruimtestaat[[#This Row],[kosten / jaar weekend]]+Ruimtestaat[[#This Row],[kosten / jaar werkdagen]]</f>
        <v>0</v>
      </c>
      <c r="AH46" s="330"/>
      <c r="HL46" s="297"/>
    </row>
    <row r="47" spans="1:220" ht="15" customHeight="1">
      <c r="A47" s="271">
        <v>1</v>
      </c>
      <c r="B47" s="271" t="str">
        <f>VLOOKUP(Ruimtestaat[[#This Row],[Code]],Locaties[#All],2,FALSE)</f>
        <v>Hoofdgebouw</v>
      </c>
      <c r="C47" s="271" t="str">
        <f>VLOOKUP(Ruimtestaat[[#This Row],[Code]],Locaties[#All],4,FALSE)</f>
        <v>Sterrenlaan 16</v>
      </c>
      <c r="D47" s="271" t="str">
        <f>VLOOKUP(Ruimtestaat[[#This Row],[Code]],Locaties[#All],5,FALSE)</f>
        <v>5631 KA</v>
      </c>
      <c r="E47" s="271" t="str">
        <f>VLOOKUP(Ruimtestaat[[#This Row],[Code]],Locaties[#All],6,FALSE)</f>
        <v>Eindhoven</v>
      </c>
      <c r="F47" s="318"/>
      <c r="G47" s="271" t="s">
        <v>546</v>
      </c>
      <c r="H47" s="271" t="s">
        <v>549</v>
      </c>
      <c r="I47" s="228" t="s">
        <v>483</v>
      </c>
      <c r="J47" s="271">
        <v>10</v>
      </c>
      <c r="K47" s="318" t="str">
        <f>VLOOKUP(J47,Ruimtegroepen[],2,FALSE)</f>
        <v>Trappenhuizen/lift</v>
      </c>
      <c r="L47" s="271" t="s">
        <v>698</v>
      </c>
      <c r="M47" s="271" t="s">
        <v>699</v>
      </c>
      <c r="N47" s="319">
        <v>12</v>
      </c>
      <c r="O47" s="319"/>
      <c r="P47" s="320" t="str">
        <f>LEFT(VLOOKUP(Ruimtestaat[[#This Row],[Ruimte code]],Ruimtegroepen[#All],4,1),2)</f>
        <v xml:space="preserve">V </v>
      </c>
      <c r="Q47" s="319"/>
      <c r="R47" s="271">
        <v>40</v>
      </c>
      <c r="S47" s="271" t="s">
        <v>2</v>
      </c>
      <c r="T47" s="321">
        <f>IF(R47&gt;0,IF(RIGHT(Ruimtestaat[[#This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" s="321">
        <f>IF(T47&gt;0,VLOOKUP($J47,Ruimtegroepen[],3,FALSE)*VLOOKUP($L47,Vloersoorten[],3,FALSE)*VLOOKUP($S47,Frequenties[],3,FALSE)*VLOOKUP($A47,Locaties[],3,FALSE),0)</f>
        <v>0</v>
      </c>
      <c r="V47" s="322">
        <f>Ruimtestaat[[#This Row],[Uitvoeringen werkdagen]]*Ruimtestaat[[#This Row],[Oppervlak (netto)]]</f>
        <v>2400</v>
      </c>
      <c r="W47" s="323">
        <f>IF(U47&gt;0,Ruimtestaat[[#This Row],[Prest. (m2 /jaar) werkdagen]]/Ruimtestaat[[#This Row],[Norm (m2/uur) werkdagen]],0)</f>
        <v>0</v>
      </c>
      <c r="X47" s="324">
        <f>Ruimtestaat[[#This Row],[uren / jaar werkdagen]]*Tariefsopbouw!$E$35</f>
        <v>0</v>
      </c>
      <c r="Y47" s="321"/>
      <c r="Z47" s="325">
        <f>IF(Ruimtestaat[[#This Row],[Frequentie weekend]]&gt;0,VALUE(LEFT(Y47,1))*R47,0)</f>
        <v>0</v>
      </c>
      <c r="AA47" s="321">
        <f>IF($Z47&gt;0,VLOOKUP($J47,Ruimtegroepen[],3,FALSE)*VLOOKUP($L47,Vloersoorten[],3,FALSE)*VLOOKUP($Y47,Frequenties[],3,FALSE)*VLOOKUP($A43,Locaties[],3,FALSE),0)</f>
        <v>0</v>
      </c>
      <c r="AB47" s="323">
        <f>Ruimtestaat[[#This Row],[Uitvoeringen weekend]]*Ruimtestaat[[#This Row],[Oppervlak (netto)]]</f>
        <v>0</v>
      </c>
      <c r="AC47" s="326">
        <f>IF(AB47&gt;0,Ruimtestaat[[#This Row],[Prest. (m2 /jaar) weekend]]/Ruimtestaat[[#This Row],[Norm (m2/uur) weekend]],0)</f>
        <v>0</v>
      </c>
      <c r="AD47" s="327">
        <f>Ruimtestaat[[#This Row],[uren / jaar weekend]]*Tariefsopbouw!$D$40</f>
        <v>0</v>
      </c>
      <c r="AE47" s="328">
        <f>Ruimtestaat[[#This Row],[Prest. (m2 /jaar) weekend]]+Ruimtestaat[[#This Row],[Prest. (m2 /jaar) werkdagen]]</f>
        <v>2400</v>
      </c>
      <c r="AF47" s="328">
        <f>Ruimtestaat[[#This Row],[uren / jaar weekend]]+Ruimtestaat[[#This Row],[uren / jaar werkdagen]]</f>
        <v>0</v>
      </c>
      <c r="AG47" s="329">
        <f>Ruimtestaat[[#This Row],[kosten / jaar weekend]]+Ruimtestaat[[#This Row],[kosten / jaar werkdagen]]</f>
        <v>0</v>
      </c>
      <c r="AH47" s="330"/>
      <c r="HL47" s="297"/>
    </row>
    <row r="48" spans="1:220" ht="15" customHeight="1">
      <c r="A48" s="271">
        <v>1</v>
      </c>
      <c r="B48" s="271" t="str">
        <f>VLOOKUP(Ruimtestaat[[#This Row],[Code]],Locaties[#All],2,FALSE)</f>
        <v>Hoofdgebouw</v>
      </c>
      <c r="C48" s="271" t="str">
        <f>VLOOKUP(Ruimtestaat[[#This Row],[Code]],Locaties[#All],4,FALSE)</f>
        <v>Sterrenlaan 16</v>
      </c>
      <c r="D48" s="271" t="str">
        <f>VLOOKUP(Ruimtestaat[[#This Row],[Code]],Locaties[#All],5,FALSE)</f>
        <v>5631 KA</v>
      </c>
      <c r="E48" s="271" t="str">
        <f>VLOOKUP(Ruimtestaat[[#This Row],[Code]],Locaties[#All],6,FALSE)</f>
        <v>Eindhoven</v>
      </c>
      <c r="F48" s="318"/>
      <c r="G48" s="271" t="s">
        <v>546</v>
      </c>
      <c r="H48" s="271" t="s">
        <v>550</v>
      </c>
      <c r="I48" s="228" t="s">
        <v>487</v>
      </c>
      <c r="J48" s="271">
        <v>5</v>
      </c>
      <c r="K48" s="318" t="str">
        <f>VLOOKUP(J48,Ruimtegroepen[],2,FALSE)</f>
        <v>Sanitair</v>
      </c>
      <c r="L48" s="271" t="s">
        <v>114</v>
      </c>
      <c r="M48" s="271" t="s">
        <v>700</v>
      </c>
      <c r="N48" s="319">
        <v>12</v>
      </c>
      <c r="O48" s="319"/>
      <c r="P48" s="320" t="str">
        <f>LEFT(VLOOKUP(Ruimtestaat[[#This Row],[Ruimte code]],Ruimtegroepen[#All],4,1),2)</f>
        <v xml:space="preserve">S </v>
      </c>
      <c r="Q48" s="319"/>
      <c r="R48" s="271">
        <v>42</v>
      </c>
      <c r="S48" s="271" t="s">
        <v>2</v>
      </c>
      <c r="T48" s="321">
        <f>IF(R48&gt;0,IF(RIGHT(Ruimtestaat[[#This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48" s="321">
        <f>IF(T48&gt;0,VLOOKUP($J48,Ruimtegroepen[],3,FALSE)*VLOOKUP($L48,Vloersoorten[],3,FALSE)*VLOOKUP($S48,Frequenties[],3,FALSE)*VLOOKUP($A48,Locaties[],3,FALSE),0)</f>
        <v>0</v>
      </c>
      <c r="V48" s="322">
        <f>Ruimtestaat[[#This Row],[Uitvoeringen werkdagen]]*Ruimtestaat[[#This Row],[Oppervlak (netto)]]</f>
        <v>2520</v>
      </c>
      <c r="W48" s="323">
        <f>IF(U48&gt;0,Ruimtestaat[[#This Row],[Prest. (m2 /jaar) werkdagen]]/Ruimtestaat[[#This Row],[Norm (m2/uur) werkdagen]],0)</f>
        <v>0</v>
      </c>
      <c r="X48" s="324">
        <f>Ruimtestaat[[#This Row],[uren / jaar werkdagen]]*Tariefsopbouw!$E$35</f>
        <v>0</v>
      </c>
      <c r="Y48" s="321"/>
      <c r="Z48" s="325">
        <f>IF(Ruimtestaat[[#This Row],[Frequentie weekend]]&gt;0,VALUE(LEFT(Y48,1))*R48,0)</f>
        <v>0</v>
      </c>
      <c r="AA48" s="321">
        <f>IF($Z48&gt;0,VLOOKUP($J48,Ruimtegroepen[],3,FALSE)*VLOOKUP($L48,Vloersoorten[],3,FALSE)*VLOOKUP($Y48,Frequenties[],3,FALSE)*VLOOKUP($A43,Locaties[],3,FALSE),0)</f>
        <v>0</v>
      </c>
      <c r="AB48" s="323">
        <f>Ruimtestaat[[#This Row],[Uitvoeringen weekend]]*Ruimtestaat[[#This Row],[Oppervlak (netto)]]</f>
        <v>0</v>
      </c>
      <c r="AC48" s="326">
        <f>IF(AB48&gt;0,Ruimtestaat[[#This Row],[Prest. (m2 /jaar) weekend]]/Ruimtestaat[[#This Row],[Norm (m2/uur) weekend]],0)</f>
        <v>0</v>
      </c>
      <c r="AD48" s="327">
        <f>Ruimtestaat[[#This Row],[uren / jaar weekend]]*Tariefsopbouw!$D$40</f>
        <v>0</v>
      </c>
      <c r="AE48" s="328">
        <f>Ruimtestaat[[#This Row],[Prest. (m2 /jaar) weekend]]+Ruimtestaat[[#This Row],[Prest. (m2 /jaar) werkdagen]]</f>
        <v>2520</v>
      </c>
      <c r="AF48" s="328">
        <f>Ruimtestaat[[#This Row],[uren / jaar weekend]]+Ruimtestaat[[#This Row],[uren / jaar werkdagen]]</f>
        <v>0</v>
      </c>
      <c r="AG48" s="329">
        <f>Ruimtestaat[[#This Row],[kosten / jaar weekend]]+Ruimtestaat[[#This Row],[kosten / jaar werkdagen]]</f>
        <v>0</v>
      </c>
      <c r="AH48" s="330"/>
      <c r="HL48" s="297"/>
    </row>
    <row r="49" spans="1:220" ht="15" customHeight="1">
      <c r="A49" s="271">
        <v>1</v>
      </c>
      <c r="B49" s="271" t="str">
        <f>VLOOKUP(Ruimtestaat[[#This Row],[Code]],Locaties[#All],2,FALSE)</f>
        <v>Hoofdgebouw</v>
      </c>
      <c r="C49" s="271" t="str">
        <f>VLOOKUP(Ruimtestaat[[#This Row],[Code]],Locaties[#All],4,FALSE)</f>
        <v>Sterrenlaan 16</v>
      </c>
      <c r="D49" s="271" t="str">
        <f>VLOOKUP(Ruimtestaat[[#This Row],[Code]],Locaties[#All],5,FALSE)</f>
        <v>5631 KA</v>
      </c>
      <c r="E49" s="271" t="str">
        <f>VLOOKUP(Ruimtestaat[[#This Row],[Code]],Locaties[#All],6,FALSE)</f>
        <v>Eindhoven</v>
      </c>
      <c r="F49" s="318"/>
      <c r="G49" s="271" t="s">
        <v>546</v>
      </c>
      <c r="H49" s="271" t="s">
        <v>551</v>
      </c>
      <c r="I49" s="228" t="s">
        <v>489</v>
      </c>
      <c r="J49" s="271">
        <v>5</v>
      </c>
      <c r="K49" s="318" t="str">
        <f>VLOOKUP(J49,Ruimtegroepen[],2,FALSE)</f>
        <v>Sanitair</v>
      </c>
      <c r="L49" s="271" t="s">
        <v>114</v>
      </c>
      <c r="M49" s="271" t="s">
        <v>700</v>
      </c>
      <c r="N49" s="319">
        <v>13</v>
      </c>
      <c r="O49" s="319"/>
      <c r="P49" s="320" t="str">
        <f>LEFT(VLOOKUP(Ruimtestaat[[#This Row],[Ruimte code]],Ruimtegroepen[#All],4,1),2)</f>
        <v xml:space="preserve">S </v>
      </c>
      <c r="Q49" s="319"/>
      <c r="R49" s="271">
        <v>42</v>
      </c>
      <c r="S49" s="271" t="s">
        <v>2</v>
      </c>
      <c r="T49" s="321">
        <f>IF(R49&gt;0,IF(RIGHT(Ruimtestaat[[#This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49" s="321">
        <f>IF(T49&gt;0,VLOOKUP($J49,Ruimtegroepen[],3,FALSE)*VLOOKUP($L49,Vloersoorten[],3,FALSE)*VLOOKUP($S49,Frequenties[],3,FALSE)*VLOOKUP($A49,Locaties[],3,FALSE),0)</f>
        <v>0</v>
      </c>
      <c r="V49" s="322">
        <f>Ruimtestaat[[#This Row],[Uitvoeringen werkdagen]]*Ruimtestaat[[#This Row],[Oppervlak (netto)]]</f>
        <v>2730</v>
      </c>
      <c r="W49" s="323">
        <f>IF(U49&gt;0,Ruimtestaat[[#This Row],[Prest. (m2 /jaar) werkdagen]]/Ruimtestaat[[#This Row],[Norm (m2/uur) werkdagen]],0)</f>
        <v>0</v>
      </c>
      <c r="X49" s="324">
        <f>Ruimtestaat[[#This Row],[uren / jaar werkdagen]]*Tariefsopbouw!$E$35</f>
        <v>0</v>
      </c>
      <c r="Y49" s="321"/>
      <c r="Z49" s="325">
        <f>IF(Ruimtestaat[[#This Row],[Frequentie weekend]]&gt;0,VALUE(LEFT(Y49,1))*R49,0)</f>
        <v>0</v>
      </c>
      <c r="AA49" s="321">
        <f>IF($Z49&gt;0,VLOOKUP($J49,Ruimtegroepen[],3,FALSE)*VLOOKUP($L49,Vloersoorten[],3,FALSE)*VLOOKUP($Y49,Frequenties[],3,FALSE)*VLOOKUP($A44,Locaties[],3,FALSE),0)</f>
        <v>0</v>
      </c>
      <c r="AB49" s="323">
        <f>Ruimtestaat[[#This Row],[Uitvoeringen weekend]]*Ruimtestaat[[#This Row],[Oppervlak (netto)]]</f>
        <v>0</v>
      </c>
      <c r="AC49" s="326">
        <f>IF(AB49&gt;0,Ruimtestaat[[#This Row],[Prest. (m2 /jaar) weekend]]/Ruimtestaat[[#This Row],[Norm (m2/uur) weekend]],0)</f>
        <v>0</v>
      </c>
      <c r="AD49" s="327">
        <f>Ruimtestaat[[#This Row],[uren / jaar weekend]]*Tariefsopbouw!$D$40</f>
        <v>0</v>
      </c>
      <c r="AE49" s="328">
        <f>Ruimtestaat[[#This Row],[Prest. (m2 /jaar) weekend]]+Ruimtestaat[[#This Row],[Prest. (m2 /jaar) werkdagen]]</f>
        <v>2730</v>
      </c>
      <c r="AF49" s="328">
        <f>Ruimtestaat[[#This Row],[uren / jaar weekend]]+Ruimtestaat[[#This Row],[uren / jaar werkdagen]]</f>
        <v>0</v>
      </c>
      <c r="AG49" s="329">
        <f>Ruimtestaat[[#This Row],[kosten / jaar weekend]]+Ruimtestaat[[#This Row],[kosten / jaar werkdagen]]</f>
        <v>0</v>
      </c>
      <c r="AH49" s="330"/>
      <c r="HL49" s="297"/>
    </row>
    <row r="50" spans="1:220" ht="15" customHeight="1">
      <c r="A50" s="271">
        <v>1</v>
      </c>
      <c r="B50" s="271" t="str">
        <f>VLOOKUP(Ruimtestaat[[#This Row],[Code]],Locaties[#All],2,FALSE)</f>
        <v>Hoofdgebouw</v>
      </c>
      <c r="C50" s="271" t="str">
        <f>VLOOKUP(Ruimtestaat[[#This Row],[Code]],Locaties[#All],4,FALSE)</f>
        <v>Sterrenlaan 16</v>
      </c>
      <c r="D50" s="271" t="str">
        <f>VLOOKUP(Ruimtestaat[[#This Row],[Code]],Locaties[#All],5,FALSE)</f>
        <v>5631 KA</v>
      </c>
      <c r="E50" s="271" t="str">
        <f>VLOOKUP(Ruimtestaat[[#This Row],[Code]],Locaties[#All],6,FALSE)</f>
        <v>Eindhoven</v>
      </c>
      <c r="F50" s="318"/>
      <c r="G50" s="271" t="s">
        <v>546</v>
      </c>
      <c r="H50" s="271" t="s">
        <v>552</v>
      </c>
      <c r="I50" s="228" t="s">
        <v>491</v>
      </c>
      <c r="J50" s="271">
        <v>20</v>
      </c>
      <c r="K50" s="318" t="str">
        <f>VLOOKUP(J50,Ruimtegroepen[],2,FALSE)</f>
        <v>Niet in onderhoud</v>
      </c>
      <c r="L50" s="271" t="s">
        <v>114</v>
      </c>
      <c r="M50" s="271" t="s">
        <v>700</v>
      </c>
      <c r="N50" s="319"/>
      <c r="O50" s="319">
        <v>2</v>
      </c>
      <c r="P50" s="320" t="str">
        <f>LEFT(VLOOKUP(Ruimtestaat[[#This Row],[Ruimte code]],Ruimtegroepen[#All],4,1),2)</f>
        <v/>
      </c>
      <c r="Q50" s="319"/>
      <c r="R50" s="271"/>
      <c r="S50" s="271"/>
      <c r="T50" s="321">
        <f>IF(R50&gt;0,IF(RIGHT(Ruimtestaat[[#This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0" s="321">
        <f>IF(T50&gt;0,VLOOKUP($J50,Ruimtegroepen[],3,FALSE)*VLOOKUP($L50,Vloersoorten[],3,FALSE)*VLOOKUP($S50,Frequenties[],3,FALSE)*VLOOKUP($A50,Locaties[],3,FALSE),0)</f>
        <v>0</v>
      </c>
      <c r="V50" s="322">
        <f>Ruimtestaat[[#This Row],[Uitvoeringen werkdagen]]*Ruimtestaat[[#This Row],[Oppervlak (netto)]]</f>
        <v>0</v>
      </c>
      <c r="W50" s="323">
        <f>IF(U50&gt;0,Ruimtestaat[[#This Row],[Prest. (m2 /jaar) werkdagen]]/Ruimtestaat[[#This Row],[Norm (m2/uur) werkdagen]],0)</f>
        <v>0</v>
      </c>
      <c r="X50" s="324">
        <f>Ruimtestaat[[#This Row],[uren / jaar werkdagen]]*Tariefsopbouw!$E$35</f>
        <v>0</v>
      </c>
      <c r="Y50" s="321"/>
      <c r="Z50" s="325">
        <f>IF(Ruimtestaat[[#This Row],[Frequentie weekend]]&gt;0,VALUE(LEFT(Y50,1))*R50,0)</f>
        <v>0</v>
      </c>
      <c r="AA50" s="321">
        <f>IF($Z50&gt;0,VLOOKUP($J50,Ruimtegroepen[],3,FALSE)*VLOOKUP($L50,Vloersoorten[],3,FALSE)*VLOOKUP($Y50,Frequenties[],3,FALSE)*VLOOKUP($A45,Locaties[],3,FALSE),0)</f>
        <v>0</v>
      </c>
      <c r="AB50" s="323">
        <f>Ruimtestaat[[#This Row],[Uitvoeringen weekend]]*Ruimtestaat[[#This Row],[Oppervlak (netto)]]</f>
        <v>0</v>
      </c>
      <c r="AC50" s="326">
        <f>IF(AB50&gt;0,Ruimtestaat[[#This Row],[Prest. (m2 /jaar) weekend]]/Ruimtestaat[[#This Row],[Norm (m2/uur) weekend]],0)</f>
        <v>0</v>
      </c>
      <c r="AD50" s="327">
        <f>Ruimtestaat[[#This Row],[uren / jaar weekend]]*Tariefsopbouw!$D$40</f>
        <v>0</v>
      </c>
      <c r="AE50" s="328">
        <f>Ruimtestaat[[#This Row],[Prest. (m2 /jaar) weekend]]+Ruimtestaat[[#This Row],[Prest. (m2 /jaar) werkdagen]]</f>
        <v>0</v>
      </c>
      <c r="AF50" s="328">
        <f>Ruimtestaat[[#This Row],[uren / jaar weekend]]+Ruimtestaat[[#This Row],[uren / jaar werkdagen]]</f>
        <v>0</v>
      </c>
      <c r="AG50" s="329">
        <f>Ruimtestaat[[#This Row],[kosten / jaar weekend]]+Ruimtestaat[[#This Row],[kosten / jaar werkdagen]]</f>
        <v>0</v>
      </c>
      <c r="AH50" s="330"/>
      <c r="HL50" s="297"/>
    </row>
    <row r="51" spans="1:220" ht="15" customHeight="1">
      <c r="A51" s="271">
        <v>1</v>
      </c>
      <c r="B51" s="271" t="str">
        <f>VLOOKUP(Ruimtestaat[[#This Row],[Code]],Locaties[#All],2,FALSE)</f>
        <v>Hoofdgebouw</v>
      </c>
      <c r="C51" s="271" t="str">
        <f>VLOOKUP(Ruimtestaat[[#This Row],[Code]],Locaties[#All],4,FALSE)</f>
        <v>Sterrenlaan 16</v>
      </c>
      <c r="D51" s="271" t="str">
        <f>VLOOKUP(Ruimtestaat[[#This Row],[Code]],Locaties[#All],5,FALSE)</f>
        <v>5631 KA</v>
      </c>
      <c r="E51" s="271" t="str">
        <f>VLOOKUP(Ruimtestaat[[#This Row],[Code]],Locaties[#All],6,FALSE)</f>
        <v>Eindhoven</v>
      </c>
      <c r="F51" s="318"/>
      <c r="G51" s="271" t="s">
        <v>546</v>
      </c>
      <c r="H51" s="271" t="s">
        <v>553</v>
      </c>
      <c r="I51" s="228" t="s">
        <v>368</v>
      </c>
      <c r="J51" s="271">
        <v>6</v>
      </c>
      <c r="K51" s="318" t="str">
        <f>VLOOKUP(J51,Ruimtegroepen[],2,FALSE)</f>
        <v>Gangen/hallen</v>
      </c>
      <c r="L51" s="271" t="s">
        <v>113</v>
      </c>
      <c r="M51" s="271" t="s">
        <v>373</v>
      </c>
      <c r="N51" s="319">
        <v>100</v>
      </c>
      <c r="O51" s="319"/>
      <c r="P51" s="320" t="str">
        <f>LEFT(VLOOKUP(Ruimtestaat[[#This Row],[Ruimte code]],Ruimtegroepen[#All],4,1),2)</f>
        <v xml:space="preserve">V </v>
      </c>
      <c r="Q51" s="319"/>
      <c r="R51" s="271">
        <v>40</v>
      </c>
      <c r="S51" s="271" t="s">
        <v>2</v>
      </c>
      <c r="T51" s="321">
        <f>IF(R51&gt;0,IF(RIGHT(Ruimtestaat[[#This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" s="321">
        <f>IF(T51&gt;0,VLOOKUP($J51,Ruimtegroepen[],3,FALSE)*VLOOKUP($L51,Vloersoorten[],3,FALSE)*VLOOKUP($S51,Frequenties[],3,FALSE)*VLOOKUP($A51,Locaties[],3,FALSE),0)</f>
        <v>0</v>
      </c>
      <c r="V51" s="322">
        <f>Ruimtestaat[[#This Row],[Uitvoeringen werkdagen]]*Ruimtestaat[[#This Row],[Oppervlak (netto)]]</f>
        <v>20000</v>
      </c>
      <c r="W51" s="323">
        <f>IF(U51&gt;0,Ruimtestaat[[#This Row],[Prest. (m2 /jaar) werkdagen]]/Ruimtestaat[[#This Row],[Norm (m2/uur) werkdagen]],0)</f>
        <v>0</v>
      </c>
      <c r="X51" s="324">
        <f>Ruimtestaat[[#This Row],[uren / jaar werkdagen]]*Tariefsopbouw!$E$35</f>
        <v>0</v>
      </c>
      <c r="Y51" s="321"/>
      <c r="Z51" s="325">
        <f>IF(Ruimtestaat[[#This Row],[Frequentie weekend]]&gt;0,VALUE(LEFT(Y51,1))*R51,0)</f>
        <v>0</v>
      </c>
      <c r="AA51" s="321">
        <f>IF($Z51&gt;0,VLOOKUP($J51,Ruimtegroepen[],3,FALSE)*VLOOKUP($L51,Vloersoorten[],3,FALSE)*VLOOKUP($Y51,Frequenties[],3,FALSE)*VLOOKUP($A46,Locaties[],3,FALSE),0)</f>
        <v>0</v>
      </c>
      <c r="AB51" s="323">
        <f>Ruimtestaat[[#This Row],[Uitvoeringen weekend]]*Ruimtestaat[[#This Row],[Oppervlak (netto)]]</f>
        <v>0</v>
      </c>
      <c r="AC51" s="326">
        <f>IF(AB51&gt;0,Ruimtestaat[[#This Row],[Prest. (m2 /jaar) weekend]]/Ruimtestaat[[#This Row],[Norm (m2/uur) weekend]],0)</f>
        <v>0</v>
      </c>
      <c r="AD51" s="327">
        <f>Ruimtestaat[[#This Row],[uren / jaar weekend]]*Tariefsopbouw!$D$40</f>
        <v>0</v>
      </c>
      <c r="AE51" s="328">
        <f>Ruimtestaat[[#This Row],[Prest. (m2 /jaar) weekend]]+Ruimtestaat[[#This Row],[Prest. (m2 /jaar) werkdagen]]</f>
        <v>20000</v>
      </c>
      <c r="AF51" s="328">
        <f>Ruimtestaat[[#This Row],[uren / jaar weekend]]+Ruimtestaat[[#This Row],[uren / jaar werkdagen]]</f>
        <v>0</v>
      </c>
      <c r="AG51" s="329">
        <f>Ruimtestaat[[#This Row],[kosten / jaar weekend]]+Ruimtestaat[[#This Row],[kosten / jaar werkdagen]]</f>
        <v>0</v>
      </c>
      <c r="AH51" s="330"/>
      <c r="HL51" s="297"/>
    </row>
    <row r="52" spans="1:220" ht="15" customHeight="1">
      <c r="A52" s="271">
        <v>1</v>
      </c>
      <c r="B52" s="271" t="str">
        <f>VLOOKUP(Ruimtestaat[[#This Row],[Code]],Locaties[#All],2,FALSE)</f>
        <v>Hoofdgebouw</v>
      </c>
      <c r="C52" s="271" t="str">
        <f>VLOOKUP(Ruimtestaat[[#This Row],[Code]],Locaties[#All],4,FALSE)</f>
        <v>Sterrenlaan 16</v>
      </c>
      <c r="D52" s="271" t="str">
        <f>VLOOKUP(Ruimtestaat[[#This Row],[Code]],Locaties[#All],5,FALSE)</f>
        <v>5631 KA</v>
      </c>
      <c r="E52" s="271" t="str">
        <f>VLOOKUP(Ruimtestaat[[#This Row],[Code]],Locaties[#All],6,FALSE)</f>
        <v>Eindhoven</v>
      </c>
      <c r="F52" s="318"/>
      <c r="G52" s="271" t="s">
        <v>546</v>
      </c>
      <c r="H52" s="271" t="s">
        <v>554</v>
      </c>
      <c r="I52" s="228" t="s">
        <v>495</v>
      </c>
      <c r="J52" s="271">
        <v>10</v>
      </c>
      <c r="K52" s="318" t="str">
        <f>VLOOKUP(J52,Ruimtegroepen[],2,FALSE)</f>
        <v>Trappenhuizen/lift</v>
      </c>
      <c r="L52" s="271" t="s">
        <v>113</v>
      </c>
      <c r="M52" s="271" t="s">
        <v>373</v>
      </c>
      <c r="N52" s="319">
        <v>21</v>
      </c>
      <c r="O52" s="319"/>
      <c r="P52" s="320" t="str">
        <f>LEFT(VLOOKUP(Ruimtestaat[[#This Row],[Ruimte code]],Ruimtegroepen[#All],4,1),2)</f>
        <v xml:space="preserve">V </v>
      </c>
      <c r="Q52" s="319"/>
      <c r="R52" s="271">
        <v>40</v>
      </c>
      <c r="S52" s="271" t="s">
        <v>2</v>
      </c>
      <c r="T52" s="321">
        <f>IF(R52&gt;0,IF(RIGHT(Ruimtestaat[[#This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" s="321">
        <f>IF(T52&gt;0,VLOOKUP($J52,Ruimtegroepen[],3,FALSE)*VLOOKUP($L52,Vloersoorten[],3,FALSE)*VLOOKUP($S52,Frequenties[],3,FALSE)*VLOOKUP($A52,Locaties[],3,FALSE),0)</f>
        <v>0</v>
      </c>
      <c r="V52" s="322">
        <f>Ruimtestaat[[#This Row],[Uitvoeringen werkdagen]]*Ruimtestaat[[#This Row],[Oppervlak (netto)]]</f>
        <v>4200</v>
      </c>
      <c r="W52" s="323">
        <f>IF(U52&gt;0,Ruimtestaat[[#This Row],[Prest. (m2 /jaar) werkdagen]]/Ruimtestaat[[#This Row],[Norm (m2/uur) werkdagen]],0)</f>
        <v>0</v>
      </c>
      <c r="X52" s="324">
        <f>Ruimtestaat[[#This Row],[uren / jaar werkdagen]]*Tariefsopbouw!$E$35</f>
        <v>0</v>
      </c>
      <c r="Y52" s="321"/>
      <c r="Z52" s="325">
        <f>IF(Ruimtestaat[[#This Row],[Frequentie weekend]]&gt;0,VALUE(LEFT(Y52,1))*R52,0)</f>
        <v>0</v>
      </c>
      <c r="AA52" s="321">
        <f>IF($Z52&gt;0,VLOOKUP($J52,Ruimtegroepen[],3,FALSE)*VLOOKUP($L52,Vloersoorten[],3,FALSE)*VLOOKUP($Y52,Frequenties[],3,FALSE)*VLOOKUP($A48,Locaties[],3,FALSE),0)</f>
        <v>0</v>
      </c>
      <c r="AB52" s="323">
        <f>Ruimtestaat[[#This Row],[Uitvoeringen weekend]]*Ruimtestaat[[#This Row],[Oppervlak (netto)]]</f>
        <v>0</v>
      </c>
      <c r="AC52" s="326">
        <f>IF(AB52&gt;0,Ruimtestaat[[#This Row],[Prest. (m2 /jaar) weekend]]/Ruimtestaat[[#This Row],[Norm (m2/uur) weekend]],0)</f>
        <v>0</v>
      </c>
      <c r="AD52" s="327">
        <f>Ruimtestaat[[#This Row],[uren / jaar weekend]]*Tariefsopbouw!$D$40</f>
        <v>0</v>
      </c>
      <c r="AE52" s="328">
        <f>Ruimtestaat[[#This Row],[Prest. (m2 /jaar) weekend]]+Ruimtestaat[[#This Row],[Prest. (m2 /jaar) werkdagen]]</f>
        <v>4200</v>
      </c>
      <c r="AF52" s="328">
        <f>Ruimtestaat[[#This Row],[uren / jaar weekend]]+Ruimtestaat[[#This Row],[uren / jaar werkdagen]]</f>
        <v>0</v>
      </c>
      <c r="AG52" s="329">
        <f>Ruimtestaat[[#This Row],[kosten / jaar weekend]]+Ruimtestaat[[#This Row],[kosten / jaar werkdagen]]</f>
        <v>0</v>
      </c>
      <c r="AH52" s="330"/>
      <c r="HL52" s="297"/>
    </row>
    <row r="53" spans="1:220" ht="15" customHeight="1">
      <c r="A53" s="271">
        <v>1</v>
      </c>
      <c r="B53" s="271" t="str">
        <f>VLOOKUP(Ruimtestaat[[#This Row],[Code]],Locaties[#All],2,FALSE)</f>
        <v>Hoofdgebouw</v>
      </c>
      <c r="C53" s="271" t="str">
        <f>VLOOKUP(Ruimtestaat[[#This Row],[Code]],Locaties[#All],4,FALSE)</f>
        <v>Sterrenlaan 16</v>
      </c>
      <c r="D53" s="271" t="str">
        <f>VLOOKUP(Ruimtestaat[[#This Row],[Code]],Locaties[#All],5,FALSE)</f>
        <v>5631 KA</v>
      </c>
      <c r="E53" s="271" t="str">
        <f>VLOOKUP(Ruimtestaat[[#This Row],[Code]],Locaties[#All],6,FALSE)</f>
        <v>Eindhoven</v>
      </c>
      <c r="F53" s="318"/>
      <c r="G53" s="271" t="s">
        <v>546</v>
      </c>
      <c r="H53" s="271" t="s">
        <v>555</v>
      </c>
      <c r="I53" s="228" t="s">
        <v>500</v>
      </c>
      <c r="J53" s="271">
        <v>10</v>
      </c>
      <c r="K53" s="318" t="str">
        <f>VLOOKUP(J53,Ruimtegroepen[],2,FALSE)</f>
        <v>Trappenhuizen/lift</v>
      </c>
      <c r="L53" s="271" t="s">
        <v>698</v>
      </c>
      <c r="M53" s="271" t="s">
        <v>699</v>
      </c>
      <c r="N53" s="319">
        <v>5</v>
      </c>
      <c r="O53" s="319"/>
      <c r="P53" s="320" t="str">
        <f>LEFT(VLOOKUP(Ruimtestaat[[#This Row],[Ruimte code]],Ruimtegroepen[#All],4,1),2)</f>
        <v xml:space="preserve">V </v>
      </c>
      <c r="Q53" s="319"/>
      <c r="R53" s="271">
        <v>40</v>
      </c>
      <c r="S53" s="271" t="s">
        <v>2</v>
      </c>
      <c r="T53" s="321">
        <f>IF(R53&gt;0,IF(RIGHT(Ruimtestaat[[#This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" s="321">
        <f>IF(T53&gt;0,VLOOKUP($J53,Ruimtegroepen[],3,FALSE)*VLOOKUP($L53,Vloersoorten[],3,FALSE)*VLOOKUP($S53,Frequenties[],3,FALSE)*VLOOKUP($A53,Locaties[],3,FALSE),0)</f>
        <v>0</v>
      </c>
      <c r="V53" s="322">
        <f>Ruimtestaat[[#This Row],[Uitvoeringen werkdagen]]*Ruimtestaat[[#This Row],[Oppervlak (netto)]]</f>
        <v>1000</v>
      </c>
      <c r="W53" s="323">
        <f>IF(U53&gt;0,Ruimtestaat[[#This Row],[Prest. (m2 /jaar) werkdagen]]/Ruimtestaat[[#This Row],[Norm (m2/uur) werkdagen]],0)</f>
        <v>0</v>
      </c>
      <c r="X53" s="324">
        <f>Ruimtestaat[[#This Row],[uren / jaar werkdagen]]*Tariefsopbouw!$E$35</f>
        <v>0</v>
      </c>
      <c r="Y53" s="321"/>
      <c r="Z53" s="325">
        <f>IF(Ruimtestaat[[#This Row],[Frequentie weekend]]&gt;0,VALUE(LEFT(Y53,1))*R53,0)</f>
        <v>0</v>
      </c>
      <c r="AA53" s="321">
        <f>IF($Z53&gt;0,VLOOKUP($J53,Ruimtegroepen[],3,FALSE)*VLOOKUP($L53,Vloersoorten[],3,FALSE)*VLOOKUP($Y53,Frequenties[],3,FALSE)*VLOOKUP($A49,Locaties[],3,FALSE),0)</f>
        <v>0</v>
      </c>
      <c r="AB53" s="323">
        <f>Ruimtestaat[[#This Row],[Uitvoeringen weekend]]*Ruimtestaat[[#This Row],[Oppervlak (netto)]]</f>
        <v>0</v>
      </c>
      <c r="AC53" s="326">
        <f>IF(AB53&gt;0,Ruimtestaat[[#This Row],[Prest. (m2 /jaar) weekend]]/Ruimtestaat[[#This Row],[Norm (m2/uur) weekend]],0)</f>
        <v>0</v>
      </c>
      <c r="AD53" s="327">
        <f>Ruimtestaat[[#This Row],[uren / jaar weekend]]*Tariefsopbouw!$D$40</f>
        <v>0</v>
      </c>
      <c r="AE53" s="328">
        <f>Ruimtestaat[[#This Row],[Prest. (m2 /jaar) weekend]]+Ruimtestaat[[#This Row],[Prest. (m2 /jaar) werkdagen]]</f>
        <v>1000</v>
      </c>
      <c r="AF53" s="328">
        <f>Ruimtestaat[[#This Row],[uren / jaar weekend]]+Ruimtestaat[[#This Row],[uren / jaar werkdagen]]</f>
        <v>0</v>
      </c>
      <c r="AG53" s="329">
        <f>Ruimtestaat[[#This Row],[kosten / jaar weekend]]+Ruimtestaat[[#This Row],[kosten / jaar werkdagen]]</f>
        <v>0</v>
      </c>
      <c r="AH53" s="330"/>
      <c r="HL53" s="297"/>
    </row>
    <row r="54" spans="1:220" ht="15" customHeight="1">
      <c r="A54" s="271">
        <v>1</v>
      </c>
      <c r="B54" s="271" t="str">
        <f>VLOOKUP(Ruimtestaat[[#This Row],[Code]],Locaties[#All],2,FALSE)</f>
        <v>Hoofdgebouw</v>
      </c>
      <c r="C54" s="271" t="str">
        <f>VLOOKUP(Ruimtestaat[[#This Row],[Code]],Locaties[#All],4,FALSE)</f>
        <v>Sterrenlaan 16</v>
      </c>
      <c r="D54" s="271" t="str">
        <f>VLOOKUP(Ruimtestaat[[#This Row],[Code]],Locaties[#All],5,FALSE)</f>
        <v>5631 KA</v>
      </c>
      <c r="E54" s="271" t="str">
        <f>VLOOKUP(Ruimtestaat[[#This Row],[Code]],Locaties[#All],6,FALSE)</f>
        <v>Eindhoven</v>
      </c>
      <c r="F54" s="318"/>
      <c r="G54" s="271" t="s">
        <v>546</v>
      </c>
      <c r="H54" s="271" t="s">
        <v>556</v>
      </c>
      <c r="I54" s="228" t="s">
        <v>495</v>
      </c>
      <c r="J54" s="271">
        <v>10</v>
      </c>
      <c r="K54" s="318" t="str">
        <f>VLOOKUP(J54,Ruimtegroepen[],2,FALSE)</f>
        <v>Trappenhuizen/lift</v>
      </c>
      <c r="L54" s="271" t="s">
        <v>113</v>
      </c>
      <c r="M54" s="271" t="s">
        <v>373</v>
      </c>
      <c r="N54" s="319">
        <v>28</v>
      </c>
      <c r="O54" s="319"/>
      <c r="P54" s="320" t="str">
        <f>LEFT(VLOOKUP(Ruimtestaat[[#This Row],[Ruimte code]],Ruimtegroepen[#All],4,1),2)</f>
        <v xml:space="preserve">V </v>
      </c>
      <c r="Q54" s="319"/>
      <c r="R54" s="271">
        <v>40</v>
      </c>
      <c r="S54" s="271" t="s">
        <v>2</v>
      </c>
      <c r="T54" s="321">
        <f>IF(R54&gt;0,IF(RIGHT(Ruimtestaat[[#This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" s="321">
        <f>IF(T54&gt;0,VLOOKUP($J54,Ruimtegroepen[],3,FALSE)*VLOOKUP($L54,Vloersoorten[],3,FALSE)*VLOOKUP($S54,Frequenties[],3,FALSE)*VLOOKUP($A54,Locaties[],3,FALSE),0)</f>
        <v>0</v>
      </c>
      <c r="V54" s="322">
        <f>Ruimtestaat[[#This Row],[Uitvoeringen werkdagen]]*Ruimtestaat[[#This Row],[Oppervlak (netto)]]</f>
        <v>5600</v>
      </c>
      <c r="W54" s="323">
        <f>IF(U54&gt;0,Ruimtestaat[[#This Row],[Prest. (m2 /jaar) werkdagen]]/Ruimtestaat[[#This Row],[Norm (m2/uur) werkdagen]],0)</f>
        <v>0</v>
      </c>
      <c r="X54" s="324">
        <f>Ruimtestaat[[#This Row],[uren / jaar werkdagen]]*Tariefsopbouw!$E$35</f>
        <v>0</v>
      </c>
      <c r="Y54" s="321"/>
      <c r="Z54" s="325">
        <f>IF(Ruimtestaat[[#This Row],[Frequentie weekend]]&gt;0,VALUE(LEFT(Y54,1))*R54,0)</f>
        <v>0</v>
      </c>
      <c r="AA54" s="321">
        <f>IF($Z54&gt;0,VLOOKUP($J54,Ruimtegroepen[],3,FALSE)*VLOOKUP($L54,Vloersoorten[],3,FALSE)*VLOOKUP($Y54,Frequenties[],3,FALSE)*VLOOKUP($A50,Locaties[],3,FALSE),0)</f>
        <v>0</v>
      </c>
      <c r="AB54" s="323">
        <f>Ruimtestaat[[#This Row],[Uitvoeringen weekend]]*Ruimtestaat[[#This Row],[Oppervlak (netto)]]</f>
        <v>0</v>
      </c>
      <c r="AC54" s="326">
        <f>IF(AB54&gt;0,Ruimtestaat[[#This Row],[Prest. (m2 /jaar) weekend]]/Ruimtestaat[[#This Row],[Norm (m2/uur) weekend]],0)</f>
        <v>0</v>
      </c>
      <c r="AD54" s="327">
        <f>Ruimtestaat[[#This Row],[uren / jaar weekend]]*Tariefsopbouw!$D$40</f>
        <v>0</v>
      </c>
      <c r="AE54" s="328">
        <f>Ruimtestaat[[#This Row],[Prest. (m2 /jaar) weekend]]+Ruimtestaat[[#This Row],[Prest. (m2 /jaar) werkdagen]]</f>
        <v>5600</v>
      </c>
      <c r="AF54" s="328">
        <f>Ruimtestaat[[#This Row],[uren / jaar weekend]]+Ruimtestaat[[#This Row],[uren / jaar werkdagen]]</f>
        <v>0</v>
      </c>
      <c r="AG54" s="329">
        <f>Ruimtestaat[[#This Row],[kosten / jaar weekend]]+Ruimtestaat[[#This Row],[kosten / jaar werkdagen]]</f>
        <v>0</v>
      </c>
      <c r="AH54" s="330"/>
      <c r="HL54" s="297"/>
    </row>
    <row r="55" spans="1:220" ht="15" customHeight="1">
      <c r="A55" s="271">
        <v>1</v>
      </c>
      <c r="B55" s="271" t="str">
        <f>VLOOKUP(Ruimtestaat[[#This Row],[Code]],Locaties[#All],2,FALSE)</f>
        <v>Hoofdgebouw</v>
      </c>
      <c r="C55" s="271" t="str">
        <f>VLOOKUP(Ruimtestaat[[#This Row],[Code]],Locaties[#All],4,FALSE)</f>
        <v>Sterrenlaan 16</v>
      </c>
      <c r="D55" s="271" t="str">
        <f>VLOOKUP(Ruimtestaat[[#This Row],[Code]],Locaties[#All],5,FALSE)</f>
        <v>5631 KA</v>
      </c>
      <c r="E55" s="271" t="str">
        <f>VLOOKUP(Ruimtestaat[[#This Row],[Code]],Locaties[#All],6,FALSE)</f>
        <v>Eindhoven</v>
      </c>
      <c r="F55" s="318"/>
      <c r="G55" s="271" t="s">
        <v>546</v>
      </c>
      <c r="H55" s="271" t="s">
        <v>557</v>
      </c>
      <c r="I55" s="228" t="s">
        <v>558</v>
      </c>
      <c r="J55" s="271">
        <v>2</v>
      </c>
      <c r="K55" s="318" t="str">
        <f>VLOOKUP(J55,Ruimtegroepen[],2,FALSE)</f>
        <v>Kantoren</v>
      </c>
      <c r="L55" s="271" t="s">
        <v>113</v>
      </c>
      <c r="M55" s="271" t="s">
        <v>373</v>
      </c>
      <c r="N55" s="319">
        <v>13</v>
      </c>
      <c r="O55" s="319"/>
      <c r="P55" s="320" t="str">
        <f>LEFT(VLOOKUP(Ruimtestaat[[#This Row],[Ruimte code]],Ruimtegroepen[#All],4,1),2)</f>
        <v xml:space="preserve">B </v>
      </c>
      <c r="Q55" s="319"/>
      <c r="R55" s="271">
        <v>40</v>
      </c>
      <c r="S55" s="271" t="s">
        <v>17</v>
      </c>
      <c r="T55" s="321">
        <f>IF(R55&gt;0,IF(RIGHT(Ruimtestaat[[#This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5" s="321">
        <f>IF(T55&gt;0,VLOOKUP($J55,Ruimtegroepen[],3,FALSE)*VLOOKUP($L55,Vloersoorten[],3,FALSE)*VLOOKUP($S55,Frequenties[],3,FALSE)*VLOOKUP($A55,Locaties[],3,FALSE),0)</f>
        <v>0</v>
      </c>
      <c r="V55" s="322">
        <f>Ruimtestaat[[#This Row],[Uitvoeringen werkdagen]]*Ruimtestaat[[#This Row],[Oppervlak (netto)]]</f>
        <v>1040</v>
      </c>
      <c r="W55" s="323">
        <f>IF(U55&gt;0,Ruimtestaat[[#This Row],[Prest. (m2 /jaar) werkdagen]]/Ruimtestaat[[#This Row],[Norm (m2/uur) werkdagen]],0)</f>
        <v>0</v>
      </c>
      <c r="X55" s="324">
        <f>Ruimtestaat[[#This Row],[uren / jaar werkdagen]]*Tariefsopbouw!$E$35</f>
        <v>0</v>
      </c>
      <c r="Y55" s="321"/>
      <c r="Z55" s="325">
        <f>IF(Ruimtestaat[[#This Row],[Frequentie weekend]]&gt;0,VALUE(LEFT(Y55,1))*R55,0)</f>
        <v>0</v>
      </c>
      <c r="AA55" s="321">
        <f>IF($Z55&gt;0,VLOOKUP($J55,Ruimtegroepen[],3,FALSE)*VLOOKUP($L55,Vloersoorten[],3,FALSE)*VLOOKUP($Y55,Frequenties[],3,FALSE)*VLOOKUP($A51,Locaties[],3,FALSE),0)</f>
        <v>0</v>
      </c>
      <c r="AB55" s="323">
        <f>Ruimtestaat[[#This Row],[Uitvoeringen weekend]]*Ruimtestaat[[#This Row],[Oppervlak (netto)]]</f>
        <v>0</v>
      </c>
      <c r="AC55" s="326">
        <f>IF(AB55&gt;0,Ruimtestaat[[#This Row],[Prest. (m2 /jaar) weekend]]/Ruimtestaat[[#This Row],[Norm (m2/uur) weekend]],0)</f>
        <v>0</v>
      </c>
      <c r="AD55" s="327">
        <f>Ruimtestaat[[#This Row],[uren / jaar weekend]]*Tariefsopbouw!$D$40</f>
        <v>0</v>
      </c>
      <c r="AE55" s="328">
        <f>Ruimtestaat[[#This Row],[Prest. (m2 /jaar) weekend]]+Ruimtestaat[[#This Row],[Prest. (m2 /jaar) werkdagen]]</f>
        <v>1040</v>
      </c>
      <c r="AF55" s="328">
        <f>Ruimtestaat[[#This Row],[uren / jaar weekend]]+Ruimtestaat[[#This Row],[uren / jaar werkdagen]]</f>
        <v>0</v>
      </c>
      <c r="AG55" s="329">
        <f>Ruimtestaat[[#This Row],[kosten / jaar weekend]]+Ruimtestaat[[#This Row],[kosten / jaar werkdagen]]</f>
        <v>0</v>
      </c>
      <c r="AH55" s="330"/>
      <c r="HL55" s="297"/>
    </row>
    <row r="56" spans="1:220" ht="15" customHeight="1">
      <c r="A56" s="271">
        <v>1</v>
      </c>
      <c r="B56" s="271" t="str">
        <f>VLOOKUP(Ruimtestaat[[#This Row],[Code]],Locaties[#All],2,FALSE)</f>
        <v>Hoofdgebouw</v>
      </c>
      <c r="C56" s="271" t="str">
        <f>VLOOKUP(Ruimtestaat[[#This Row],[Code]],Locaties[#All],4,FALSE)</f>
        <v>Sterrenlaan 16</v>
      </c>
      <c r="D56" s="271" t="str">
        <f>VLOOKUP(Ruimtestaat[[#This Row],[Code]],Locaties[#All],5,FALSE)</f>
        <v>5631 KA</v>
      </c>
      <c r="E56" s="271" t="str">
        <f>VLOOKUP(Ruimtestaat[[#This Row],[Code]],Locaties[#All],6,FALSE)</f>
        <v>Eindhoven</v>
      </c>
      <c r="F56" s="318"/>
      <c r="G56" s="271" t="s">
        <v>546</v>
      </c>
      <c r="H56" s="271" t="s">
        <v>559</v>
      </c>
      <c r="I56" s="228" t="s">
        <v>368</v>
      </c>
      <c r="J56" s="271">
        <v>6</v>
      </c>
      <c r="K56" s="318" t="str">
        <f>VLOOKUP(J56,Ruimtegroepen[],2,FALSE)</f>
        <v>Gangen/hallen</v>
      </c>
      <c r="L56" s="271" t="s">
        <v>113</v>
      </c>
      <c r="M56" s="271" t="s">
        <v>373</v>
      </c>
      <c r="N56" s="319">
        <v>37</v>
      </c>
      <c r="O56" s="319"/>
      <c r="P56" s="320" t="str">
        <f>LEFT(VLOOKUP(Ruimtestaat[[#This Row],[Ruimte code]],Ruimtegroepen[#All],4,1),2)</f>
        <v xml:space="preserve">V </v>
      </c>
      <c r="Q56" s="319"/>
      <c r="R56" s="271">
        <v>40</v>
      </c>
      <c r="S56" s="271" t="s">
        <v>2</v>
      </c>
      <c r="T56" s="321">
        <f>IF(R56&gt;0,IF(RIGHT(Ruimtestaat[[#This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" s="321">
        <f>IF(T56&gt;0,VLOOKUP($J56,Ruimtegroepen[],3,FALSE)*VLOOKUP($L56,Vloersoorten[],3,FALSE)*VLOOKUP($S56,Frequenties[],3,FALSE)*VLOOKUP($A56,Locaties[],3,FALSE),0)</f>
        <v>0</v>
      </c>
      <c r="V56" s="322">
        <f>Ruimtestaat[[#This Row],[Uitvoeringen werkdagen]]*Ruimtestaat[[#This Row],[Oppervlak (netto)]]</f>
        <v>7400</v>
      </c>
      <c r="W56" s="323">
        <f>IF(U56&gt;0,Ruimtestaat[[#This Row],[Prest. (m2 /jaar) werkdagen]]/Ruimtestaat[[#This Row],[Norm (m2/uur) werkdagen]],0)</f>
        <v>0</v>
      </c>
      <c r="X56" s="324">
        <f>Ruimtestaat[[#This Row],[uren / jaar werkdagen]]*Tariefsopbouw!$E$35</f>
        <v>0</v>
      </c>
      <c r="Y56" s="321"/>
      <c r="Z56" s="325">
        <f>IF(Ruimtestaat[[#This Row],[Frequentie weekend]]&gt;0,VALUE(LEFT(Y56,1))*R56,0)</f>
        <v>0</v>
      </c>
      <c r="AA56" s="321">
        <f>IF($Z56&gt;0,VLOOKUP($J56,Ruimtegroepen[],3,FALSE)*VLOOKUP($L56,Vloersoorten[],3,FALSE)*VLOOKUP($Y56,Frequenties[],3,FALSE)*VLOOKUP($A52,Locaties[],3,FALSE),0)</f>
        <v>0</v>
      </c>
      <c r="AB56" s="323">
        <f>Ruimtestaat[[#This Row],[Uitvoeringen weekend]]*Ruimtestaat[[#This Row],[Oppervlak (netto)]]</f>
        <v>0</v>
      </c>
      <c r="AC56" s="326">
        <f>IF(AB56&gt;0,Ruimtestaat[[#This Row],[Prest. (m2 /jaar) weekend]]/Ruimtestaat[[#This Row],[Norm (m2/uur) weekend]],0)</f>
        <v>0</v>
      </c>
      <c r="AD56" s="327">
        <f>Ruimtestaat[[#This Row],[uren / jaar weekend]]*Tariefsopbouw!$D$40</f>
        <v>0</v>
      </c>
      <c r="AE56" s="328">
        <f>Ruimtestaat[[#This Row],[Prest. (m2 /jaar) weekend]]+Ruimtestaat[[#This Row],[Prest. (m2 /jaar) werkdagen]]</f>
        <v>7400</v>
      </c>
      <c r="AF56" s="328">
        <f>Ruimtestaat[[#This Row],[uren / jaar weekend]]+Ruimtestaat[[#This Row],[uren / jaar werkdagen]]</f>
        <v>0</v>
      </c>
      <c r="AG56" s="329">
        <f>Ruimtestaat[[#This Row],[kosten / jaar weekend]]+Ruimtestaat[[#This Row],[kosten / jaar werkdagen]]</f>
        <v>0</v>
      </c>
      <c r="AH56" s="330"/>
      <c r="HL56" s="297"/>
    </row>
    <row r="57" spans="1:220" ht="15" customHeight="1">
      <c r="A57" s="271">
        <v>1</v>
      </c>
      <c r="B57" s="271" t="str">
        <f>VLOOKUP(Ruimtestaat[[#This Row],[Code]],Locaties[#All],2,FALSE)</f>
        <v>Hoofdgebouw</v>
      </c>
      <c r="C57" s="271" t="str">
        <f>VLOOKUP(Ruimtestaat[[#This Row],[Code]],Locaties[#All],4,FALSE)</f>
        <v>Sterrenlaan 16</v>
      </c>
      <c r="D57" s="271" t="str">
        <f>VLOOKUP(Ruimtestaat[[#This Row],[Code]],Locaties[#All],5,FALSE)</f>
        <v>5631 KA</v>
      </c>
      <c r="E57" s="271" t="str">
        <f>VLOOKUP(Ruimtestaat[[#This Row],[Code]],Locaties[#All],6,FALSE)</f>
        <v>Eindhoven</v>
      </c>
      <c r="F57" s="318"/>
      <c r="G57" s="271" t="s">
        <v>546</v>
      </c>
      <c r="H57" s="271" t="s">
        <v>560</v>
      </c>
      <c r="I57" s="228" t="s">
        <v>561</v>
      </c>
      <c r="J57" s="271">
        <v>13</v>
      </c>
      <c r="K57" s="318" t="str">
        <f>VLOOKUP(J57,Ruimtegroepen[],2,FALSE)</f>
        <v>HV/Technieklokaal</v>
      </c>
      <c r="L57" s="271" t="s">
        <v>113</v>
      </c>
      <c r="M57" s="271" t="s">
        <v>373</v>
      </c>
      <c r="N57" s="319">
        <v>13</v>
      </c>
      <c r="O57" s="319"/>
      <c r="P57" s="320" t="str">
        <f>LEFT(VLOOKUP(Ruimtestaat[[#This Row],[Ruimte code]],Ruimtegroepen[#All],4,1),2)</f>
        <v xml:space="preserve">L </v>
      </c>
      <c r="Q57" s="319"/>
      <c r="R57" s="271">
        <v>40</v>
      </c>
      <c r="S57" s="271" t="s">
        <v>2</v>
      </c>
      <c r="T57" s="321">
        <f>IF(R57&gt;0,IF(RIGHT(Ruimtestaat[[#This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" s="321">
        <f>IF(T57&gt;0,VLOOKUP($J57,Ruimtegroepen[],3,FALSE)*VLOOKUP($L57,Vloersoorten[],3,FALSE)*VLOOKUP($S57,Frequenties[],3,FALSE)*VLOOKUP($A57,Locaties[],3,FALSE),0)</f>
        <v>0</v>
      </c>
      <c r="V57" s="322">
        <f>Ruimtestaat[[#This Row],[Uitvoeringen werkdagen]]*Ruimtestaat[[#This Row],[Oppervlak (netto)]]</f>
        <v>2600</v>
      </c>
      <c r="W57" s="323">
        <f>IF(U57&gt;0,Ruimtestaat[[#This Row],[Prest. (m2 /jaar) werkdagen]]/Ruimtestaat[[#This Row],[Norm (m2/uur) werkdagen]],0)</f>
        <v>0</v>
      </c>
      <c r="X57" s="324">
        <f>Ruimtestaat[[#This Row],[uren / jaar werkdagen]]*Tariefsopbouw!$E$35</f>
        <v>0</v>
      </c>
      <c r="Y57" s="321"/>
      <c r="Z57" s="325">
        <f>IF(Ruimtestaat[[#This Row],[Frequentie weekend]]&gt;0,VALUE(LEFT(Y57,1))*R57,0)</f>
        <v>0</v>
      </c>
      <c r="AA57" s="321">
        <f>IF($Z57&gt;0,VLOOKUP($J57,Ruimtegroepen[],3,FALSE)*VLOOKUP($L57,Vloersoorten[],3,FALSE)*VLOOKUP($Y57,Frequenties[],3,FALSE)*VLOOKUP($A49,Locaties[],3,FALSE),0)</f>
        <v>0</v>
      </c>
      <c r="AB57" s="323">
        <f>Ruimtestaat[[#This Row],[Uitvoeringen weekend]]*Ruimtestaat[[#This Row],[Oppervlak (netto)]]</f>
        <v>0</v>
      </c>
      <c r="AC57" s="326">
        <f>IF(AB57&gt;0,Ruimtestaat[[#This Row],[Prest. (m2 /jaar) weekend]]/Ruimtestaat[[#This Row],[Norm (m2/uur) weekend]],0)</f>
        <v>0</v>
      </c>
      <c r="AD57" s="327">
        <f>Ruimtestaat[[#This Row],[uren / jaar weekend]]*Tariefsopbouw!$D$40</f>
        <v>0</v>
      </c>
      <c r="AE57" s="328">
        <f>Ruimtestaat[[#This Row],[Prest. (m2 /jaar) weekend]]+Ruimtestaat[[#This Row],[Prest. (m2 /jaar) werkdagen]]</f>
        <v>2600</v>
      </c>
      <c r="AF57" s="328">
        <f>Ruimtestaat[[#This Row],[uren / jaar weekend]]+Ruimtestaat[[#This Row],[uren / jaar werkdagen]]</f>
        <v>0</v>
      </c>
      <c r="AG57" s="329">
        <f>Ruimtestaat[[#This Row],[kosten / jaar weekend]]+Ruimtestaat[[#This Row],[kosten / jaar werkdagen]]</f>
        <v>0</v>
      </c>
      <c r="AH57" s="330"/>
      <c r="HL57" s="297"/>
    </row>
    <row r="58" spans="1:220" ht="15" customHeight="1">
      <c r="A58" s="271">
        <v>1</v>
      </c>
      <c r="B58" s="271" t="str">
        <f>VLOOKUP(Ruimtestaat[[#This Row],[Code]],Locaties[#All],2,FALSE)</f>
        <v>Hoofdgebouw</v>
      </c>
      <c r="C58" s="271" t="str">
        <f>VLOOKUP(Ruimtestaat[[#This Row],[Code]],Locaties[#All],4,FALSE)</f>
        <v>Sterrenlaan 16</v>
      </c>
      <c r="D58" s="271" t="str">
        <f>VLOOKUP(Ruimtestaat[[#This Row],[Code]],Locaties[#All],5,FALSE)</f>
        <v>5631 KA</v>
      </c>
      <c r="E58" s="271" t="str">
        <f>VLOOKUP(Ruimtestaat[[#This Row],[Code]],Locaties[#All],6,FALSE)</f>
        <v>Eindhoven</v>
      </c>
      <c r="F58" s="318"/>
      <c r="G58" s="271" t="s">
        <v>546</v>
      </c>
      <c r="H58" s="271" t="s">
        <v>562</v>
      </c>
      <c r="I58" s="228" t="s">
        <v>507</v>
      </c>
      <c r="J58" s="271">
        <v>20</v>
      </c>
      <c r="K58" s="318" t="str">
        <f>VLOOKUP(J58,Ruimtegroepen[],2,FALSE)</f>
        <v>Niet in onderhoud</v>
      </c>
      <c r="L58" s="271" t="s">
        <v>113</v>
      </c>
      <c r="M58" s="271" t="s">
        <v>373</v>
      </c>
      <c r="N58" s="319"/>
      <c r="O58" s="319">
        <v>5</v>
      </c>
      <c r="P58" s="320" t="str">
        <f>LEFT(VLOOKUP(Ruimtestaat[[#This Row],[Ruimte code]],Ruimtegroepen[#All],4,1),2)</f>
        <v/>
      </c>
      <c r="Q58" s="319"/>
      <c r="R58" s="271"/>
      <c r="S58" s="271"/>
      <c r="T58" s="321">
        <f>IF(R58&gt;0,IF(RIGHT(Ruimtestaat[[#This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8" s="321">
        <f>IF(T58&gt;0,VLOOKUP($J58,Ruimtegroepen[],3,FALSE)*VLOOKUP($L58,Vloersoorten[],3,FALSE)*VLOOKUP($S58,Frequenties[],3,FALSE)*VLOOKUP($A58,Locaties[],3,FALSE),0)</f>
        <v>0</v>
      </c>
      <c r="V58" s="322">
        <f>Ruimtestaat[[#This Row],[Uitvoeringen werkdagen]]*Ruimtestaat[[#This Row],[Oppervlak (netto)]]</f>
        <v>0</v>
      </c>
      <c r="W58" s="323">
        <f>IF(U58&gt;0,Ruimtestaat[[#This Row],[Prest. (m2 /jaar) werkdagen]]/Ruimtestaat[[#This Row],[Norm (m2/uur) werkdagen]],0)</f>
        <v>0</v>
      </c>
      <c r="X58" s="324">
        <f>Ruimtestaat[[#This Row],[uren / jaar werkdagen]]*Tariefsopbouw!$E$35</f>
        <v>0</v>
      </c>
      <c r="Y58" s="321"/>
      <c r="Z58" s="325">
        <f>IF(Ruimtestaat[[#This Row],[Frequentie weekend]]&gt;0,VALUE(LEFT(Y58,1))*R58,0)</f>
        <v>0</v>
      </c>
      <c r="AA58" s="321">
        <f>IF($Z58&gt;0,VLOOKUP($J58,Ruimtegroepen[],3,FALSE)*VLOOKUP($L58,Vloersoorten[],3,FALSE)*VLOOKUP($Y58,Frequenties[],3,FALSE)*VLOOKUP($A50,Locaties[],3,FALSE),0)</f>
        <v>0</v>
      </c>
      <c r="AB58" s="323">
        <f>Ruimtestaat[[#This Row],[Uitvoeringen weekend]]*Ruimtestaat[[#This Row],[Oppervlak (netto)]]</f>
        <v>0</v>
      </c>
      <c r="AC58" s="326">
        <f>IF(AB58&gt;0,Ruimtestaat[[#This Row],[Prest. (m2 /jaar) weekend]]/Ruimtestaat[[#This Row],[Norm (m2/uur) weekend]],0)</f>
        <v>0</v>
      </c>
      <c r="AD58" s="327">
        <f>Ruimtestaat[[#This Row],[uren / jaar weekend]]*Tariefsopbouw!$D$40</f>
        <v>0</v>
      </c>
      <c r="AE58" s="328">
        <f>Ruimtestaat[[#This Row],[Prest. (m2 /jaar) weekend]]+Ruimtestaat[[#This Row],[Prest. (m2 /jaar) werkdagen]]</f>
        <v>0</v>
      </c>
      <c r="AF58" s="328">
        <f>Ruimtestaat[[#This Row],[uren / jaar weekend]]+Ruimtestaat[[#This Row],[uren / jaar werkdagen]]</f>
        <v>0</v>
      </c>
      <c r="AG58" s="329">
        <f>Ruimtestaat[[#This Row],[kosten / jaar weekend]]+Ruimtestaat[[#This Row],[kosten / jaar werkdagen]]</f>
        <v>0</v>
      </c>
      <c r="AH58" s="330"/>
      <c r="HL58" s="297"/>
    </row>
    <row r="59" spans="1:220" ht="15" customHeight="1">
      <c r="A59" s="271">
        <v>1</v>
      </c>
      <c r="B59" s="271" t="str">
        <f>VLOOKUP(Ruimtestaat[[#This Row],[Code]],Locaties[#All],2,FALSE)</f>
        <v>Hoofdgebouw</v>
      </c>
      <c r="C59" s="271" t="str">
        <f>VLOOKUP(Ruimtestaat[[#This Row],[Code]],Locaties[#All],4,FALSE)</f>
        <v>Sterrenlaan 16</v>
      </c>
      <c r="D59" s="271" t="str">
        <f>VLOOKUP(Ruimtestaat[[#This Row],[Code]],Locaties[#All],5,FALSE)</f>
        <v>5631 KA</v>
      </c>
      <c r="E59" s="271" t="str">
        <f>VLOOKUP(Ruimtestaat[[#This Row],[Code]],Locaties[#All],6,FALSE)</f>
        <v>Eindhoven</v>
      </c>
      <c r="F59" s="318"/>
      <c r="G59" s="271" t="s">
        <v>546</v>
      </c>
      <c r="H59" s="271" t="s">
        <v>563</v>
      </c>
      <c r="I59" s="228" t="s">
        <v>509</v>
      </c>
      <c r="J59" s="271">
        <v>20</v>
      </c>
      <c r="K59" s="318" t="str">
        <f>VLOOKUP(J59,Ruimtegroepen[],2,FALSE)</f>
        <v>Niet in onderhoud</v>
      </c>
      <c r="L59" s="271" t="s">
        <v>114</v>
      </c>
      <c r="M59" s="271" t="s">
        <v>134</v>
      </c>
      <c r="N59" s="319"/>
      <c r="O59" s="319"/>
      <c r="P59" s="320" t="str">
        <f>LEFT(VLOOKUP(Ruimtestaat[[#This Row],[Ruimte code]],Ruimtegroepen[#All],4,1),2)</f>
        <v/>
      </c>
      <c r="Q59" s="319"/>
      <c r="R59" s="271"/>
      <c r="S59" s="271"/>
      <c r="T59" s="321">
        <f>IF(R59&gt;0,IF(RIGHT(Ruimtestaat[[#This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9" s="321">
        <f>IF(T59&gt;0,VLOOKUP($J59,Ruimtegroepen[],3,FALSE)*VLOOKUP($L59,Vloersoorten[],3,FALSE)*VLOOKUP($S59,Frequenties[],3,FALSE)*VLOOKUP($A59,Locaties[],3,FALSE),0)</f>
        <v>0</v>
      </c>
      <c r="V59" s="322">
        <f>Ruimtestaat[[#This Row],[Uitvoeringen werkdagen]]*Ruimtestaat[[#This Row],[Oppervlak (netto)]]</f>
        <v>0</v>
      </c>
      <c r="W59" s="323">
        <f>IF(U59&gt;0,Ruimtestaat[[#This Row],[Prest. (m2 /jaar) werkdagen]]/Ruimtestaat[[#This Row],[Norm (m2/uur) werkdagen]],0)</f>
        <v>0</v>
      </c>
      <c r="X59" s="324">
        <f>Ruimtestaat[[#This Row],[uren / jaar werkdagen]]*Tariefsopbouw!$E$35</f>
        <v>0</v>
      </c>
      <c r="Y59" s="321"/>
      <c r="Z59" s="325">
        <f>IF(Ruimtestaat[[#This Row],[Frequentie weekend]]&gt;0,VALUE(LEFT(Y59,1))*R59,0)</f>
        <v>0</v>
      </c>
      <c r="AA59" s="321">
        <f>IF($Z59&gt;0,VLOOKUP($J59,Ruimtegroepen[],3,FALSE)*VLOOKUP($L59,Vloersoorten[],3,FALSE)*VLOOKUP($Y59,Frequenties[],3,FALSE)*VLOOKUP($A51,Locaties[],3,FALSE),0)</f>
        <v>0</v>
      </c>
      <c r="AB59" s="323">
        <f>Ruimtestaat[[#This Row],[Uitvoeringen weekend]]*Ruimtestaat[[#This Row],[Oppervlak (netto)]]</f>
        <v>0</v>
      </c>
      <c r="AC59" s="326">
        <f>IF(AB59&gt;0,Ruimtestaat[[#This Row],[Prest. (m2 /jaar) weekend]]/Ruimtestaat[[#This Row],[Norm (m2/uur) weekend]],0)</f>
        <v>0</v>
      </c>
      <c r="AD59" s="327">
        <f>Ruimtestaat[[#This Row],[uren / jaar weekend]]*Tariefsopbouw!$D$40</f>
        <v>0</v>
      </c>
      <c r="AE59" s="328">
        <f>Ruimtestaat[[#This Row],[Prest. (m2 /jaar) weekend]]+Ruimtestaat[[#This Row],[Prest. (m2 /jaar) werkdagen]]</f>
        <v>0</v>
      </c>
      <c r="AF59" s="328">
        <f>Ruimtestaat[[#This Row],[uren / jaar weekend]]+Ruimtestaat[[#This Row],[uren / jaar werkdagen]]</f>
        <v>0</v>
      </c>
      <c r="AG59" s="329">
        <f>Ruimtestaat[[#This Row],[kosten / jaar weekend]]+Ruimtestaat[[#This Row],[kosten / jaar werkdagen]]</f>
        <v>0</v>
      </c>
      <c r="AH59" s="330"/>
      <c r="HL59" s="297"/>
    </row>
    <row r="60" spans="1:220" ht="15" customHeight="1">
      <c r="A60" s="271">
        <v>1</v>
      </c>
      <c r="B60" s="271" t="str">
        <f>VLOOKUP(Ruimtestaat[[#This Row],[Code]],Locaties[#All],2,FALSE)</f>
        <v>Hoofdgebouw</v>
      </c>
      <c r="C60" s="271" t="str">
        <f>VLOOKUP(Ruimtestaat[[#This Row],[Code]],Locaties[#All],4,FALSE)</f>
        <v>Sterrenlaan 16</v>
      </c>
      <c r="D60" s="271" t="str">
        <f>VLOOKUP(Ruimtestaat[[#This Row],[Code]],Locaties[#All],5,FALSE)</f>
        <v>5631 KA</v>
      </c>
      <c r="E60" s="271" t="str">
        <f>VLOOKUP(Ruimtestaat[[#This Row],[Code]],Locaties[#All],6,FALSE)</f>
        <v>Eindhoven</v>
      </c>
      <c r="F60" s="318"/>
      <c r="G60" s="271" t="s">
        <v>546</v>
      </c>
      <c r="H60" s="271" t="s">
        <v>564</v>
      </c>
      <c r="I60" s="228" t="s">
        <v>565</v>
      </c>
      <c r="J60" s="271">
        <v>13</v>
      </c>
      <c r="K60" s="318" t="str">
        <f>VLOOKUP(J60,Ruimtegroepen[],2,FALSE)</f>
        <v>HV/Technieklokaal</v>
      </c>
      <c r="L60" s="271" t="s">
        <v>113</v>
      </c>
      <c r="M60" s="271" t="s">
        <v>373</v>
      </c>
      <c r="N60" s="319">
        <v>83</v>
      </c>
      <c r="O60" s="319"/>
      <c r="P60" s="320" t="str">
        <f>LEFT(VLOOKUP(Ruimtestaat[[#This Row],[Ruimte code]],Ruimtegroepen[#All],4,1),2)</f>
        <v xml:space="preserve">L </v>
      </c>
      <c r="Q60" s="319"/>
      <c r="R60" s="271">
        <v>40</v>
      </c>
      <c r="S60" s="271" t="s">
        <v>2</v>
      </c>
      <c r="T60" s="321">
        <f>IF(R60&gt;0,IF(RIGHT(Ruimtestaat[[#This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" s="321">
        <f>IF(T60&gt;0,VLOOKUP($J60,Ruimtegroepen[],3,FALSE)*VLOOKUP($L60,Vloersoorten[],3,FALSE)*VLOOKUP($S60,Frequenties[],3,FALSE)*VLOOKUP($A60,Locaties[],3,FALSE),0)</f>
        <v>0</v>
      </c>
      <c r="V60" s="322">
        <f>Ruimtestaat[[#This Row],[Uitvoeringen werkdagen]]*Ruimtestaat[[#This Row],[Oppervlak (netto)]]</f>
        <v>16600</v>
      </c>
      <c r="W60" s="323">
        <f>IF(U60&gt;0,Ruimtestaat[[#This Row],[Prest. (m2 /jaar) werkdagen]]/Ruimtestaat[[#This Row],[Norm (m2/uur) werkdagen]],0)</f>
        <v>0</v>
      </c>
      <c r="X60" s="324">
        <f>Ruimtestaat[[#This Row],[uren / jaar werkdagen]]*Tariefsopbouw!$E$35</f>
        <v>0</v>
      </c>
      <c r="Y60" s="321"/>
      <c r="Z60" s="325">
        <f>IF(Ruimtestaat[[#This Row],[Frequentie weekend]]&gt;0,VALUE(LEFT(Y60,1))*R60,0)</f>
        <v>0</v>
      </c>
      <c r="AA60" s="321">
        <f>IF($Z60&gt;0,VLOOKUP($J60,Ruimtegroepen[],3,FALSE)*VLOOKUP($L60,Vloersoorten[],3,FALSE)*VLOOKUP($Y60,Frequenties[],3,FALSE)*VLOOKUP($A52,Locaties[],3,FALSE),0)</f>
        <v>0</v>
      </c>
      <c r="AB60" s="323">
        <f>Ruimtestaat[[#This Row],[Uitvoeringen weekend]]*Ruimtestaat[[#This Row],[Oppervlak (netto)]]</f>
        <v>0</v>
      </c>
      <c r="AC60" s="326">
        <f>IF(AB60&gt;0,Ruimtestaat[[#This Row],[Prest. (m2 /jaar) weekend]]/Ruimtestaat[[#This Row],[Norm (m2/uur) weekend]],0)</f>
        <v>0</v>
      </c>
      <c r="AD60" s="327">
        <f>Ruimtestaat[[#This Row],[uren / jaar weekend]]*Tariefsopbouw!$D$40</f>
        <v>0</v>
      </c>
      <c r="AE60" s="328">
        <f>Ruimtestaat[[#This Row],[Prest. (m2 /jaar) weekend]]+Ruimtestaat[[#This Row],[Prest. (m2 /jaar) werkdagen]]</f>
        <v>16600</v>
      </c>
      <c r="AF60" s="328">
        <f>Ruimtestaat[[#This Row],[uren / jaar weekend]]+Ruimtestaat[[#This Row],[uren / jaar werkdagen]]</f>
        <v>0</v>
      </c>
      <c r="AG60" s="329">
        <f>Ruimtestaat[[#This Row],[kosten / jaar weekend]]+Ruimtestaat[[#This Row],[kosten / jaar werkdagen]]</f>
        <v>0</v>
      </c>
      <c r="AH60" s="330"/>
      <c r="HL60" s="297"/>
    </row>
    <row r="61" spans="1:220" ht="15" customHeight="1">
      <c r="A61" s="271">
        <v>1</v>
      </c>
      <c r="B61" s="271" t="str">
        <f>VLOOKUP(Ruimtestaat[[#This Row],[Code]],Locaties[#All],2,FALSE)</f>
        <v>Hoofdgebouw</v>
      </c>
      <c r="C61" s="271" t="str">
        <f>VLOOKUP(Ruimtestaat[[#This Row],[Code]],Locaties[#All],4,FALSE)</f>
        <v>Sterrenlaan 16</v>
      </c>
      <c r="D61" s="271" t="str">
        <f>VLOOKUP(Ruimtestaat[[#This Row],[Code]],Locaties[#All],5,FALSE)</f>
        <v>5631 KA</v>
      </c>
      <c r="E61" s="271" t="str">
        <f>VLOOKUP(Ruimtestaat[[#This Row],[Code]],Locaties[#All],6,FALSE)</f>
        <v>Eindhoven</v>
      </c>
      <c r="F61" s="318"/>
      <c r="G61" s="271" t="s">
        <v>546</v>
      </c>
      <c r="H61" s="271" t="s">
        <v>566</v>
      </c>
      <c r="I61" s="228" t="s">
        <v>567</v>
      </c>
      <c r="J61" s="271">
        <v>20</v>
      </c>
      <c r="K61" s="318" t="str">
        <f>VLOOKUP(J61,Ruimtegroepen[],2,FALSE)</f>
        <v>Niet in onderhoud</v>
      </c>
      <c r="L61" s="271" t="s">
        <v>113</v>
      </c>
      <c r="M61" s="271" t="s">
        <v>373</v>
      </c>
      <c r="N61" s="319">
        <v>34</v>
      </c>
      <c r="O61" s="319"/>
      <c r="P61" s="320" t="str">
        <f>LEFT(VLOOKUP(Ruimtestaat[[#This Row],[Ruimte code]],Ruimtegroepen[#All],4,1),2)</f>
        <v/>
      </c>
      <c r="Q61" s="319"/>
      <c r="R61" s="271">
        <v>40</v>
      </c>
      <c r="S61" s="271" t="s">
        <v>15</v>
      </c>
      <c r="T61" s="321">
        <f>IF(R61&gt;0,IF(RIGHT(Ruimtestaat[[#This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61" s="321">
        <f>IF(T61&gt;0,VLOOKUP($J61,Ruimtegroepen[],3,FALSE)*VLOOKUP($L61,Vloersoorten[],3,FALSE)*VLOOKUP($S61,Frequenties[],3,FALSE)*VLOOKUP($A61,Locaties[],3,FALSE),0)</f>
        <v>0</v>
      </c>
      <c r="V61" s="322">
        <f>Ruimtestaat[[#This Row],[Uitvoeringen werkdagen]]*Ruimtestaat[[#This Row],[Oppervlak (netto)]]</f>
        <v>1360</v>
      </c>
      <c r="W61" s="323">
        <f>IF(U61&gt;0,Ruimtestaat[[#This Row],[Prest. (m2 /jaar) werkdagen]]/Ruimtestaat[[#This Row],[Norm (m2/uur) werkdagen]],0)</f>
        <v>0</v>
      </c>
      <c r="X61" s="324">
        <f>Ruimtestaat[[#This Row],[uren / jaar werkdagen]]*Tariefsopbouw!$E$35</f>
        <v>0</v>
      </c>
      <c r="Y61" s="321"/>
      <c r="Z61" s="325">
        <f>IF(Ruimtestaat[[#This Row],[Frequentie weekend]]&gt;0,VALUE(LEFT(Y61,1))*R61,0)</f>
        <v>0</v>
      </c>
      <c r="AA61" s="321">
        <f>IF($Z61&gt;0,VLOOKUP($J61,Ruimtegroepen[],3,FALSE)*VLOOKUP($L61,Vloersoorten[],3,FALSE)*VLOOKUP($Y61,Frequenties[],3,FALSE)*VLOOKUP($A53,Locaties[],3,FALSE),0)</f>
        <v>0</v>
      </c>
      <c r="AB61" s="323">
        <f>Ruimtestaat[[#This Row],[Uitvoeringen weekend]]*Ruimtestaat[[#This Row],[Oppervlak (netto)]]</f>
        <v>0</v>
      </c>
      <c r="AC61" s="326">
        <f>IF(AB61&gt;0,Ruimtestaat[[#This Row],[Prest. (m2 /jaar) weekend]]/Ruimtestaat[[#This Row],[Norm (m2/uur) weekend]],0)</f>
        <v>0</v>
      </c>
      <c r="AD61" s="327">
        <f>Ruimtestaat[[#This Row],[uren / jaar weekend]]*Tariefsopbouw!$D$40</f>
        <v>0</v>
      </c>
      <c r="AE61" s="328">
        <f>Ruimtestaat[[#This Row],[Prest. (m2 /jaar) weekend]]+Ruimtestaat[[#This Row],[Prest. (m2 /jaar) werkdagen]]</f>
        <v>1360</v>
      </c>
      <c r="AF61" s="328">
        <f>Ruimtestaat[[#This Row],[uren / jaar weekend]]+Ruimtestaat[[#This Row],[uren / jaar werkdagen]]</f>
        <v>0</v>
      </c>
      <c r="AG61" s="329">
        <f>Ruimtestaat[[#This Row],[kosten / jaar weekend]]+Ruimtestaat[[#This Row],[kosten / jaar werkdagen]]</f>
        <v>0</v>
      </c>
      <c r="AH61" s="330"/>
      <c r="HL61" s="297"/>
    </row>
    <row r="62" spans="1:220" ht="15" customHeight="1">
      <c r="A62" s="271">
        <v>1</v>
      </c>
      <c r="B62" s="271" t="str">
        <f>VLOOKUP(Ruimtestaat[[#This Row],[Code]],Locaties[#All],2,FALSE)</f>
        <v>Hoofdgebouw</v>
      </c>
      <c r="C62" s="271" t="str">
        <f>VLOOKUP(Ruimtestaat[[#This Row],[Code]],Locaties[#All],4,FALSE)</f>
        <v>Sterrenlaan 16</v>
      </c>
      <c r="D62" s="271" t="str">
        <f>VLOOKUP(Ruimtestaat[[#This Row],[Code]],Locaties[#All],5,FALSE)</f>
        <v>5631 KA</v>
      </c>
      <c r="E62" s="271" t="str">
        <f>VLOOKUP(Ruimtestaat[[#This Row],[Code]],Locaties[#All],6,FALSE)</f>
        <v>Eindhoven</v>
      </c>
      <c r="F62" s="318"/>
      <c r="G62" s="271" t="s">
        <v>546</v>
      </c>
      <c r="H62" s="271" t="s">
        <v>568</v>
      </c>
      <c r="I62" s="228" t="s">
        <v>569</v>
      </c>
      <c r="J62" s="271">
        <v>13</v>
      </c>
      <c r="K62" s="318" t="str">
        <f>VLOOKUP(J62,Ruimtegroepen[],2,FALSE)</f>
        <v>HV/Technieklokaal</v>
      </c>
      <c r="L62" s="271" t="s">
        <v>113</v>
      </c>
      <c r="M62" s="271" t="s">
        <v>373</v>
      </c>
      <c r="N62" s="319">
        <v>68</v>
      </c>
      <c r="O62" s="319"/>
      <c r="P62" s="320" t="str">
        <f>LEFT(VLOOKUP(Ruimtestaat[[#This Row],[Ruimte code]],Ruimtegroepen[#All],4,1),2)</f>
        <v xml:space="preserve">L </v>
      </c>
      <c r="Q62" s="319"/>
      <c r="R62" s="271">
        <v>40</v>
      </c>
      <c r="S62" s="271" t="s">
        <v>2</v>
      </c>
      <c r="T62" s="321">
        <f>IF(R62&gt;0,IF(RIGHT(Ruimtestaat[[#This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" s="321">
        <f>IF(T62&gt;0,VLOOKUP($J62,Ruimtegroepen[],3,FALSE)*VLOOKUP($L62,Vloersoorten[],3,FALSE)*VLOOKUP($S62,Frequenties[],3,FALSE)*VLOOKUP($A62,Locaties[],3,FALSE),0)</f>
        <v>0</v>
      </c>
      <c r="V62" s="322">
        <f>Ruimtestaat[[#This Row],[Uitvoeringen werkdagen]]*Ruimtestaat[[#This Row],[Oppervlak (netto)]]</f>
        <v>13600</v>
      </c>
      <c r="W62" s="323">
        <f>IF(U62&gt;0,Ruimtestaat[[#This Row],[Prest. (m2 /jaar) werkdagen]]/Ruimtestaat[[#This Row],[Norm (m2/uur) werkdagen]],0)</f>
        <v>0</v>
      </c>
      <c r="X62" s="324">
        <f>Ruimtestaat[[#This Row],[uren / jaar werkdagen]]*Tariefsopbouw!$E$35</f>
        <v>0</v>
      </c>
      <c r="Y62" s="321"/>
      <c r="Z62" s="325">
        <f>IF(Ruimtestaat[[#This Row],[Frequentie weekend]]&gt;0,VALUE(LEFT(Y62,1))*R62,0)</f>
        <v>0</v>
      </c>
      <c r="AA62" s="321">
        <f>IF($Z62&gt;0,VLOOKUP($J62,Ruimtegroepen[],3,FALSE)*VLOOKUP($L62,Vloersoorten[],3,FALSE)*VLOOKUP($Y62,Frequenties[],3,FALSE)*VLOOKUP($A53,Locaties[],3,FALSE),0)</f>
        <v>0</v>
      </c>
      <c r="AB62" s="323">
        <f>Ruimtestaat[[#This Row],[Uitvoeringen weekend]]*Ruimtestaat[[#This Row],[Oppervlak (netto)]]</f>
        <v>0</v>
      </c>
      <c r="AC62" s="326">
        <f>IF(AB62&gt;0,Ruimtestaat[[#This Row],[Prest. (m2 /jaar) weekend]]/Ruimtestaat[[#This Row],[Norm (m2/uur) weekend]],0)</f>
        <v>0</v>
      </c>
      <c r="AD62" s="327">
        <f>Ruimtestaat[[#This Row],[uren / jaar weekend]]*Tariefsopbouw!$D$40</f>
        <v>0</v>
      </c>
      <c r="AE62" s="328">
        <f>Ruimtestaat[[#This Row],[Prest. (m2 /jaar) weekend]]+Ruimtestaat[[#This Row],[Prest. (m2 /jaar) werkdagen]]</f>
        <v>13600</v>
      </c>
      <c r="AF62" s="328">
        <f>Ruimtestaat[[#This Row],[uren / jaar weekend]]+Ruimtestaat[[#This Row],[uren / jaar werkdagen]]</f>
        <v>0</v>
      </c>
      <c r="AG62" s="329">
        <f>Ruimtestaat[[#This Row],[kosten / jaar weekend]]+Ruimtestaat[[#This Row],[kosten / jaar werkdagen]]</f>
        <v>0</v>
      </c>
      <c r="AH62" s="330"/>
      <c r="HL62" s="297"/>
    </row>
    <row r="63" spans="1:220" ht="15" customHeight="1">
      <c r="A63" s="271">
        <v>1</v>
      </c>
      <c r="B63" s="271" t="str">
        <f>VLOOKUP(Ruimtestaat[[#This Row],[Code]],Locaties[#All],2,FALSE)</f>
        <v>Hoofdgebouw</v>
      </c>
      <c r="C63" s="271" t="str">
        <f>VLOOKUP(Ruimtestaat[[#This Row],[Code]],Locaties[#All],4,FALSE)</f>
        <v>Sterrenlaan 16</v>
      </c>
      <c r="D63" s="271" t="str">
        <f>VLOOKUP(Ruimtestaat[[#This Row],[Code]],Locaties[#All],5,FALSE)</f>
        <v>5631 KA</v>
      </c>
      <c r="E63" s="271" t="str">
        <f>VLOOKUP(Ruimtestaat[[#This Row],[Code]],Locaties[#All],6,FALSE)</f>
        <v>Eindhoven</v>
      </c>
      <c r="F63" s="318"/>
      <c r="G63" s="271" t="s">
        <v>546</v>
      </c>
      <c r="H63" s="334" t="s">
        <v>570</v>
      </c>
      <c r="I63" s="228" t="s">
        <v>571</v>
      </c>
      <c r="J63" s="271">
        <v>20</v>
      </c>
      <c r="K63" s="318" t="str">
        <f>VLOOKUP(J63,Ruimtegroepen[],2,FALSE)</f>
        <v>Niet in onderhoud</v>
      </c>
      <c r="L63" s="271" t="s">
        <v>113</v>
      </c>
      <c r="M63" s="271" t="s">
        <v>373</v>
      </c>
      <c r="N63" s="319"/>
      <c r="O63" s="319">
        <v>13</v>
      </c>
      <c r="P63" s="320" t="str">
        <f>LEFT(VLOOKUP(Ruimtestaat[[#This Row],[Ruimte code]],Ruimtegroepen[#All],4,1),2)</f>
        <v/>
      </c>
      <c r="Q63" s="319"/>
      <c r="R63" s="271"/>
      <c r="S63" s="271"/>
      <c r="T63" s="321">
        <f>IF(R63&gt;0,IF(RIGHT(Ruimtestaat[[#This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3" s="321">
        <f>IF(T63&gt;0,VLOOKUP($J63,Ruimtegroepen[],3,FALSE)*VLOOKUP($L63,Vloersoorten[],3,FALSE)*VLOOKUP($S63,Frequenties[],3,FALSE)*VLOOKUP($A63,Locaties[],3,FALSE),0)</f>
        <v>0</v>
      </c>
      <c r="V63" s="322">
        <f>Ruimtestaat[[#This Row],[Uitvoeringen werkdagen]]*Ruimtestaat[[#This Row],[Oppervlak (netto)]]</f>
        <v>0</v>
      </c>
      <c r="W63" s="323">
        <f>IF(U63&gt;0,Ruimtestaat[[#This Row],[Prest. (m2 /jaar) werkdagen]]/Ruimtestaat[[#This Row],[Norm (m2/uur) werkdagen]],0)</f>
        <v>0</v>
      </c>
      <c r="X63" s="324">
        <f>Ruimtestaat[[#This Row],[uren / jaar werkdagen]]*Tariefsopbouw!$E$35</f>
        <v>0</v>
      </c>
      <c r="Y63" s="321"/>
      <c r="Z63" s="325">
        <f>IF(Ruimtestaat[[#This Row],[Frequentie weekend]]&gt;0,VALUE(LEFT(Y63,1))*R63,0)</f>
        <v>0</v>
      </c>
      <c r="AA63" s="321">
        <f>IF($Z63&gt;0,VLOOKUP($J63,Ruimtegroepen[],3,FALSE)*VLOOKUP($L63,Vloersoorten[],3,FALSE)*VLOOKUP($Y63,Frequenties[],3,FALSE)*VLOOKUP($A54,Locaties[],3,FALSE),0)</f>
        <v>0</v>
      </c>
      <c r="AB63" s="323">
        <f>Ruimtestaat[[#This Row],[Uitvoeringen weekend]]*Ruimtestaat[[#This Row],[Oppervlak (netto)]]</f>
        <v>0</v>
      </c>
      <c r="AC63" s="326">
        <f>IF(AB63&gt;0,Ruimtestaat[[#This Row],[Prest. (m2 /jaar) weekend]]/Ruimtestaat[[#This Row],[Norm (m2/uur) weekend]],0)</f>
        <v>0</v>
      </c>
      <c r="AD63" s="327">
        <f>Ruimtestaat[[#This Row],[uren / jaar weekend]]*Tariefsopbouw!$D$40</f>
        <v>0</v>
      </c>
      <c r="AE63" s="328">
        <f>Ruimtestaat[[#This Row],[Prest. (m2 /jaar) weekend]]+Ruimtestaat[[#This Row],[Prest. (m2 /jaar) werkdagen]]</f>
        <v>0</v>
      </c>
      <c r="AF63" s="328">
        <f>Ruimtestaat[[#This Row],[uren / jaar weekend]]+Ruimtestaat[[#This Row],[uren / jaar werkdagen]]</f>
        <v>0</v>
      </c>
      <c r="AG63" s="329">
        <f>Ruimtestaat[[#This Row],[kosten / jaar weekend]]+Ruimtestaat[[#This Row],[kosten / jaar werkdagen]]</f>
        <v>0</v>
      </c>
      <c r="AH63" s="330"/>
      <c r="HL63" s="297"/>
    </row>
    <row r="64" spans="1:220" ht="15" customHeight="1">
      <c r="A64" s="271">
        <v>1</v>
      </c>
      <c r="B64" s="271" t="str">
        <f>VLOOKUP(Ruimtestaat[[#This Row],[Code]],Locaties[#All],2,FALSE)</f>
        <v>Hoofdgebouw</v>
      </c>
      <c r="C64" s="271" t="str">
        <f>VLOOKUP(Ruimtestaat[[#This Row],[Code]],Locaties[#All],4,FALSE)</f>
        <v>Sterrenlaan 16</v>
      </c>
      <c r="D64" s="271" t="str">
        <f>VLOOKUP(Ruimtestaat[[#This Row],[Code]],Locaties[#All],5,FALSE)</f>
        <v>5631 KA</v>
      </c>
      <c r="E64" s="271" t="str">
        <f>VLOOKUP(Ruimtestaat[[#This Row],[Code]],Locaties[#All],6,FALSE)</f>
        <v>Eindhoven</v>
      </c>
      <c r="F64" s="318"/>
      <c r="G64" s="271" t="s">
        <v>546</v>
      </c>
      <c r="H64" s="334" t="s">
        <v>572</v>
      </c>
      <c r="I64" s="228" t="s">
        <v>573</v>
      </c>
      <c r="J64" s="271">
        <v>13</v>
      </c>
      <c r="K64" s="318" t="str">
        <f>VLOOKUP(J64,Ruimtegroepen[],2,FALSE)</f>
        <v>HV/Technieklokaal</v>
      </c>
      <c r="L64" s="271" t="s">
        <v>113</v>
      </c>
      <c r="M64" s="271" t="s">
        <v>373</v>
      </c>
      <c r="N64" s="319">
        <v>49</v>
      </c>
      <c r="O64" s="319"/>
      <c r="P64" s="320" t="str">
        <f>LEFT(VLOOKUP(Ruimtestaat[[#This Row],[Ruimte code]],Ruimtegroepen[#All],4,1),2)</f>
        <v xml:space="preserve">L </v>
      </c>
      <c r="Q64" s="319"/>
      <c r="R64" s="271">
        <v>40</v>
      </c>
      <c r="S64" s="271" t="s">
        <v>2</v>
      </c>
      <c r="T64" s="321">
        <f>IF(R64&gt;0,IF(RIGHT(Ruimtestaat[[#This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" s="321">
        <f>IF(T64&gt;0,VLOOKUP($J64,Ruimtegroepen[],3,FALSE)*VLOOKUP($L64,Vloersoorten[],3,FALSE)*VLOOKUP($S64,Frequenties[],3,FALSE)*VLOOKUP($A64,Locaties[],3,FALSE),0)</f>
        <v>0</v>
      </c>
      <c r="V64" s="322">
        <f>Ruimtestaat[[#This Row],[Uitvoeringen werkdagen]]*Ruimtestaat[[#This Row],[Oppervlak (netto)]]</f>
        <v>9800</v>
      </c>
      <c r="W64" s="323">
        <f>IF(U64&gt;0,Ruimtestaat[[#This Row],[Prest. (m2 /jaar) werkdagen]]/Ruimtestaat[[#This Row],[Norm (m2/uur) werkdagen]],0)</f>
        <v>0</v>
      </c>
      <c r="X64" s="324">
        <f>Ruimtestaat[[#This Row],[uren / jaar werkdagen]]*Tariefsopbouw!$E$35</f>
        <v>0</v>
      </c>
      <c r="Y64" s="321"/>
      <c r="Z64" s="325">
        <f>IF(Ruimtestaat[[#This Row],[Frequentie weekend]]&gt;0,VALUE(LEFT(Y64,1))*R64,0)</f>
        <v>0</v>
      </c>
      <c r="AA64" s="321">
        <f>IF($Z64&gt;0,VLOOKUP($J64,Ruimtegroepen[],3,FALSE)*VLOOKUP($L64,Vloersoorten[],3,FALSE)*VLOOKUP($Y64,Frequenties[],3,FALSE)*VLOOKUP($A55,Locaties[],3,FALSE),0)</f>
        <v>0</v>
      </c>
      <c r="AB64" s="323">
        <f>Ruimtestaat[[#This Row],[Uitvoeringen weekend]]*Ruimtestaat[[#This Row],[Oppervlak (netto)]]</f>
        <v>0</v>
      </c>
      <c r="AC64" s="326">
        <f>IF(AB64&gt;0,Ruimtestaat[[#This Row],[Prest. (m2 /jaar) weekend]]/Ruimtestaat[[#This Row],[Norm (m2/uur) weekend]],0)</f>
        <v>0</v>
      </c>
      <c r="AD64" s="327">
        <f>Ruimtestaat[[#This Row],[uren / jaar weekend]]*Tariefsopbouw!$D$40</f>
        <v>0</v>
      </c>
      <c r="AE64" s="328">
        <f>Ruimtestaat[[#This Row],[Prest. (m2 /jaar) weekend]]+Ruimtestaat[[#This Row],[Prest. (m2 /jaar) werkdagen]]</f>
        <v>9800</v>
      </c>
      <c r="AF64" s="328">
        <f>Ruimtestaat[[#This Row],[uren / jaar weekend]]+Ruimtestaat[[#This Row],[uren / jaar werkdagen]]</f>
        <v>0</v>
      </c>
      <c r="AG64" s="329">
        <f>Ruimtestaat[[#This Row],[kosten / jaar weekend]]+Ruimtestaat[[#This Row],[kosten / jaar werkdagen]]</f>
        <v>0</v>
      </c>
      <c r="AH64" s="330"/>
      <c r="HL64" s="297"/>
    </row>
    <row r="65" spans="1:220" ht="15" customHeight="1">
      <c r="A65" s="271">
        <v>1</v>
      </c>
      <c r="B65" s="271" t="str">
        <f>VLOOKUP(Ruimtestaat[[#This Row],[Code]],Locaties[#All],2,FALSE)</f>
        <v>Hoofdgebouw</v>
      </c>
      <c r="C65" s="271" t="str">
        <f>VLOOKUP(Ruimtestaat[[#This Row],[Code]],Locaties[#All],4,FALSE)</f>
        <v>Sterrenlaan 16</v>
      </c>
      <c r="D65" s="271" t="str">
        <f>VLOOKUP(Ruimtestaat[[#This Row],[Code]],Locaties[#All],5,FALSE)</f>
        <v>5631 KA</v>
      </c>
      <c r="E65" s="271" t="str">
        <f>VLOOKUP(Ruimtestaat[[#This Row],[Code]],Locaties[#All],6,FALSE)</f>
        <v>Eindhoven</v>
      </c>
      <c r="F65" s="318"/>
      <c r="G65" s="271" t="s">
        <v>546</v>
      </c>
      <c r="H65" s="334" t="s">
        <v>574</v>
      </c>
      <c r="I65" s="228" t="s">
        <v>575</v>
      </c>
      <c r="J65" s="271">
        <v>20</v>
      </c>
      <c r="K65" s="318" t="str">
        <f>VLOOKUP(J65,Ruimtegroepen[],2,FALSE)</f>
        <v>Niet in onderhoud</v>
      </c>
      <c r="L65" s="271" t="s">
        <v>113</v>
      </c>
      <c r="M65" s="271" t="s">
        <v>373</v>
      </c>
      <c r="N65" s="319"/>
      <c r="O65" s="319">
        <v>10</v>
      </c>
      <c r="P65" s="320" t="str">
        <f>LEFT(VLOOKUP(Ruimtestaat[[#This Row],[Ruimte code]],Ruimtegroepen[#All],4,1),2)</f>
        <v/>
      </c>
      <c r="Q65" s="319"/>
      <c r="R65" s="271"/>
      <c r="S65" s="271"/>
      <c r="T65" s="321">
        <f>IF(R65&gt;0,IF(RIGHT(Ruimtestaat[[#This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5" s="321">
        <f>IF(T65&gt;0,VLOOKUP($J65,Ruimtegroepen[],3,FALSE)*VLOOKUP($L65,Vloersoorten[],3,FALSE)*VLOOKUP($S65,Frequenties[],3,FALSE)*VLOOKUP($A65,Locaties[],3,FALSE),0)</f>
        <v>0</v>
      </c>
      <c r="V65" s="322">
        <f>Ruimtestaat[[#This Row],[Uitvoeringen werkdagen]]*Ruimtestaat[[#This Row],[Oppervlak (netto)]]</f>
        <v>0</v>
      </c>
      <c r="W65" s="323">
        <f>IF(U65&gt;0,Ruimtestaat[[#This Row],[Prest. (m2 /jaar) werkdagen]]/Ruimtestaat[[#This Row],[Norm (m2/uur) werkdagen]],0)</f>
        <v>0</v>
      </c>
      <c r="X65" s="324">
        <f>Ruimtestaat[[#This Row],[uren / jaar werkdagen]]*Tariefsopbouw!$E$35</f>
        <v>0</v>
      </c>
      <c r="Y65" s="321"/>
      <c r="Z65" s="325">
        <f>IF(Ruimtestaat[[#This Row],[Frequentie weekend]]&gt;0,VALUE(LEFT(Y65,1))*R65,0)</f>
        <v>0</v>
      </c>
      <c r="AA65" s="321">
        <f>IF($Z65&gt;0,VLOOKUP($J65,Ruimtegroepen[],3,FALSE)*VLOOKUP($L65,Vloersoorten[],3,FALSE)*VLOOKUP($Y65,Frequenties[],3,FALSE)*VLOOKUP($A56,Locaties[],3,FALSE),0)</f>
        <v>0</v>
      </c>
      <c r="AB65" s="323">
        <f>Ruimtestaat[[#This Row],[Uitvoeringen weekend]]*Ruimtestaat[[#This Row],[Oppervlak (netto)]]</f>
        <v>0</v>
      </c>
      <c r="AC65" s="326">
        <f>IF(AB65&gt;0,Ruimtestaat[[#This Row],[Prest. (m2 /jaar) weekend]]/Ruimtestaat[[#This Row],[Norm (m2/uur) weekend]],0)</f>
        <v>0</v>
      </c>
      <c r="AD65" s="327">
        <f>Ruimtestaat[[#This Row],[uren / jaar weekend]]*Tariefsopbouw!$D$40</f>
        <v>0</v>
      </c>
      <c r="AE65" s="328">
        <f>Ruimtestaat[[#This Row],[Prest. (m2 /jaar) weekend]]+Ruimtestaat[[#This Row],[Prest. (m2 /jaar) werkdagen]]</f>
        <v>0</v>
      </c>
      <c r="AF65" s="328">
        <f>Ruimtestaat[[#This Row],[uren / jaar weekend]]+Ruimtestaat[[#This Row],[uren / jaar werkdagen]]</f>
        <v>0</v>
      </c>
      <c r="AG65" s="329">
        <f>Ruimtestaat[[#This Row],[kosten / jaar weekend]]+Ruimtestaat[[#This Row],[kosten / jaar werkdagen]]</f>
        <v>0</v>
      </c>
      <c r="AH65" s="330"/>
      <c r="HL65" s="297"/>
    </row>
    <row r="66" spans="1:220" ht="15" customHeight="1">
      <c r="A66" s="271">
        <v>1</v>
      </c>
      <c r="B66" s="271" t="str">
        <f>VLOOKUP(Ruimtestaat[[#This Row],[Code]],Locaties[#All],2,FALSE)</f>
        <v>Hoofdgebouw</v>
      </c>
      <c r="C66" s="271" t="str">
        <f>VLOOKUP(Ruimtestaat[[#This Row],[Code]],Locaties[#All],4,FALSE)</f>
        <v>Sterrenlaan 16</v>
      </c>
      <c r="D66" s="271" t="str">
        <f>VLOOKUP(Ruimtestaat[[#This Row],[Code]],Locaties[#All],5,FALSE)</f>
        <v>5631 KA</v>
      </c>
      <c r="E66" s="271" t="str">
        <f>VLOOKUP(Ruimtestaat[[#This Row],[Code]],Locaties[#All],6,FALSE)</f>
        <v>Eindhoven</v>
      </c>
      <c r="F66" s="318"/>
      <c r="G66" s="271" t="s">
        <v>546</v>
      </c>
      <c r="H66" s="334" t="s">
        <v>576</v>
      </c>
      <c r="I66" s="228" t="s">
        <v>368</v>
      </c>
      <c r="J66" s="271">
        <v>6</v>
      </c>
      <c r="K66" s="318" t="str">
        <f>VLOOKUP(J66,Ruimtegroepen[],2,FALSE)</f>
        <v>Gangen/hallen</v>
      </c>
      <c r="L66" s="271" t="s">
        <v>113</v>
      </c>
      <c r="M66" s="271" t="s">
        <v>373</v>
      </c>
      <c r="N66" s="319">
        <v>29</v>
      </c>
      <c r="O66" s="319"/>
      <c r="P66" s="320" t="str">
        <f>LEFT(VLOOKUP(Ruimtestaat[[#This Row],[Ruimte code]],Ruimtegroepen[#All],4,1),2)</f>
        <v xml:space="preserve">V </v>
      </c>
      <c r="Q66" s="319"/>
      <c r="R66" s="271">
        <v>40</v>
      </c>
      <c r="S66" s="271" t="s">
        <v>2</v>
      </c>
      <c r="T66" s="321">
        <f>IF(R66&gt;0,IF(RIGHT(Ruimtestaat[[#This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" s="321">
        <f>IF(T66&gt;0,VLOOKUP($J66,Ruimtegroepen[],3,FALSE)*VLOOKUP($L66,Vloersoorten[],3,FALSE)*VLOOKUP($S66,Frequenties[],3,FALSE)*VLOOKUP($A66,Locaties[],3,FALSE),0)</f>
        <v>0</v>
      </c>
      <c r="V66" s="322">
        <f>Ruimtestaat[[#This Row],[Uitvoeringen werkdagen]]*Ruimtestaat[[#This Row],[Oppervlak (netto)]]</f>
        <v>5800</v>
      </c>
      <c r="W66" s="323">
        <f>IF(U66&gt;0,Ruimtestaat[[#This Row],[Prest. (m2 /jaar) werkdagen]]/Ruimtestaat[[#This Row],[Norm (m2/uur) werkdagen]],0)</f>
        <v>0</v>
      </c>
      <c r="X66" s="324">
        <f>Ruimtestaat[[#This Row],[uren / jaar werkdagen]]*Tariefsopbouw!$E$35</f>
        <v>0</v>
      </c>
      <c r="Y66" s="321"/>
      <c r="Z66" s="325">
        <f>IF(Ruimtestaat[[#This Row],[Frequentie weekend]]&gt;0,VALUE(LEFT(Y66,1))*R66,0)</f>
        <v>0</v>
      </c>
      <c r="AA66" s="321">
        <f>IF($Z66&gt;0,VLOOKUP($J66,Ruimtegroepen[],3,FALSE)*VLOOKUP($L66,Vloersoorten[],3,FALSE)*VLOOKUP($Y66,Frequenties[],3,FALSE)*VLOOKUP($A62,Locaties[],3,FALSE),0)</f>
        <v>0</v>
      </c>
      <c r="AB66" s="323">
        <f>Ruimtestaat[[#This Row],[Uitvoeringen weekend]]*Ruimtestaat[[#This Row],[Oppervlak (netto)]]</f>
        <v>0</v>
      </c>
      <c r="AC66" s="326">
        <f>IF(AB66&gt;0,Ruimtestaat[[#This Row],[Prest. (m2 /jaar) weekend]]/Ruimtestaat[[#This Row],[Norm (m2/uur) weekend]],0)</f>
        <v>0</v>
      </c>
      <c r="AD66" s="327">
        <f>Ruimtestaat[[#This Row],[uren / jaar weekend]]*Tariefsopbouw!$D$40</f>
        <v>0</v>
      </c>
      <c r="AE66" s="328">
        <f>Ruimtestaat[[#This Row],[Prest. (m2 /jaar) weekend]]+Ruimtestaat[[#This Row],[Prest. (m2 /jaar) werkdagen]]</f>
        <v>5800</v>
      </c>
      <c r="AF66" s="328">
        <f>Ruimtestaat[[#This Row],[uren / jaar weekend]]+Ruimtestaat[[#This Row],[uren / jaar werkdagen]]</f>
        <v>0</v>
      </c>
      <c r="AG66" s="329">
        <f>Ruimtestaat[[#This Row],[kosten / jaar weekend]]+Ruimtestaat[[#This Row],[kosten / jaar werkdagen]]</f>
        <v>0</v>
      </c>
      <c r="AH66" s="330"/>
      <c r="HL66" s="297"/>
    </row>
    <row r="67" spans="1:220" ht="15" customHeight="1">
      <c r="A67" s="271">
        <v>1</v>
      </c>
      <c r="B67" s="271" t="str">
        <f>VLOOKUP(Ruimtestaat[[#This Row],[Code]],Locaties[#All],2,FALSE)</f>
        <v>Hoofdgebouw</v>
      </c>
      <c r="C67" s="271" t="str">
        <f>VLOOKUP(Ruimtestaat[[#This Row],[Code]],Locaties[#All],4,FALSE)</f>
        <v>Sterrenlaan 16</v>
      </c>
      <c r="D67" s="271" t="str">
        <f>VLOOKUP(Ruimtestaat[[#This Row],[Code]],Locaties[#All],5,FALSE)</f>
        <v>5631 KA</v>
      </c>
      <c r="E67" s="271" t="str">
        <f>VLOOKUP(Ruimtestaat[[#This Row],[Code]],Locaties[#All],6,FALSE)</f>
        <v>Eindhoven</v>
      </c>
      <c r="F67" s="318"/>
      <c r="G67" s="271" t="s">
        <v>546</v>
      </c>
      <c r="H67" s="334" t="s">
        <v>577</v>
      </c>
      <c r="I67" s="228" t="s">
        <v>531</v>
      </c>
      <c r="J67" s="271">
        <v>16</v>
      </c>
      <c r="K67" s="318" t="str">
        <f>VLOOKUP(J67,Ruimtegroepen[],2,FALSE)</f>
        <v>Leslokalen theorie</v>
      </c>
      <c r="L67" s="271" t="s">
        <v>113</v>
      </c>
      <c r="M67" s="271" t="s">
        <v>373</v>
      </c>
      <c r="N67" s="319">
        <v>48</v>
      </c>
      <c r="O67" s="319"/>
      <c r="P67" s="320" t="str">
        <f>LEFT(VLOOKUP(Ruimtestaat[[#This Row],[Ruimte code]],Ruimtegroepen[#All],4,1),2)</f>
        <v xml:space="preserve">L </v>
      </c>
      <c r="Q67" s="319"/>
      <c r="R67" s="271">
        <v>40</v>
      </c>
      <c r="S67" s="271" t="s">
        <v>2</v>
      </c>
      <c r="T67" s="321">
        <f>IF(R67&gt;0,IF(RIGHT(Ruimtestaat[[#This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" s="321">
        <f>IF(T67&gt;0,VLOOKUP($J67,Ruimtegroepen[],3,FALSE)*VLOOKUP($L67,Vloersoorten[],3,FALSE)*VLOOKUP($S67,Frequenties[],3,FALSE)*VLOOKUP($A67,Locaties[],3,FALSE),0)</f>
        <v>0</v>
      </c>
      <c r="V67" s="322">
        <f>Ruimtestaat[[#This Row],[Uitvoeringen werkdagen]]*Ruimtestaat[[#This Row],[Oppervlak (netto)]]</f>
        <v>9600</v>
      </c>
      <c r="W67" s="323">
        <f>IF(U67&gt;0,Ruimtestaat[[#This Row],[Prest. (m2 /jaar) werkdagen]]/Ruimtestaat[[#This Row],[Norm (m2/uur) werkdagen]],0)</f>
        <v>0</v>
      </c>
      <c r="X67" s="324">
        <f>Ruimtestaat[[#This Row],[uren / jaar werkdagen]]*Tariefsopbouw!$E$35</f>
        <v>0</v>
      </c>
      <c r="Y67" s="321"/>
      <c r="Z67" s="325">
        <f>IF(Ruimtestaat[[#This Row],[Frequentie weekend]]&gt;0,VALUE(LEFT(Y67,1))*R67,0)</f>
        <v>0</v>
      </c>
      <c r="AA67" s="321">
        <f>IF($Z67&gt;0,VLOOKUP($J67,Ruimtegroepen[],3,FALSE)*VLOOKUP($L67,Vloersoorten[],3,FALSE)*VLOOKUP($Y67,Frequenties[],3,FALSE)*VLOOKUP($A63,Locaties[],3,FALSE),0)</f>
        <v>0</v>
      </c>
      <c r="AB67" s="323">
        <f>Ruimtestaat[[#This Row],[Uitvoeringen weekend]]*Ruimtestaat[[#This Row],[Oppervlak (netto)]]</f>
        <v>0</v>
      </c>
      <c r="AC67" s="326">
        <f>IF(AB67&gt;0,Ruimtestaat[[#This Row],[Prest. (m2 /jaar) weekend]]/Ruimtestaat[[#This Row],[Norm (m2/uur) weekend]],0)</f>
        <v>0</v>
      </c>
      <c r="AD67" s="327">
        <f>Ruimtestaat[[#This Row],[uren / jaar weekend]]*Tariefsopbouw!$D$40</f>
        <v>0</v>
      </c>
      <c r="AE67" s="328">
        <f>Ruimtestaat[[#This Row],[Prest. (m2 /jaar) weekend]]+Ruimtestaat[[#This Row],[Prest. (m2 /jaar) werkdagen]]</f>
        <v>9600</v>
      </c>
      <c r="AF67" s="328">
        <f>Ruimtestaat[[#This Row],[uren / jaar weekend]]+Ruimtestaat[[#This Row],[uren / jaar werkdagen]]</f>
        <v>0</v>
      </c>
      <c r="AG67" s="329">
        <f>Ruimtestaat[[#This Row],[kosten / jaar weekend]]+Ruimtestaat[[#This Row],[kosten / jaar werkdagen]]</f>
        <v>0</v>
      </c>
      <c r="AH67" s="330"/>
      <c r="HL67" s="297"/>
    </row>
    <row r="68" spans="1:220" ht="15" customHeight="1">
      <c r="A68" s="271">
        <v>1</v>
      </c>
      <c r="B68" s="271" t="str">
        <f>VLOOKUP(Ruimtestaat[[#This Row],[Code]],Locaties[#All],2,FALSE)</f>
        <v>Hoofdgebouw</v>
      </c>
      <c r="C68" s="271" t="str">
        <f>VLOOKUP(Ruimtestaat[[#This Row],[Code]],Locaties[#All],4,FALSE)</f>
        <v>Sterrenlaan 16</v>
      </c>
      <c r="D68" s="271" t="str">
        <f>VLOOKUP(Ruimtestaat[[#This Row],[Code]],Locaties[#All],5,FALSE)</f>
        <v>5631 KA</v>
      </c>
      <c r="E68" s="271" t="str">
        <f>VLOOKUP(Ruimtestaat[[#This Row],[Code]],Locaties[#All],6,FALSE)</f>
        <v>Eindhoven</v>
      </c>
      <c r="F68" s="318"/>
      <c r="G68" s="271" t="s">
        <v>546</v>
      </c>
      <c r="H68" s="334" t="s">
        <v>578</v>
      </c>
      <c r="I68" s="228" t="s">
        <v>531</v>
      </c>
      <c r="J68" s="271">
        <v>16</v>
      </c>
      <c r="K68" s="318" t="str">
        <f>VLOOKUP(J68,Ruimtegroepen[],2,FALSE)</f>
        <v>Leslokalen theorie</v>
      </c>
      <c r="L68" s="271" t="s">
        <v>113</v>
      </c>
      <c r="M68" s="271" t="s">
        <v>373</v>
      </c>
      <c r="N68" s="319">
        <v>48</v>
      </c>
      <c r="O68" s="319"/>
      <c r="P68" s="320" t="str">
        <f>LEFT(VLOOKUP(Ruimtestaat[[#This Row],[Ruimte code]],Ruimtegroepen[#All],4,1),2)</f>
        <v xml:space="preserve">L </v>
      </c>
      <c r="Q68" s="319"/>
      <c r="R68" s="271">
        <v>40</v>
      </c>
      <c r="S68" s="271" t="s">
        <v>2</v>
      </c>
      <c r="T68" s="321">
        <f>IF(R68&gt;0,IF(RIGHT(Ruimtestaat[[#This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" s="321">
        <f>IF(T68&gt;0,VLOOKUP($J68,Ruimtegroepen[],3,FALSE)*VLOOKUP($L68,Vloersoorten[],3,FALSE)*VLOOKUP($S68,Frequenties[],3,FALSE)*VLOOKUP($A68,Locaties[],3,FALSE),0)</f>
        <v>0</v>
      </c>
      <c r="V68" s="322">
        <f>Ruimtestaat[[#This Row],[Uitvoeringen werkdagen]]*Ruimtestaat[[#This Row],[Oppervlak (netto)]]</f>
        <v>9600</v>
      </c>
      <c r="W68" s="323">
        <f>IF(U68&gt;0,Ruimtestaat[[#This Row],[Prest. (m2 /jaar) werkdagen]]/Ruimtestaat[[#This Row],[Norm (m2/uur) werkdagen]],0)</f>
        <v>0</v>
      </c>
      <c r="X68" s="324">
        <f>Ruimtestaat[[#This Row],[uren / jaar werkdagen]]*Tariefsopbouw!$E$35</f>
        <v>0</v>
      </c>
      <c r="Y68" s="321"/>
      <c r="Z68" s="325">
        <f>IF(Ruimtestaat[[#This Row],[Frequentie weekend]]&gt;0,VALUE(LEFT(Y68,1))*R68,0)</f>
        <v>0</v>
      </c>
      <c r="AA68" s="321">
        <f>IF($Z68&gt;0,VLOOKUP($J68,Ruimtegroepen[],3,FALSE)*VLOOKUP($L68,Vloersoorten[],3,FALSE)*VLOOKUP($Y68,Frequenties[],3,FALSE)*VLOOKUP($A64,Locaties[],3,FALSE),0)</f>
        <v>0</v>
      </c>
      <c r="AB68" s="323">
        <f>Ruimtestaat[[#This Row],[Uitvoeringen weekend]]*Ruimtestaat[[#This Row],[Oppervlak (netto)]]</f>
        <v>0</v>
      </c>
      <c r="AC68" s="326">
        <f>IF(AB68&gt;0,Ruimtestaat[[#This Row],[Prest. (m2 /jaar) weekend]]/Ruimtestaat[[#This Row],[Norm (m2/uur) weekend]],0)</f>
        <v>0</v>
      </c>
      <c r="AD68" s="327">
        <f>Ruimtestaat[[#This Row],[uren / jaar weekend]]*Tariefsopbouw!$D$40</f>
        <v>0</v>
      </c>
      <c r="AE68" s="328">
        <f>Ruimtestaat[[#This Row],[Prest. (m2 /jaar) weekend]]+Ruimtestaat[[#This Row],[Prest. (m2 /jaar) werkdagen]]</f>
        <v>9600</v>
      </c>
      <c r="AF68" s="328">
        <f>Ruimtestaat[[#This Row],[uren / jaar weekend]]+Ruimtestaat[[#This Row],[uren / jaar werkdagen]]</f>
        <v>0</v>
      </c>
      <c r="AG68" s="329">
        <f>Ruimtestaat[[#This Row],[kosten / jaar weekend]]+Ruimtestaat[[#This Row],[kosten / jaar werkdagen]]</f>
        <v>0</v>
      </c>
      <c r="AH68" s="330"/>
      <c r="HL68" s="297"/>
    </row>
    <row r="69" spans="1:220" ht="15" customHeight="1">
      <c r="A69" s="271">
        <v>1</v>
      </c>
      <c r="B69" s="271" t="str">
        <f>VLOOKUP(Ruimtestaat[[#This Row],[Code]],Locaties[#All],2,FALSE)</f>
        <v>Hoofdgebouw</v>
      </c>
      <c r="C69" s="271" t="str">
        <f>VLOOKUP(Ruimtestaat[[#This Row],[Code]],Locaties[#All],4,FALSE)</f>
        <v>Sterrenlaan 16</v>
      </c>
      <c r="D69" s="271" t="str">
        <f>VLOOKUP(Ruimtestaat[[#This Row],[Code]],Locaties[#All],5,FALSE)</f>
        <v>5631 KA</v>
      </c>
      <c r="E69" s="271" t="str">
        <f>VLOOKUP(Ruimtestaat[[#This Row],[Code]],Locaties[#All],6,FALSE)</f>
        <v>Eindhoven</v>
      </c>
      <c r="F69" s="318"/>
      <c r="G69" s="271" t="s">
        <v>546</v>
      </c>
      <c r="H69" s="334" t="s">
        <v>579</v>
      </c>
      <c r="I69" s="228" t="s">
        <v>531</v>
      </c>
      <c r="J69" s="271">
        <v>16</v>
      </c>
      <c r="K69" s="318" t="str">
        <f>VLOOKUP(J69,Ruimtegroepen[],2,FALSE)</f>
        <v>Leslokalen theorie</v>
      </c>
      <c r="L69" s="271" t="s">
        <v>113</v>
      </c>
      <c r="M69" s="271" t="s">
        <v>373</v>
      </c>
      <c r="N69" s="319">
        <v>48</v>
      </c>
      <c r="O69" s="319"/>
      <c r="P69" s="320" t="str">
        <f>LEFT(VLOOKUP(Ruimtestaat[[#This Row],[Ruimte code]],Ruimtegroepen[#All],4,1),2)</f>
        <v xml:space="preserve">L </v>
      </c>
      <c r="Q69" s="319"/>
      <c r="R69" s="271">
        <v>40</v>
      </c>
      <c r="S69" s="271" t="s">
        <v>2</v>
      </c>
      <c r="T69" s="321">
        <f>IF(R69&gt;0,IF(RIGHT(Ruimtestaat[[#This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" s="321">
        <f>IF(T69&gt;0,VLOOKUP($J69,Ruimtegroepen[],3,FALSE)*VLOOKUP($L69,Vloersoorten[],3,FALSE)*VLOOKUP($S69,Frequenties[],3,FALSE)*VLOOKUP($A69,Locaties[],3,FALSE),0)</f>
        <v>0</v>
      </c>
      <c r="V69" s="322">
        <f>Ruimtestaat[[#This Row],[Uitvoeringen werkdagen]]*Ruimtestaat[[#This Row],[Oppervlak (netto)]]</f>
        <v>9600</v>
      </c>
      <c r="W69" s="323">
        <f>IF(U69&gt;0,Ruimtestaat[[#This Row],[Prest. (m2 /jaar) werkdagen]]/Ruimtestaat[[#This Row],[Norm (m2/uur) werkdagen]],0)</f>
        <v>0</v>
      </c>
      <c r="X69" s="324">
        <f>Ruimtestaat[[#This Row],[uren / jaar werkdagen]]*Tariefsopbouw!$E$35</f>
        <v>0</v>
      </c>
      <c r="Y69" s="321"/>
      <c r="Z69" s="325">
        <f>IF(Ruimtestaat[[#This Row],[Frequentie weekend]]&gt;0,VALUE(LEFT(Y69,1))*R69,0)</f>
        <v>0</v>
      </c>
      <c r="AA69" s="321">
        <f>IF($Z69&gt;0,VLOOKUP($J69,Ruimtegroepen[],3,FALSE)*VLOOKUP($L69,Vloersoorten[],3,FALSE)*VLOOKUP($Y69,Frequenties[],3,FALSE)*VLOOKUP($A65,Locaties[],3,FALSE),0)</f>
        <v>0</v>
      </c>
      <c r="AB69" s="323">
        <f>Ruimtestaat[[#This Row],[Uitvoeringen weekend]]*Ruimtestaat[[#This Row],[Oppervlak (netto)]]</f>
        <v>0</v>
      </c>
      <c r="AC69" s="326">
        <f>IF(AB69&gt;0,Ruimtestaat[[#This Row],[Prest. (m2 /jaar) weekend]]/Ruimtestaat[[#This Row],[Norm (m2/uur) weekend]],0)</f>
        <v>0</v>
      </c>
      <c r="AD69" s="327">
        <f>Ruimtestaat[[#This Row],[uren / jaar weekend]]*Tariefsopbouw!$D$40</f>
        <v>0</v>
      </c>
      <c r="AE69" s="328">
        <f>Ruimtestaat[[#This Row],[Prest. (m2 /jaar) weekend]]+Ruimtestaat[[#This Row],[Prest. (m2 /jaar) werkdagen]]</f>
        <v>9600</v>
      </c>
      <c r="AF69" s="328">
        <f>Ruimtestaat[[#This Row],[uren / jaar weekend]]+Ruimtestaat[[#This Row],[uren / jaar werkdagen]]</f>
        <v>0</v>
      </c>
      <c r="AG69" s="329">
        <f>Ruimtestaat[[#This Row],[kosten / jaar weekend]]+Ruimtestaat[[#This Row],[kosten / jaar werkdagen]]</f>
        <v>0</v>
      </c>
      <c r="AH69" s="330"/>
      <c r="HL69" s="297"/>
    </row>
    <row r="70" spans="1:220" ht="15" customHeight="1">
      <c r="A70" s="271">
        <v>1</v>
      </c>
      <c r="B70" s="271" t="str">
        <f>VLOOKUP(Ruimtestaat[[#This Row],[Code]],Locaties[#All],2,FALSE)</f>
        <v>Hoofdgebouw</v>
      </c>
      <c r="C70" s="271" t="str">
        <f>VLOOKUP(Ruimtestaat[[#This Row],[Code]],Locaties[#All],4,FALSE)</f>
        <v>Sterrenlaan 16</v>
      </c>
      <c r="D70" s="271" t="str">
        <f>VLOOKUP(Ruimtestaat[[#This Row],[Code]],Locaties[#All],5,FALSE)</f>
        <v>5631 KA</v>
      </c>
      <c r="E70" s="271" t="str">
        <f>VLOOKUP(Ruimtestaat[[#This Row],[Code]],Locaties[#All],6,FALSE)</f>
        <v>Eindhoven</v>
      </c>
      <c r="F70" s="318"/>
      <c r="G70" s="271" t="s">
        <v>546</v>
      </c>
      <c r="H70" s="334" t="s">
        <v>580</v>
      </c>
      <c r="I70" s="228" t="s">
        <v>531</v>
      </c>
      <c r="J70" s="271">
        <v>16</v>
      </c>
      <c r="K70" s="318" t="str">
        <f>VLOOKUP(J70,Ruimtegroepen[],2,FALSE)</f>
        <v>Leslokalen theorie</v>
      </c>
      <c r="L70" s="271" t="s">
        <v>113</v>
      </c>
      <c r="M70" s="271" t="s">
        <v>373</v>
      </c>
      <c r="N70" s="319">
        <v>48</v>
      </c>
      <c r="O70" s="319"/>
      <c r="P70" s="320" t="str">
        <f>LEFT(VLOOKUP(Ruimtestaat[[#This Row],[Ruimte code]],Ruimtegroepen[#All],4,1),2)</f>
        <v xml:space="preserve">L </v>
      </c>
      <c r="Q70" s="319"/>
      <c r="R70" s="271">
        <v>40</v>
      </c>
      <c r="S70" s="271" t="s">
        <v>2</v>
      </c>
      <c r="T70" s="321">
        <f>IF(R70&gt;0,IF(RIGHT(Ruimtestaat[[#This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" s="321">
        <f>IF(T70&gt;0,VLOOKUP($J70,Ruimtegroepen[],3,FALSE)*VLOOKUP($L70,Vloersoorten[],3,FALSE)*VLOOKUP($S70,Frequenties[],3,FALSE)*VLOOKUP($A70,Locaties[],3,FALSE),0)</f>
        <v>0</v>
      </c>
      <c r="V70" s="322">
        <f>Ruimtestaat[[#This Row],[Uitvoeringen werkdagen]]*Ruimtestaat[[#This Row],[Oppervlak (netto)]]</f>
        <v>9600</v>
      </c>
      <c r="W70" s="323">
        <f>IF(U70&gt;0,Ruimtestaat[[#This Row],[Prest. (m2 /jaar) werkdagen]]/Ruimtestaat[[#This Row],[Norm (m2/uur) werkdagen]],0)</f>
        <v>0</v>
      </c>
      <c r="X70" s="324">
        <f>Ruimtestaat[[#This Row],[uren / jaar werkdagen]]*Tariefsopbouw!$E$35</f>
        <v>0</v>
      </c>
      <c r="Y70" s="321"/>
      <c r="Z70" s="325">
        <f>IF(Ruimtestaat[[#This Row],[Frequentie weekend]]&gt;0,VALUE(LEFT(Y70,1))*R70,0)</f>
        <v>0</v>
      </c>
      <c r="AA70" s="321">
        <f>IF($Z70&gt;0,VLOOKUP($J70,Ruimtegroepen[],3,FALSE)*VLOOKUP($L70,Vloersoorten[],3,FALSE)*VLOOKUP($Y70,Frequenties[],3,FALSE)*VLOOKUP($A66,Locaties[],3,FALSE),0)</f>
        <v>0</v>
      </c>
      <c r="AB70" s="323">
        <f>Ruimtestaat[[#This Row],[Uitvoeringen weekend]]*Ruimtestaat[[#This Row],[Oppervlak (netto)]]</f>
        <v>0</v>
      </c>
      <c r="AC70" s="326">
        <f>IF(AB70&gt;0,Ruimtestaat[[#This Row],[Prest. (m2 /jaar) weekend]]/Ruimtestaat[[#This Row],[Norm (m2/uur) weekend]],0)</f>
        <v>0</v>
      </c>
      <c r="AD70" s="327">
        <f>Ruimtestaat[[#This Row],[uren / jaar weekend]]*Tariefsopbouw!$D$40</f>
        <v>0</v>
      </c>
      <c r="AE70" s="328">
        <f>Ruimtestaat[[#This Row],[Prest. (m2 /jaar) weekend]]+Ruimtestaat[[#This Row],[Prest. (m2 /jaar) werkdagen]]</f>
        <v>9600</v>
      </c>
      <c r="AF70" s="328">
        <f>Ruimtestaat[[#This Row],[uren / jaar weekend]]+Ruimtestaat[[#This Row],[uren / jaar werkdagen]]</f>
        <v>0</v>
      </c>
      <c r="AG70" s="329">
        <f>Ruimtestaat[[#This Row],[kosten / jaar weekend]]+Ruimtestaat[[#This Row],[kosten / jaar werkdagen]]</f>
        <v>0</v>
      </c>
      <c r="AH70" s="330"/>
      <c r="HL70" s="297"/>
    </row>
    <row r="71" spans="1:220" ht="15" customHeight="1">
      <c r="A71" s="271">
        <v>1</v>
      </c>
      <c r="B71" s="271" t="str">
        <f>VLOOKUP(Ruimtestaat[[#This Row],[Code]],Locaties[#All],2,FALSE)</f>
        <v>Hoofdgebouw</v>
      </c>
      <c r="C71" s="271" t="str">
        <f>VLOOKUP(Ruimtestaat[[#This Row],[Code]],Locaties[#All],4,FALSE)</f>
        <v>Sterrenlaan 16</v>
      </c>
      <c r="D71" s="271" t="str">
        <f>VLOOKUP(Ruimtestaat[[#This Row],[Code]],Locaties[#All],5,FALSE)</f>
        <v>5631 KA</v>
      </c>
      <c r="E71" s="271" t="str">
        <f>VLOOKUP(Ruimtestaat[[#This Row],[Code]],Locaties[#All],6,FALSE)</f>
        <v>Eindhoven</v>
      </c>
      <c r="F71" s="318"/>
      <c r="G71" s="271" t="s">
        <v>546</v>
      </c>
      <c r="H71" s="334" t="s">
        <v>581</v>
      </c>
      <c r="I71" s="228" t="s">
        <v>582</v>
      </c>
      <c r="J71" s="271">
        <v>11</v>
      </c>
      <c r="K71" s="318" t="str">
        <f>VLOOKUP(J71,Ruimtegroepen[],2,FALSE)</f>
        <v>Kooklokaal/leskeuken</v>
      </c>
      <c r="L71" s="271" t="s">
        <v>113</v>
      </c>
      <c r="M71" s="271" t="s">
        <v>373</v>
      </c>
      <c r="N71" s="319">
        <v>63</v>
      </c>
      <c r="O71" s="319"/>
      <c r="P71" s="320" t="str">
        <f>LEFT(VLOOKUP(Ruimtestaat[[#This Row],[Ruimte code]],Ruimtegroepen[#All],4,1),2)</f>
        <v xml:space="preserve">L </v>
      </c>
      <c r="Q71" s="319"/>
      <c r="R71" s="271">
        <v>40</v>
      </c>
      <c r="S71" s="271" t="s">
        <v>2</v>
      </c>
      <c r="T71" s="321">
        <f>IF(R71&gt;0,IF(RIGHT(Ruimtestaat[[#This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" s="321">
        <f>IF(T71&gt;0,VLOOKUP($J71,Ruimtegroepen[],3,FALSE)*VLOOKUP($L71,Vloersoorten[],3,FALSE)*VLOOKUP($S71,Frequenties[],3,FALSE)*VLOOKUP($A71,Locaties[],3,FALSE),0)</f>
        <v>0</v>
      </c>
      <c r="V71" s="322">
        <f>Ruimtestaat[[#This Row],[Uitvoeringen werkdagen]]*Ruimtestaat[[#This Row],[Oppervlak (netto)]]</f>
        <v>12600</v>
      </c>
      <c r="W71" s="323">
        <f>IF(U71&gt;0,Ruimtestaat[[#This Row],[Prest. (m2 /jaar) werkdagen]]/Ruimtestaat[[#This Row],[Norm (m2/uur) werkdagen]],0)</f>
        <v>0</v>
      </c>
      <c r="X71" s="324">
        <f>Ruimtestaat[[#This Row],[uren / jaar werkdagen]]*Tariefsopbouw!$E$35</f>
        <v>0</v>
      </c>
      <c r="Y71" s="321"/>
      <c r="Z71" s="325">
        <f>IF(Ruimtestaat[[#This Row],[Frequentie weekend]]&gt;0,VALUE(LEFT(Y71,1))*R71,0)</f>
        <v>0</v>
      </c>
      <c r="AA71" s="321">
        <f>IF($Z71&gt;0,VLOOKUP($J71,Ruimtegroepen[],3,FALSE)*VLOOKUP($L71,Vloersoorten[],3,FALSE)*VLOOKUP($Y71,Frequenties[],3,FALSE)*VLOOKUP($A67,Locaties[],3,FALSE),0)</f>
        <v>0</v>
      </c>
      <c r="AB71" s="323">
        <f>Ruimtestaat[[#This Row],[Uitvoeringen weekend]]*Ruimtestaat[[#This Row],[Oppervlak (netto)]]</f>
        <v>0</v>
      </c>
      <c r="AC71" s="326">
        <f>IF(AB71&gt;0,Ruimtestaat[[#This Row],[Prest. (m2 /jaar) weekend]]/Ruimtestaat[[#This Row],[Norm (m2/uur) weekend]],0)</f>
        <v>0</v>
      </c>
      <c r="AD71" s="327">
        <f>Ruimtestaat[[#This Row],[uren / jaar weekend]]*Tariefsopbouw!$D$40</f>
        <v>0</v>
      </c>
      <c r="AE71" s="328">
        <f>Ruimtestaat[[#This Row],[Prest. (m2 /jaar) weekend]]+Ruimtestaat[[#This Row],[Prest. (m2 /jaar) werkdagen]]</f>
        <v>12600</v>
      </c>
      <c r="AF71" s="328">
        <f>Ruimtestaat[[#This Row],[uren / jaar weekend]]+Ruimtestaat[[#This Row],[uren / jaar werkdagen]]</f>
        <v>0</v>
      </c>
      <c r="AG71" s="329">
        <f>Ruimtestaat[[#This Row],[kosten / jaar weekend]]+Ruimtestaat[[#This Row],[kosten / jaar werkdagen]]</f>
        <v>0</v>
      </c>
      <c r="AH71" s="330"/>
      <c r="HL71" s="297"/>
    </row>
    <row r="72" spans="1:220" ht="15" customHeight="1">
      <c r="A72" s="271">
        <v>1</v>
      </c>
      <c r="B72" s="271" t="str">
        <f>VLOOKUP(Ruimtestaat[[#This Row],[Code]],Locaties[#All],2,FALSE)</f>
        <v>Hoofdgebouw</v>
      </c>
      <c r="C72" s="271" t="str">
        <f>VLOOKUP(Ruimtestaat[[#This Row],[Code]],Locaties[#All],4,FALSE)</f>
        <v>Sterrenlaan 16</v>
      </c>
      <c r="D72" s="271" t="str">
        <f>VLOOKUP(Ruimtestaat[[#This Row],[Code]],Locaties[#All],5,FALSE)</f>
        <v>5631 KA</v>
      </c>
      <c r="E72" s="271" t="str">
        <f>VLOOKUP(Ruimtestaat[[#This Row],[Code]],Locaties[#All],6,FALSE)</f>
        <v>Eindhoven</v>
      </c>
      <c r="F72" s="318"/>
      <c r="G72" s="271" t="s">
        <v>546</v>
      </c>
      <c r="H72" s="334" t="s">
        <v>583</v>
      </c>
      <c r="I72" s="228" t="s">
        <v>584</v>
      </c>
      <c r="J72" s="271">
        <v>11</v>
      </c>
      <c r="K72" s="318" t="str">
        <f>VLOOKUP(J72,Ruimtegroepen[],2,FALSE)</f>
        <v>Kooklokaal/leskeuken</v>
      </c>
      <c r="L72" s="271" t="s">
        <v>114</v>
      </c>
      <c r="M72" s="271" t="s">
        <v>700</v>
      </c>
      <c r="N72" s="319">
        <v>63</v>
      </c>
      <c r="O72" s="319"/>
      <c r="P72" s="320" t="str">
        <f>LEFT(VLOOKUP(Ruimtestaat[[#This Row],[Ruimte code]],Ruimtegroepen[#All],4,1),2)</f>
        <v xml:space="preserve">L </v>
      </c>
      <c r="Q72" s="319"/>
      <c r="R72" s="271">
        <v>40</v>
      </c>
      <c r="S72" s="271" t="s">
        <v>2</v>
      </c>
      <c r="T72" s="321">
        <f>IF(R72&gt;0,IF(RIGHT(Ruimtestaat[[#This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" s="321">
        <f>IF(T72&gt;0,VLOOKUP($J72,Ruimtegroepen[],3,FALSE)*VLOOKUP($L72,Vloersoorten[],3,FALSE)*VLOOKUP($S72,Frequenties[],3,FALSE)*VLOOKUP($A72,Locaties[],3,FALSE),0)</f>
        <v>0</v>
      </c>
      <c r="V72" s="322">
        <f>Ruimtestaat[[#This Row],[Uitvoeringen werkdagen]]*Ruimtestaat[[#This Row],[Oppervlak (netto)]]</f>
        <v>12600</v>
      </c>
      <c r="W72" s="323">
        <f>IF(U72&gt;0,Ruimtestaat[[#This Row],[Prest. (m2 /jaar) werkdagen]]/Ruimtestaat[[#This Row],[Norm (m2/uur) werkdagen]],0)</f>
        <v>0</v>
      </c>
      <c r="X72" s="324">
        <f>Ruimtestaat[[#This Row],[uren / jaar werkdagen]]*Tariefsopbouw!$E$35</f>
        <v>0</v>
      </c>
      <c r="Y72" s="321"/>
      <c r="Z72" s="325">
        <f>IF(Ruimtestaat[[#This Row],[Frequentie weekend]]&gt;0,VALUE(LEFT(Y72,1))*R72,0)</f>
        <v>0</v>
      </c>
      <c r="AA72" s="321">
        <f>IF($Z72&gt;0,VLOOKUP($J72,Ruimtegroepen[],3,FALSE)*VLOOKUP($L72,Vloersoorten[],3,FALSE)*VLOOKUP($Y72,Frequenties[],3,FALSE)*VLOOKUP($A68,Locaties[],3,FALSE),0)</f>
        <v>0</v>
      </c>
      <c r="AB72" s="323">
        <f>Ruimtestaat[[#This Row],[Uitvoeringen weekend]]*Ruimtestaat[[#This Row],[Oppervlak (netto)]]</f>
        <v>0</v>
      </c>
      <c r="AC72" s="326">
        <f>IF(AB72&gt;0,Ruimtestaat[[#This Row],[Prest. (m2 /jaar) weekend]]/Ruimtestaat[[#This Row],[Norm (m2/uur) weekend]],0)</f>
        <v>0</v>
      </c>
      <c r="AD72" s="327">
        <f>Ruimtestaat[[#This Row],[uren / jaar weekend]]*Tariefsopbouw!$D$40</f>
        <v>0</v>
      </c>
      <c r="AE72" s="328">
        <f>Ruimtestaat[[#This Row],[Prest. (m2 /jaar) weekend]]+Ruimtestaat[[#This Row],[Prest. (m2 /jaar) werkdagen]]</f>
        <v>12600</v>
      </c>
      <c r="AF72" s="328">
        <f>Ruimtestaat[[#This Row],[uren / jaar weekend]]+Ruimtestaat[[#This Row],[uren / jaar werkdagen]]</f>
        <v>0</v>
      </c>
      <c r="AG72" s="329">
        <f>Ruimtestaat[[#This Row],[kosten / jaar weekend]]+Ruimtestaat[[#This Row],[kosten / jaar werkdagen]]</f>
        <v>0</v>
      </c>
      <c r="AH72" s="330"/>
      <c r="HL72" s="297"/>
    </row>
    <row r="73" spans="1:220" ht="15" customHeight="1">
      <c r="A73" s="271">
        <v>1</v>
      </c>
      <c r="B73" s="271" t="str">
        <f>VLOOKUP(Ruimtestaat[[#This Row],[Code]],Locaties[#All],2,FALSE)</f>
        <v>Hoofdgebouw</v>
      </c>
      <c r="C73" s="271" t="str">
        <f>VLOOKUP(Ruimtestaat[[#This Row],[Code]],Locaties[#All],4,FALSE)</f>
        <v>Sterrenlaan 16</v>
      </c>
      <c r="D73" s="271" t="str">
        <f>VLOOKUP(Ruimtestaat[[#This Row],[Code]],Locaties[#All],5,FALSE)</f>
        <v>5631 KA</v>
      </c>
      <c r="E73" s="271" t="str">
        <f>VLOOKUP(Ruimtestaat[[#This Row],[Code]],Locaties[#All],6,FALSE)</f>
        <v>Eindhoven</v>
      </c>
      <c r="F73" s="318"/>
      <c r="G73" s="271" t="s">
        <v>546</v>
      </c>
      <c r="H73" s="334" t="s">
        <v>585</v>
      </c>
      <c r="I73" s="228" t="s">
        <v>586</v>
      </c>
      <c r="J73" s="271">
        <v>4</v>
      </c>
      <c r="K73" s="318" t="str">
        <f>VLOOKUP(J73,Ruimtegroepen[],2,FALSE)</f>
        <v>Vergader/spreekkamers</v>
      </c>
      <c r="L73" s="271" t="s">
        <v>113</v>
      </c>
      <c r="M73" s="271" t="s">
        <v>373</v>
      </c>
      <c r="N73" s="319">
        <v>24</v>
      </c>
      <c r="O73" s="319"/>
      <c r="P73" s="320" t="str">
        <f>LEFT(VLOOKUP(Ruimtestaat[[#This Row],[Ruimte code]],Ruimtegroepen[#All],4,1),2)</f>
        <v xml:space="preserve">B </v>
      </c>
      <c r="Q73" s="319"/>
      <c r="R73" s="271">
        <v>40</v>
      </c>
      <c r="S73" s="271" t="s">
        <v>18</v>
      </c>
      <c r="T73" s="321">
        <f>IF(R73&gt;0,IF(RIGHT(Ruimtestaat[[#This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73" s="321">
        <f>IF(T73&gt;0,VLOOKUP($J73,Ruimtegroepen[],3,FALSE)*VLOOKUP($L73,Vloersoorten[],3,FALSE)*VLOOKUP($S73,Frequenties[],3,FALSE)*VLOOKUP($A73,Locaties[],3,FALSE),0)</f>
        <v>0</v>
      </c>
      <c r="V73" s="322">
        <f>Ruimtestaat[[#This Row],[Uitvoeringen werkdagen]]*Ruimtestaat[[#This Row],[Oppervlak (netto)]]</f>
        <v>2880</v>
      </c>
      <c r="W73" s="323">
        <f>IF(U73&gt;0,Ruimtestaat[[#This Row],[Prest. (m2 /jaar) werkdagen]]/Ruimtestaat[[#This Row],[Norm (m2/uur) werkdagen]],0)</f>
        <v>0</v>
      </c>
      <c r="X73" s="324">
        <f>Ruimtestaat[[#This Row],[uren / jaar werkdagen]]*Tariefsopbouw!$E$35</f>
        <v>0</v>
      </c>
      <c r="Y73" s="321"/>
      <c r="Z73" s="325">
        <f>IF(Ruimtestaat[[#This Row],[Frequentie weekend]]&gt;0,VALUE(LEFT(Y73,1))*R73,0)</f>
        <v>0</v>
      </c>
      <c r="AA73" s="321">
        <f>IF($Z73&gt;0,VLOOKUP($J73,Ruimtegroepen[],3,FALSE)*VLOOKUP($L73,Vloersoorten[],3,FALSE)*VLOOKUP($Y73,Frequenties[],3,FALSE)*VLOOKUP($A69,Locaties[],3,FALSE),0)</f>
        <v>0</v>
      </c>
      <c r="AB73" s="323">
        <f>Ruimtestaat[[#This Row],[Uitvoeringen weekend]]*Ruimtestaat[[#This Row],[Oppervlak (netto)]]</f>
        <v>0</v>
      </c>
      <c r="AC73" s="326">
        <f>IF(AB73&gt;0,Ruimtestaat[[#This Row],[Prest. (m2 /jaar) weekend]]/Ruimtestaat[[#This Row],[Norm (m2/uur) weekend]],0)</f>
        <v>0</v>
      </c>
      <c r="AD73" s="327">
        <f>Ruimtestaat[[#This Row],[uren / jaar weekend]]*Tariefsopbouw!$D$40</f>
        <v>0</v>
      </c>
      <c r="AE73" s="328">
        <f>Ruimtestaat[[#This Row],[Prest. (m2 /jaar) weekend]]+Ruimtestaat[[#This Row],[Prest. (m2 /jaar) werkdagen]]</f>
        <v>2880</v>
      </c>
      <c r="AF73" s="328">
        <f>Ruimtestaat[[#This Row],[uren / jaar weekend]]+Ruimtestaat[[#This Row],[uren / jaar werkdagen]]</f>
        <v>0</v>
      </c>
      <c r="AG73" s="329">
        <f>Ruimtestaat[[#This Row],[kosten / jaar weekend]]+Ruimtestaat[[#This Row],[kosten / jaar werkdagen]]</f>
        <v>0</v>
      </c>
      <c r="AH73" s="330"/>
      <c r="HL73" s="297"/>
    </row>
    <row r="74" spans="1:220" ht="15" customHeight="1">
      <c r="A74" s="271">
        <v>1</v>
      </c>
      <c r="B74" s="271" t="str">
        <f>VLOOKUP(Ruimtestaat[[#This Row],[Code]],Locaties[#All],2,FALSE)</f>
        <v>Hoofdgebouw</v>
      </c>
      <c r="C74" s="271" t="str">
        <f>VLOOKUP(Ruimtestaat[[#This Row],[Code]],Locaties[#All],4,FALSE)</f>
        <v>Sterrenlaan 16</v>
      </c>
      <c r="D74" s="271" t="str">
        <f>VLOOKUP(Ruimtestaat[[#This Row],[Code]],Locaties[#All],5,FALSE)</f>
        <v>5631 KA</v>
      </c>
      <c r="E74" s="271" t="str">
        <f>VLOOKUP(Ruimtestaat[[#This Row],[Code]],Locaties[#All],6,FALSE)</f>
        <v>Eindhoven</v>
      </c>
      <c r="F74" s="318"/>
      <c r="G74" s="271" t="s">
        <v>546</v>
      </c>
      <c r="H74" s="334" t="s">
        <v>587</v>
      </c>
      <c r="I74" s="228" t="s">
        <v>588</v>
      </c>
      <c r="J74" s="271">
        <v>13</v>
      </c>
      <c r="K74" s="318" t="str">
        <f>VLOOKUP(J74,Ruimtegroepen[],2,FALSE)</f>
        <v>HV/Technieklokaal</v>
      </c>
      <c r="L74" s="271" t="s">
        <v>113</v>
      </c>
      <c r="M74" s="271" t="s">
        <v>373</v>
      </c>
      <c r="N74" s="319">
        <v>63</v>
      </c>
      <c r="O74" s="319"/>
      <c r="P74" s="320" t="str">
        <f>LEFT(VLOOKUP(Ruimtestaat[[#This Row],[Ruimte code]],Ruimtegroepen[#All],4,1),2)</f>
        <v xml:space="preserve">L </v>
      </c>
      <c r="Q74" s="319"/>
      <c r="R74" s="271">
        <v>40</v>
      </c>
      <c r="S74" s="271" t="s">
        <v>2</v>
      </c>
      <c r="T74" s="321">
        <f>IF(R74&gt;0,IF(RIGHT(Ruimtestaat[[#This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" s="321">
        <f>IF(T74&gt;0,VLOOKUP($J74,Ruimtegroepen[],3,FALSE)*VLOOKUP($L74,Vloersoorten[],3,FALSE)*VLOOKUP($S74,Frequenties[],3,FALSE)*VLOOKUP($A74,Locaties[],3,FALSE),0)</f>
        <v>0</v>
      </c>
      <c r="V74" s="322">
        <f>Ruimtestaat[[#This Row],[Uitvoeringen werkdagen]]*Ruimtestaat[[#This Row],[Oppervlak (netto)]]</f>
        <v>12600</v>
      </c>
      <c r="W74" s="323">
        <f>IF(U74&gt;0,Ruimtestaat[[#This Row],[Prest. (m2 /jaar) werkdagen]]/Ruimtestaat[[#This Row],[Norm (m2/uur) werkdagen]],0)</f>
        <v>0</v>
      </c>
      <c r="X74" s="324">
        <f>Ruimtestaat[[#This Row],[uren / jaar werkdagen]]*Tariefsopbouw!$E$35</f>
        <v>0</v>
      </c>
      <c r="Y74" s="321"/>
      <c r="Z74" s="325">
        <f>IF(Ruimtestaat[[#This Row],[Frequentie weekend]]&gt;0,VALUE(LEFT(Y74,1))*R74,0)</f>
        <v>0</v>
      </c>
      <c r="AA74" s="321">
        <f>IF($Z74&gt;0,VLOOKUP($J74,Ruimtegroepen[],3,FALSE)*VLOOKUP($L74,Vloersoorten[],3,FALSE)*VLOOKUP($Y74,Frequenties[],3,FALSE)*VLOOKUP($A70,Locaties[],3,FALSE),0)</f>
        <v>0</v>
      </c>
      <c r="AB74" s="323">
        <f>Ruimtestaat[[#This Row],[Uitvoeringen weekend]]*Ruimtestaat[[#This Row],[Oppervlak (netto)]]</f>
        <v>0</v>
      </c>
      <c r="AC74" s="326">
        <f>IF(AB74&gt;0,Ruimtestaat[[#This Row],[Prest. (m2 /jaar) weekend]]/Ruimtestaat[[#This Row],[Norm (m2/uur) weekend]],0)</f>
        <v>0</v>
      </c>
      <c r="AD74" s="327">
        <f>Ruimtestaat[[#This Row],[uren / jaar weekend]]*Tariefsopbouw!$D$40</f>
        <v>0</v>
      </c>
      <c r="AE74" s="328">
        <f>Ruimtestaat[[#This Row],[Prest. (m2 /jaar) weekend]]+Ruimtestaat[[#This Row],[Prest. (m2 /jaar) werkdagen]]</f>
        <v>12600</v>
      </c>
      <c r="AF74" s="328">
        <f>Ruimtestaat[[#This Row],[uren / jaar weekend]]+Ruimtestaat[[#This Row],[uren / jaar werkdagen]]</f>
        <v>0</v>
      </c>
      <c r="AG74" s="329">
        <f>Ruimtestaat[[#This Row],[kosten / jaar weekend]]+Ruimtestaat[[#This Row],[kosten / jaar werkdagen]]</f>
        <v>0</v>
      </c>
      <c r="AH74" s="330"/>
      <c r="HL74" s="297"/>
    </row>
    <row r="75" spans="1:220" ht="15" customHeight="1">
      <c r="A75" s="271">
        <v>1</v>
      </c>
      <c r="B75" s="271" t="str">
        <f>VLOOKUP(Ruimtestaat[[#This Row],[Code]],Locaties[#All],2,FALSE)</f>
        <v>Hoofdgebouw</v>
      </c>
      <c r="C75" s="271" t="str">
        <f>VLOOKUP(Ruimtestaat[[#This Row],[Code]],Locaties[#All],4,FALSE)</f>
        <v>Sterrenlaan 16</v>
      </c>
      <c r="D75" s="271" t="str">
        <f>VLOOKUP(Ruimtestaat[[#This Row],[Code]],Locaties[#All],5,FALSE)</f>
        <v>5631 KA</v>
      </c>
      <c r="E75" s="271" t="str">
        <f>VLOOKUP(Ruimtestaat[[#This Row],[Code]],Locaties[#All],6,FALSE)</f>
        <v>Eindhoven</v>
      </c>
      <c r="F75" s="318"/>
      <c r="G75" s="271" t="s">
        <v>589</v>
      </c>
      <c r="H75" s="334" t="s">
        <v>590</v>
      </c>
      <c r="I75" s="228" t="s">
        <v>368</v>
      </c>
      <c r="J75" s="271">
        <v>6</v>
      </c>
      <c r="K75" s="318" t="str">
        <f>VLOOKUP(J75,Ruimtegroepen[],2,FALSE)</f>
        <v>Gangen/hallen</v>
      </c>
      <c r="L75" s="271" t="s">
        <v>113</v>
      </c>
      <c r="M75" s="271" t="s">
        <v>373</v>
      </c>
      <c r="N75" s="319">
        <v>99</v>
      </c>
      <c r="O75" s="319"/>
      <c r="P75" s="320" t="str">
        <f>LEFT(VLOOKUP(Ruimtestaat[[#This Row],[Ruimte code]],Ruimtegroepen[#All],4,1),2)</f>
        <v xml:space="preserve">V </v>
      </c>
      <c r="Q75" s="319"/>
      <c r="R75" s="271">
        <v>40</v>
      </c>
      <c r="S75" s="271" t="s">
        <v>2</v>
      </c>
      <c r="T75" s="321">
        <f>IF(R75&gt;0,IF(RIGHT(Ruimtestaat[[#This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" s="321">
        <f>IF(T75&gt;0,VLOOKUP($J75,Ruimtegroepen[],3,FALSE)*VLOOKUP($L75,Vloersoorten[],3,FALSE)*VLOOKUP($S75,Frequenties[],3,FALSE)*VLOOKUP($A75,Locaties[],3,FALSE),0)</f>
        <v>0</v>
      </c>
      <c r="V75" s="322">
        <f>Ruimtestaat[[#This Row],[Uitvoeringen werkdagen]]*Ruimtestaat[[#This Row],[Oppervlak (netto)]]</f>
        <v>19800</v>
      </c>
      <c r="W75" s="323">
        <f>IF(U75&gt;0,Ruimtestaat[[#This Row],[Prest. (m2 /jaar) werkdagen]]/Ruimtestaat[[#This Row],[Norm (m2/uur) werkdagen]],0)</f>
        <v>0</v>
      </c>
      <c r="X75" s="324">
        <f>Ruimtestaat[[#This Row],[uren / jaar werkdagen]]*Tariefsopbouw!$E$35</f>
        <v>0</v>
      </c>
      <c r="Y75" s="321"/>
      <c r="Z75" s="325">
        <f>IF(Ruimtestaat[[#This Row],[Frequentie weekend]]&gt;0,VALUE(LEFT(Y75,1))*R75,0)</f>
        <v>0</v>
      </c>
      <c r="AA75" s="321">
        <f>IF($Z75&gt;0,VLOOKUP($J75,Ruimtegroepen[],3,FALSE)*VLOOKUP($L75,Vloersoorten[],3,FALSE)*VLOOKUP($Y75,Frequenties[],3,FALSE)*VLOOKUP($A71,Locaties[],3,FALSE),0)</f>
        <v>0</v>
      </c>
      <c r="AB75" s="323">
        <f>Ruimtestaat[[#This Row],[Uitvoeringen weekend]]*Ruimtestaat[[#This Row],[Oppervlak (netto)]]</f>
        <v>0</v>
      </c>
      <c r="AC75" s="326">
        <f>IF(AB75&gt;0,Ruimtestaat[[#This Row],[Prest. (m2 /jaar) weekend]]/Ruimtestaat[[#This Row],[Norm (m2/uur) weekend]],0)</f>
        <v>0</v>
      </c>
      <c r="AD75" s="327">
        <f>Ruimtestaat[[#This Row],[uren / jaar weekend]]*Tariefsopbouw!$D$40</f>
        <v>0</v>
      </c>
      <c r="AE75" s="328">
        <f>Ruimtestaat[[#This Row],[Prest. (m2 /jaar) weekend]]+Ruimtestaat[[#This Row],[Prest. (m2 /jaar) werkdagen]]</f>
        <v>19800</v>
      </c>
      <c r="AF75" s="328">
        <f>Ruimtestaat[[#This Row],[uren / jaar weekend]]+Ruimtestaat[[#This Row],[uren / jaar werkdagen]]</f>
        <v>0</v>
      </c>
      <c r="AG75" s="329">
        <f>Ruimtestaat[[#This Row],[kosten / jaar weekend]]+Ruimtestaat[[#This Row],[kosten / jaar werkdagen]]</f>
        <v>0</v>
      </c>
      <c r="AH75" s="330"/>
      <c r="HL75" s="297"/>
    </row>
    <row r="76" spans="1:220" ht="15" customHeight="1">
      <c r="A76" s="271">
        <v>1</v>
      </c>
      <c r="B76" s="271" t="str">
        <f>VLOOKUP(Ruimtestaat[[#This Row],[Code]],Locaties[#All],2,FALSE)</f>
        <v>Hoofdgebouw</v>
      </c>
      <c r="C76" s="271" t="str">
        <f>VLOOKUP(Ruimtestaat[[#This Row],[Code]],Locaties[#All],4,FALSE)</f>
        <v>Sterrenlaan 16</v>
      </c>
      <c r="D76" s="271" t="str">
        <f>VLOOKUP(Ruimtestaat[[#This Row],[Code]],Locaties[#All],5,FALSE)</f>
        <v>5631 KA</v>
      </c>
      <c r="E76" s="271" t="str">
        <f>VLOOKUP(Ruimtestaat[[#This Row],[Code]],Locaties[#All],6,FALSE)</f>
        <v>Eindhoven</v>
      </c>
      <c r="F76" s="318"/>
      <c r="G76" s="271" t="s">
        <v>589</v>
      </c>
      <c r="H76" s="334" t="s">
        <v>591</v>
      </c>
      <c r="I76" s="228" t="s">
        <v>368</v>
      </c>
      <c r="J76" s="271">
        <v>6</v>
      </c>
      <c r="K76" s="318" t="str">
        <f>VLOOKUP(J76,Ruimtegroepen[],2,FALSE)</f>
        <v>Gangen/hallen</v>
      </c>
      <c r="L76" s="271" t="s">
        <v>113</v>
      </c>
      <c r="M76" s="271" t="s">
        <v>373</v>
      </c>
      <c r="N76" s="319">
        <v>26</v>
      </c>
      <c r="O76" s="319"/>
      <c r="P76" s="320" t="str">
        <f>LEFT(VLOOKUP(Ruimtestaat[[#This Row],[Ruimte code]],Ruimtegroepen[#All],4,1),2)</f>
        <v xml:space="preserve">V </v>
      </c>
      <c r="Q76" s="319"/>
      <c r="R76" s="271">
        <v>40</v>
      </c>
      <c r="S76" s="271" t="s">
        <v>2</v>
      </c>
      <c r="T76" s="321">
        <f>IF(R76&gt;0,IF(RIGHT(Ruimtestaat[[#This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" s="321">
        <f>IF(T76&gt;0,VLOOKUP($J76,Ruimtegroepen[],3,FALSE)*VLOOKUP($L76,Vloersoorten[],3,FALSE)*VLOOKUP($S76,Frequenties[],3,FALSE)*VLOOKUP($A76,Locaties[],3,FALSE),0)</f>
        <v>0</v>
      </c>
      <c r="V76" s="322">
        <f>Ruimtestaat[[#This Row],[Uitvoeringen werkdagen]]*Ruimtestaat[[#This Row],[Oppervlak (netto)]]</f>
        <v>5200</v>
      </c>
      <c r="W76" s="323">
        <f>IF(U76&gt;0,Ruimtestaat[[#This Row],[Prest. (m2 /jaar) werkdagen]]/Ruimtestaat[[#This Row],[Norm (m2/uur) werkdagen]],0)</f>
        <v>0</v>
      </c>
      <c r="X76" s="324">
        <f>Ruimtestaat[[#This Row],[uren / jaar werkdagen]]*Tariefsopbouw!$E$35</f>
        <v>0</v>
      </c>
      <c r="Y76" s="321"/>
      <c r="Z76" s="325">
        <f>IF(Ruimtestaat[[#This Row],[Frequentie weekend]]&gt;0,VALUE(LEFT(Y76,1))*R76,0)</f>
        <v>0</v>
      </c>
      <c r="AA76" s="321">
        <f>IF($Z76&gt;0,VLOOKUP($J76,Ruimtegroepen[],3,FALSE)*VLOOKUP($L76,Vloersoorten[],3,FALSE)*VLOOKUP($Y76,Frequenties[],3,FALSE)*VLOOKUP($A72,Locaties[],3,FALSE),0)</f>
        <v>0</v>
      </c>
      <c r="AB76" s="323">
        <f>Ruimtestaat[[#This Row],[Uitvoeringen weekend]]*Ruimtestaat[[#This Row],[Oppervlak (netto)]]</f>
        <v>0</v>
      </c>
      <c r="AC76" s="326">
        <f>IF(AB76&gt;0,Ruimtestaat[[#This Row],[Prest. (m2 /jaar) weekend]]/Ruimtestaat[[#This Row],[Norm (m2/uur) weekend]],0)</f>
        <v>0</v>
      </c>
      <c r="AD76" s="327">
        <f>Ruimtestaat[[#This Row],[uren / jaar weekend]]*Tariefsopbouw!$D$40</f>
        <v>0</v>
      </c>
      <c r="AE76" s="328">
        <f>Ruimtestaat[[#This Row],[Prest. (m2 /jaar) weekend]]+Ruimtestaat[[#This Row],[Prest. (m2 /jaar) werkdagen]]</f>
        <v>5200</v>
      </c>
      <c r="AF76" s="328">
        <f>Ruimtestaat[[#This Row],[uren / jaar weekend]]+Ruimtestaat[[#This Row],[uren / jaar werkdagen]]</f>
        <v>0</v>
      </c>
      <c r="AG76" s="329">
        <f>Ruimtestaat[[#This Row],[kosten / jaar weekend]]+Ruimtestaat[[#This Row],[kosten / jaar werkdagen]]</f>
        <v>0</v>
      </c>
      <c r="AH76" s="330"/>
      <c r="HL76" s="297"/>
    </row>
    <row r="77" spans="1:220" ht="15" customHeight="1">
      <c r="A77" s="271">
        <v>1</v>
      </c>
      <c r="B77" s="271" t="str">
        <f>VLOOKUP(Ruimtestaat[[#This Row],[Code]],Locaties[#All],2,FALSE)</f>
        <v>Hoofdgebouw</v>
      </c>
      <c r="C77" s="271" t="str">
        <f>VLOOKUP(Ruimtestaat[[#This Row],[Code]],Locaties[#All],4,FALSE)</f>
        <v>Sterrenlaan 16</v>
      </c>
      <c r="D77" s="271" t="str">
        <f>VLOOKUP(Ruimtestaat[[#This Row],[Code]],Locaties[#All],5,FALSE)</f>
        <v>5631 KA</v>
      </c>
      <c r="E77" s="271" t="str">
        <f>VLOOKUP(Ruimtestaat[[#This Row],[Code]],Locaties[#All],6,FALSE)</f>
        <v>Eindhoven</v>
      </c>
      <c r="F77" s="318"/>
      <c r="G77" s="271" t="s">
        <v>589</v>
      </c>
      <c r="H77" s="334" t="s">
        <v>592</v>
      </c>
      <c r="I77" s="228" t="s">
        <v>593</v>
      </c>
      <c r="J77" s="271">
        <v>10</v>
      </c>
      <c r="K77" s="318" t="str">
        <f>VLOOKUP(J77,Ruimtegroepen[],2,FALSE)</f>
        <v>Trappenhuizen/lift</v>
      </c>
      <c r="L77" s="271" t="s">
        <v>698</v>
      </c>
      <c r="M77" s="271" t="s">
        <v>699</v>
      </c>
      <c r="N77" s="319">
        <v>12</v>
      </c>
      <c r="O77" s="319"/>
      <c r="P77" s="320" t="str">
        <f>LEFT(VLOOKUP(Ruimtestaat[[#This Row],[Ruimte code]],Ruimtegroepen[#All],4,1),2)</f>
        <v xml:space="preserve">V </v>
      </c>
      <c r="Q77" s="319"/>
      <c r="R77" s="271">
        <v>40</v>
      </c>
      <c r="S77" s="271" t="s">
        <v>2</v>
      </c>
      <c r="T77" s="321">
        <f>IF(R77&gt;0,IF(RIGHT(Ruimtestaat[[#This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" s="321">
        <f>IF(T77&gt;0,VLOOKUP($J77,Ruimtegroepen[],3,FALSE)*VLOOKUP($L77,Vloersoorten[],3,FALSE)*VLOOKUP($S77,Frequenties[],3,FALSE)*VLOOKUP($A77,Locaties[],3,FALSE),0)</f>
        <v>0</v>
      </c>
      <c r="V77" s="322">
        <f>Ruimtestaat[[#This Row],[Uitvoeringen werkdagen]]*Ruimtestaat[[#This Row],[Oppervlak (netto)]]</f>
        <v>2400</v>
      </c>
      <c r="W77" s="323">
        <f>IF(U77&gt;0,Ruimtestaat[[#This Row],[Prest. (m2 /jaar) werkdagen]]/Ruimtestaat[[#This Row],[Norm (m2/uur) werkdagen]],0)</f>
        <v>0</v>
      </c>
      <c r="X77" s="324">
        <f>Ruimtestaat[[#This Row],[uren / jaar werkdagen]]*Tariefsopbouw!$E$35</f>
        <v>0</v>
      </c>
      <c r="Y77" s="321"/>
      <c r="Z77" s="325">
        <f>IF(Ruimtestaat[[#This Row],[Frequentie weekend]]&gt;0,VALUE(LEFT(Y77,1))*R77,0)</f>
        <v>0</v>
      </c>
      <c r="AA77" s="321">
        <f>IF($Z77&gt;0,VLOOKUP($J77,Ruimtegroepen[],3,FALSE)*VLOOKUP($L77,Vloersoorten[],3,FALSE)*VLOOKUP($Y77,Frequenties[],3,FALSE)*VLOOKUP($A73,Locaties[],3,FALSE),0)</f>
        <v>0</v>
      </c>
      <c r="AB77" s="323">
        <f>Ruimtestaat[[#This Row],[Uitvoeringen weekend]]*Ruimtestaat[[#This Row],[Oppervlak (netto)]]</f>
        <v>0</v>
      </c>
      <c r="AC77" s="326">
        <f>IF(AB77&gt;0,Ruimtestaat[[#This Row],[Prest. (m2 /jaar) weekend]]/Ruimtestaat[[#This Row],[Norm (m2/uur) weekend]],0)</f>
        <v>0</v>
      </c>
      <c r="AD77" s="327">
        <f>Ruimtestaat[[#This Row],[uren / jaar weekend]]*Tariefsopbouw!$D$40</f>
        <v>0</v>
      </c>
      <c r="AE77" s="328">
        <f>Ruimtestaat[[#This Row],[Prest. (m2 /jaar) weekend]]+Ruimtestaat[[#This Row],[Prest. (m2 /jaar) werkdagen]]</f>
        <v>2400</v>
      </c>
      <c r="AF77" s="328">
        <f>Ruimtestaat[[#This Row],[uren / jaar weekend]]+Ruimtestaat[[#This Row],[uren / jaar werkdagen]]</f>
        <v>0</v>
      </c>
      <c r="AG77" s="329">
        <f>Ruimtestaat[[#This Row],[kosten / jaar weekend]]+Ruimtestaat[[#This Row],[kosten / jaar werkdagen]]</f>
        <v>0</v>
      </c>
      <c r="AH77" s="330"/>
      <c r="HL77" s="297"/>
    </row>
    <row r="78" spans="1:220" ht="15" customHeight="1">
      <c r="A78" s="271">
        <v>1</v>
      </c>
      <c r="B78" s="271" t="str">
        <f>VLOOKUP(Ruimtestaat[[#This Row],[Code]],Locaties[#All],2,FALSE)</f>
        <v>Hoofdgebouw</v>
      </c>
      <c r="C78" s="271" t="str">
        <f>VLOOKUP(Ruimtestaat[[#This Row],[Code]],Locaties[#All],4,FALSE)</f>
        <v>Sterrenlaan 16</v>
      </c>
      <c r="D78" s="271" t="str">
        <f>VLOOKUP(Ruimtestaat[[#This Row],[Code]],Locaties[#All],5,FALSE)</f>
        <v>5631 KA</v>
      </c>
      <c r="E78" s="271" t="str">
        <f>VLOOKUP(Ruimtestaat[[#This Row],[Code]],Locaties[#All],6,FALSE)</f>
        <v>Eindhoven</v>
      </c>
      <c r="F78" s="318"/>
      <c r="G78" s="271" t="s">
        <v>589</v>
      </c>
      <c r="H78" s="271" t="s">
        <v>594</v>
      </c>
      <c r="I78" s="228" t="s">
        <v>487</v>
      </c>
      <c r="J78" s="271">
        <v>5</v>
      </c>
      <c r="K78" s="318" t="str">
        <f>VLOOKUP(J78,Ruimtegroepen[],2,FALSE)</f>
        <v>Sanitair</v>
      </c>
      <c r="L78" s="271" t="s">
        <v>114</v>
      </c>
      <c r="M78" s="271" t="s">
        <v>700</v>
      </c>
      <c r="N78" s="331">
        <v>8</v>
      </c>
      <c r="O78" s="319"/>
      <c r="P78" s="320" t="str">
        <f>LEFT(VLOOKUP(Ruimtestaat[[#This Row],[Ruimte code]],Ruimtegroepen[#All],4,1),2)</f>
        <v xml:space="preserve">S </v>
      </c>
      <c r="Q78" s="319"/>
      <c r="R78" s="271">
        <v>42</v>
      </c>
      <c r="S78" s="271" t="s">
        <v>2</v>
      </c>
      <c r="T78" s="321">
        <f>IF(R78&gt;0,IF(RIGHT(Ruimtestaat[[#This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78" s="321">
        <f>IF(T78&gt;0,VLOOKUP($J78,Ruimtegroepen[],3,FALSE)*VLOOKUP($L78,Vloersoorten[],3,FALSE)*VLOOKUP($S78,Frequenties[],3,FALSE)*VLOOKUP($A78,Locaties[],3,FALSE),0)</f>
        <v>0</v>
      </c>
      <c r="V78" s="322">
        <f>Ruimtestaat[[#This Row],[Uitvoeringen werkdagen]]*Ruimtestaat[[#This Row],[Oppervlak (netto)]]</f>
        <v>1680</v>
      </c>
      <c r="W78" s="323">
        <f>IF(U78&gt;0,Ruimtestaat[[#This Row],[Prest. (m2 /jaar) werkdagen]]/Ruimtestaat[[#This Row],[Norm (m2/uur) werkdagen]],0)</f>
        <v>0</v>
      </c>
      <c r="X78" s="324">
        <f>Ruimtestaat[[#This Row],[uren / jaar werkdagen]]*Tariefsopbouw!$E$35</f>
        <v>0</v>
      </c>
      <c r="Y78" s="321"/>
      <c r="Z78" s="325">
        <f>IF(Ruimtestaat[[#This Row],[Frequentie weekend]]&gt;0,VALUE(LEFT(Y78,1))*R78,0)</f>
        <v>0</v>
      </c>
      <c r="AA78" s="321">
        <f>IF($Z78&gt;0,VLOOKUP($J78,Ruimtegroepen[],3,FALSE)*VLOOKUP($L78,Vloersoorten[],3,FALSE)*VLOOKUP($Y78,Frequenties[],3,FALSE)*VLOOKUP($A74,Locaties[],3,FALSE),0)</f>
        <v>0</v>
      </c>
      <c r="AB78" s="323">
        <f>Ruimtestaat[[#This Row],[Uitvoeringen weekend]]*Ruimtestaat[[#This Row],[Oppervlak (netto)]]</f>
        <v>0</v>
      </c>
      <c r="AC78" s="326">
        <f>IF(AB78&gt;0,Ruimtestaat[[#This Row],[Prest. (m2 /jaar) weekend]]/Ruimtestaat[[#This Row],[Norm (m2/uur) weekend]],0)</f>
        <v>0</v>
      </c>
      <c r="AD78" s="327">
        <f>Ruimtestaat[[#This Row],[uren / jaar weekend]]*Tariefsopbouw!$D$40</f>
        <v>0</v>
      </c>
      <c r="AE78" s="328">
        <f>Ruimtestaat[[#This Row],[Prest. (m2 /jaar) weekend]]+Ruimtestaat[[#This Row],[Prest. (m2 /jaar) werkdagen]]</f>
        <v>1680</v>
      </c>
      <c r="AF78" s="328">
        <f>Ruimtestaat[[#This Row],[uren / jaar weekend]]+Ruimtestaat[[#This Row],[uren / jaar werkdagen]]</f>
        <v>0</v>
      </c>
      <c r="AG78" s="329">
        <f>Ruimtestaat[[#This Row],[kosten / jaar weekend]]+Ruimtestaat[[#This Row],[kosten / jaar werkdagen]]</f>
        <v>0</v>
      </c>
      <c r="AH78" s="330"/>
      <c r="HL78" s="297"/>
    </row>
    <row r="79" spans="1:220" ht="15" customHeight="1">
      <c r="A79" s="271">
        <v>1</v>
      </c>
      <c r="B79" s="271" t="str">
        <f>VLOOKUP(Ruimtestaat[[#This Row],[Code]],Locaties[#All],2,FALSE)</f>
        <v>Hoofdgebouw</v>
      </c>
      <c r="C79" s="271" t="str">
        <f>VLOOKUP(Ruimtestaat[[#This Row],[Code]],Locaties[#All],4,FALSE)</f>
        <v>Sterrenlaan 16</v>
      </c>
      <c r="D79" s="271" t="str">
        <f>VLOOKUP(Ruimtestaat[[#This Row],[Code]],Locaties[#All],5,FALSE)</f>
        <v>5631 KA</v>
      </c>
      <c r="E79" s="271" t="str">
        <f>VLOOKUP(Ruimtestaat[[#This Row],[Code]],Locaties[#All],6,FALSE)</f>
        <v>Eindhoven</v>
      </c>
      <c r="F79" s="318"/>
      <c r="G79" s="271" t="s">
        <v>589</v>
      </c>
      <c r="H79" s="334" t="s">
        <v>595</v>
      </c>
      <c r="I79" s="228" t="s">
        <v>489</v>
      </c>
      <c r="J79" s="271">
        <v>5</v>
      </c>
      <c r="K79" s="318" t="str">
        <f>VLOOKUP(J79,Ruimtegroepen[],2,FALSE)</f>
        <v>Sanitair</v>
      </c>
      <c r="L79" s="271" t="s">
        <v>114</v>
      </c>
      <c r="M79" s="271" t="s">
        <v>700</v>
      </c>
      <c r="N79" s="331">
        <v>11</v>
      </c>
      <c r="O79" s="319"/>
      <c r="P79" s="320" t="str">
        <f>LEFT(VLOOKUP(Ruimtestaat[[#This Row],[Ruimte code]],Ruimtegroepen[#All],4,1),2)</f>
        <v xml:space="preserve">S </v>
      </c>
      <c r="Q79" s="319"/>
      <c r="R79" s="271">
        <v>42</v>
      </c>
      <c r="S79" s="271" t="s">
        <v>2</v>
      </c>
      <c r="T79" s="321">
        <f>IF(R79&gt;0,IF(RIGHT(Ruimtestaat[[#This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79" s="321">
        <f>IF(T79&gt;0,VLOOKUP($J79,Ruimtegroepen[],3,FALSE)*VLOOKUP($L79,Vloersoorten[],3,FALSE)*VLOOKUP($S79,Frequenties[],3,FALSE)*VLOOKUP($A79,Locaties[],3,FALSE),0)</f>
        <v>0</v>
      </c>
      <c r="V79" s="322">
        <f>Ruimtestaat[[#This Row],[Uitvoeringen werkdagen]]*Ruimtestaat[[#This Row],[Oppervlak (netto)]]</f>
        <v>2310</v>
      </c>
      <c r="W79" s="323">
        <f>IF(U79&gt;0,Ruimtestaat[[#This Row],[Prest. (m2 /jaar) werkdagen]]/Ruimtestaat[[#This Row],[Norm (m2/uur) werkdagen]],0)</f>
        <v>0</v>
      </c>
      <c r="X79" s="324">
        <f>Ruimtestaat[[#This Row],[uren / jaar werkdagen]]*Tariefsopbouw!$E$35</f>
        <v>0</v>
      </c>
      <c r="Y79" s="321"/>
      <c r="Z79" s="325">
        <f>IF(Ruimtestaat[[#This Row],[Frequentie weekend]]&gt;0,VALUE(LEFT(Y79,1))*R79,0)</f>
        <v>0</v>
      </c>
      <c r="AA79" s="321">
        <f>IF($Z79&gt;0,VLOOKUP($J79,Ruimtegroepen[],3,FALSE)*VLOOKUP($L79,Vloersoorten[],3,FALSE)*VLOOKUP($Y79,Frequenties[],3,FALSE)*VLOOKUP($A75,Locaties[],3,FALSE),0)</f>
        <v>0</v>
      </c>
      <c r="AB79" s="323">
        <f>Ruimtestaat[[#This Row],[Uitvoeringen weekend]]*Ruimtestaat[[#This Row],[Oppervlak (netto)]]</f>
        <v>0</v>
      </c>
      <c r="AC79" s="326">
        <f>IF(AB79&gt;0,Ruimtestaat[[#This Row],[Prest. (m2 /jaar) weekend]]/Ruimtestaat[[#This Row],[Norm (m2/uur) weekend]],0)</f>
        <v>0</v>
      </c>
      <c r="AD79" s="327">
        <f>Ruimtestaat[[#This Row],[uren / jaar weekend]]*Tariefsopbouw!$D$40</f>
        <v>0</v>
      </c>
      <c r="AE79" s="328">
        <f>Ruimtestaat[[#This Row],[Prest. (m2 /jaar) weekend]]+Ruimtestaat[[#This Row],[Prest. (m2 /jaar) werkdagen]]</f>
        <v>2310</v>
      </c>
      <c r="AF79" s="328">
        <f>Ruimtestaat[[#This Row],[uren / jaar weekend]]+Ruimtestaat[[#This Row],[uren / jaar werkdagen]]</f>
        <v>0</v>
      </c>
      <c r="AG79" s="329">
        <f>Ruimtestaat[[#This Row],[kosten / jaar weekend]]+Ruimtestaat[[#This Row],[kosten / jaar werkdagen]]</f>
        <v>0</v>
      </c>
      <c r="AH79" s="330"/>
      <c r="HL79" s="297"/>
    </row>
    <row r="80" spans="1:220" ht="15" customHeight="1">
      <c r="A80" s="271">
        <v>1</v>
      </c>
      <c r="B80" s="271" t="str">
        <f>VLOOKUP(Ruimtestaat[[#This Row],[Code]],Locaties[#All],2,FALSE)</f>
        <v>Hoofdgebouw</v>
      </c>
      <c r="C80" s="271" t="str">
        <f>VLOOKUP(Ruimtestaat[[#This Row],[Code]],Locaties[#All],4,FALSE)</f>
        <v>Sterrenlaan 16</v>
      </c>
      <c r="D80" s="271" t="str">
        <f>VLOOKUP(Ruimtestaat[[#This Row],[Code]],Locaties[#All],5,FALSE)</f>
        <v>5631 KA</v>
      </c>
      <c r="E80" s="271" t="str">
        <f>VLOOKUP(Ruimtestaat[[#This Row],[Code]],Locaties[#All],6,FALSE)</f>
        <v>Eindhoven</v>
      </c>
      <c r="F80" s="318"/>
      <c r="G80" s="271" t="s">
        <v>589</v>
      </c>
      <c r="H80" s="334" t="s">
        <v>596</v>
      </c>
      <c r="I80" s="228" t="s">
        <v>491</v>
      </c>
      <c r="J80" s="271">
        <v>20</v>
      </c>
      <c r="K80" s="318" t="str">
        <f>VLOOKUP(J80,Ruimtegroepen[],2,FALSE)</f>
        <v>Niet in onderhoud</v>
      </c>
      <c r="L80" s="271" t="s">
        <v>114</v>
      </c>
      <c r="M80" s="271" t="s">
        <v>700</v>
      </c>
      <c r="O80" s="319">
        <v>2</v>
      </c>
      <c r="P80" s="320" t="str">
        <f>LEFT(VLOOKUP(Ruimtestaat[[#This Row],[Ruimte code]],Ruimtegroepen[#All],4,1),2)</f>
        <v/>
      </c>
      <c r="Q80" s="319"/>
      <c r="R80" s="271"/>
      <c r="S80" s="271"/>
      <c r="T80" s="321">
        <f>IF(R80&gt;0,IF(RIGHT(Ruimtestaat[[#This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0" s="321">
        <f>IF(T80&gt;0,VLOOKUP($J80,Ruimtegroepen[],3,FALSE)*VLOOKUP($L80,Vloersoorten[],3,FALSE)*VLOOKUP($S80,Frequenties[],3,FALSE)*VLOOKUP($A80,Locaties[],3,FALSE),0)</f>
        <v>0</v>
      </c>
      <c r="V80" s="322">
        <f>Ruimtestaat[[#This Row],[Uitvoeringen werkdagen]]*Ruimtestaat[[#This Row],[Oppervlak (netto)]]</f>
        <v>0</v>
      </c>
      <c r="W80" s="323">
        <f>IF(U80&gt;0,Ruimtestaat[[#This Row],[Prest. (m2 /jaar) werkdagen]]/Ruimtestaat[[#This Row],[Norm (m2/uur) werkdagen]],0)</f>
        <v>0</v>
      </c>
      <c r="X80" s="324">
        <f>Ruimtestaat[[#This Row],[uren / jaar werkdagen]]*Tariefsopbouw!$E$35</f>
        <v>0</v>
      </c>
      <c r="Y80" s="321"/>
      <c r="Z80" s="325">
        <f>IF(Ruimtestaat[[#This Row],[Frequentie weekend]]&gt;0,VALUE(LEFT(Y80,1))*R80,0)</f>
        <v>0</v>
      </c>
      <c r="AA80" s="321">
        <f>IF($Z80&gt;0,VLOOKUP($J80,Ruimtegroepen[],3,FALSE)*VLOOKUP($L80,Vloersoorten[],3,FALSE)*VLOOKUP($Y80,Frequenties[],3,FALSE)*VLOOKUP($A76,Locaties[],3,FALSE),0)</f>
        <v>0</v>
      </c>
      <c r="AB80" s="323">
        <f>Ruimtestaat[[#This Row],[Uitvoeringen weekend]]*Ruimtestaat[[#This Row],[Oppervlak (netto)]]</f>
        <v>0</v>
      </c>
      <c r="AC80" s="326">
        <f>IF(AB80&gt;0,Ruimtestaat[[#This Row],[Prest. (m2 /jaar) weekend]]/Ruimtestaat[[#This Row],[Norm (m2/uur) weekend]],0)</f>
        <v>0</v>
      </c>
      <c r="AD80" s="327">
        <f>Ruimtestaat[[#This Row],[uren / jaar weekend]]*Tariefsopbouw!$D$40</f>
        <v>0</v>
      </c>
      <c r="AE80" s="328">
        <f>Ruimtestaat[[#This Row],[Prest. (m2 /jaar) weekend]]+Ruimtestaat[[#This Row],[Prest. (m2 /jaar) werkdagen]]</f>
        <v>0</v>
      </c>
      <c r="AF80" s="328">
        <f>Ruimtestaat[[#This Row],[uren / jaar weekend]]+Ruimtestaat[[#This Row],[uren / jaar werkdagen]]</f>
        <v>0</v>
      </c>
      <c r="AG80" s="329">
        <f>Ruimtestaat[[#This Row],[kosten / jaar weekend]]+Ruimtestaat[[#This Row],[kosten / jaar werkdagen]]</f>
        <v>0</v>
      </c>
      <c r="AH80" s="330"/>
      <c r="HL80" s="297"/>
    </row>
    <row r="81" spans="1:220" ht="15" customHeight="1">
      <c r="A81" s="271">
        <v>1</v>
      </c>
      <c r="B81" s="271" t="str">
        <f>VLOOKUP(Ruimtestaat[[#This Row],[Code]],Locaties[#All],2,FALSE)</f>
        <v>Hoofdgebouw</v>
      </c>
      <c r="C81" s="271" t="str">
        <f>VLOOKUP(Ruimtestaat[[#This Row],[Code]],Locaties[#All],4,FALSE)</f>
        <v>Sterrenlaan 16</v>
      </c>
      <c r="D81" s="271" t="str">
        <f>VLOOKUP(Ruimtestaat[[#This Row],[Code]],Locaties[#All],5,FALSE)</f>
        <v>5631 KA</v>
      </c>
      <c r="E81" s="271" t="str">
        <f>VLOOKUP(Ruimtestaat[[#This Row],[Code]],Locaties[#All],6,FALSE)</f>
        <v>Eindhoven</v>
      </c>
      <c r="F81" s="318"/>
      <c r="G81" s="271" t="s">
        <v>589</v>
      </c>
      <c r="H81" s="334" t="s">
        <v>597</v>
      </c>
      <c r="I81" s="228" t="s">
        <v>368</v>
      </c>
      <c r="J81" s="271">
        <v>6</v>
      </c>
      <c r="K81" s="318" t="str">
        <f>VLOOKUP(J81,Ruimtegroepen[],2,FALSE)</f>
        <v>Gangen/hallen</v>
      </c>
      <c r="L81" s="271" t="s">
        <v>113</v>
      </c>
      <c r="M81" s="271" t="s">
        <v>373</v>
      </c>
      <c r="N81" s="319">
        <v>104</v>
      </c>
      <c r="O81" s="319"/>
      <c r="P81" s="320" t="str">
        <f>LEFT(VLOOKUP(Ruimtestaat[[#This Row],[Ruimte code]],Ruimtegroepen[#All],4,1),2)</f>
        <v xml:space="preserve">V </v>
      </c>
      <c r="Q81" s="319"/>
      <c r="R81" s="271">
        <v>40</v>
      </c>
      <c r="S81" s="271" t="s">
        <v>2</v>
      </c>
      <c r="T81" s="321">
        <f>IF(R81&gt;0,IF(RIGHT(Ruimtestaat[[#This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" s="321">
        <f>IF(T81&gt;0,VLOOKUP($J81,Ruimtegroepen[],3,FALSE)*VLOOKUP($L81,Vloersoorten[],3,FALSE)*VLOOKUP($S81,Frequenties[],3,FALSE)*VLOOKUP($A81,Locaties[],3,FALSE),0)</f>
        <v>0</v>
      </c>
      <c r="V81" s="322">
        <f>Ruimtestaat[[#This Row],[Uitvoeringen werkdagen]]*Ruimtestaat[[#This Row],[Oppervlak (netto)]]</f>
        <v>20800</v>
      </c>
      <c r="W81" s="323">
        <f>IF(U81&gt;0,Ruimtestaat[[#This Row],[Prest. (m2 /jaar) werkdagen]]/Ruimtestaat[[#This Row],[Norm (m2/uur) werkdagen]],0)</f>
        <v>0</v>
      </c>
      <c r="X81" s="324">
        <f>Ruimtestaat[[#This Row],[uren / jaar werkdagen]]*Tariefsopbouw!$E$35</f>
        <v>0</v>
      </c>
      <c r="Y81" s="321"/>
      <c r="Z81" s="325">
        <f>IF(Ruimtestaat[[#This Row],[Frequentie weekend]]&gt;0,VALUE(LEFT(Y81,1))*R81,0)</f>
        <v>0</v>
      </c>
      <c r="AA81" s="321">
        <f>IF($Z81&gt;0,VLOOKUP($J81,Ruimtegroepen[],3,FALSE)*VLOOKUP($L81,Vloersoorten[],3,FALSE)*VLOOKUP($Y81,Frequenties[],3,FALSE)*VLOOKUP($A77,Locaties[],3,FALSE),0)</f>
        <v>0</v>
      </c>
      <c r="AB81" s="323">
        <f>Ruimtestaat[[#This Row],[Uitvoeringen weekend]]*Ruimtestaat[[#This Row],[Oppervlak (netto)]]</f>
        <v>0</v>
      </c>
      <c r="AC81" s="326">
        <f>IF(AB81&gt;0,Ruimtestaat[[#This Row],[Prest. (m2 /jaar) weekend]]/Ruimtestaat[[#This Row],[Norm (m2/uur) weekend]],0)</f>
        <v>0</v>
      </c>
      <c r="AD81" s="327">
        <f>Ruimtestaat[[#This Row],[uren / jaar weekend]]*Tariefsopbouw!$D$40</f>
        <v>0</v>
      </c>
      <c r="AE81" s="328">
        <f>Ruimtestaat[[#This Row],[Prest. (m2 /jaar) weekend]]+Ruimtestaat[[#This Row],[Prest. (m2 /jaar) werkdagen]]</f>
        <v>20800</v>
      </c>
      <c r="AF81" s="328">
        <f>Ruimtestaat[[#This Row],[uren / jaar weekend]]+Ruimtestaat[[#This Row],[uren / jaar werkdagen]]</f>
        <v>0</v>
      </c>
      <c r="AG81" s="329">
        <f>Ruimtestaat[[#This Row],[kosten / jaar weekend]]+Ruimtestaat[[#This Row],[kosten / jaar werkdagen]]</f>
        <v>0</v>
      </c>
      <c r="AH81" s="330"/>
      <c r="HL81" s="297"/>
    </row>
    <row r="82" spans="1:220" ht="15" customHeight="1">
      <c r="A82" s="271">
        <v>1</v>
      </c>
      <c r="B82" s="271" t="str">
        <f>VLOOKUP(Ruimtestaat[[#This Row],[Code]],Locaties[#All],2,FALSE)</f>
        <v>Hoofdgebouw</v>
      </c>
      <c r="C82" s="271" t="str">
        <f>VLOOKUP(Ruimtestaat[[#This Row],[Code]],Locaties[#All],4,FALSE)</f>
        <v>Sterrenlaan 16</v>
      </c>
      <c r="D82" s="271" t="str">
        <f>VLOOKUP(Ruimtestaat[[#This Row],[Code]],Locaties[#All],5,FALSE)</f>
        <v>5631 KA</v>
      </c>
      <c r="E82" s="271" t="str">
        <f>VLOOKUP(Ruimtestaat[[#This Row],[Code]],Locaties[#All],6,FALSE)</f>
        <v>Eindhoven</v>
      </c>
      <c r="F82" s="318"/>
      <c r="G82" s="271" t="s">
        <v>589</v>
      </c>
      <c r="H82" s="334" t="s">
        <v>598</v>
      </c>
      <c r="I82" s="228" t="s">
        <v>495</v>
      </c>
      <c r="J82" s="271">
        <v>10</v>
      </c>
      <c r="K82" s="318" t="str">
        <f>VLOOKUP(J82,Ruimtegroepen[],2,FALSE)</f>
        <v>Trappenhuizen/lift</v>
      </c>
      <c r="L82" s="271" t="s">
        <v>113</v>
      </c>
      <c r="M82" s="271" t="s">
        <v>373</v>
      </c>
      <c r="N82" s="319">
        <v>21</v>
      </c>
      <c r="O82" s="319"/>
      <c r="P82" s="320" t="str">
        <f>LEFT(VLOOKUP(Ruimtestaat[[#This Row],[Ruimte code]],Ruimtegroepen[#All],4,1),2)</f>
        <v xml:space="preserve">V </v>
      </c>
      <c r="Q82" s="319"/>
      <c r="R82" s="271">
        <v>40</v>
      </c>
      <c r="S82" s="271" t="s">
        <v>2</v>
      </c>
      <c r="T82" s="321">
        <f>IF(R82&gt;0,IF(RIGHT(Ruimtestaat[[#This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" s="321">
        <f>IF(T82&gt;0,VLOOKUP($J82,Ruimtegroepen[],3,FALSE)*VLOOKUP($L82,Vloersoorten[],3,FALSE)*VLOOKUP($S82,Frequenties[],3,FALSE)*VLOOKUP($A82,Locaties[],3,FALSE),0)</f>
        <v>0</v>
      </c>
      <c r="V82" s="322">
        <f>Ruimtestaat[[#This Row],[Uitvoeringen werkdagen]]*Ruimtestaat[[#This Row],[Oppervlak (netto)]]</f>
        <v>4200</v>
      </c>
      <c r="W82" s="323">
        <f>IF(U82&gt;0,Ruimtestaat[[#This Row],[Prest. (m2 /jaar) werkdagen]]/Ruimtestaat[[#This Row],[Norm (m2/uur) werkdagen]],0)</f>
        <v>0</v>
      </c>
      <c r="X82" s="324">
        <f>Ruimtestaat[[#This Row],[uren / jaar werkdagen]]*Tariefsopbouw!$E$35</f>
        <v>0</v>
      </c>
      <c r="Y82" s="321"/>
      <c r="Z82" s="325">
        <f>IF(Ruimtestaat[[#This Row],[Frequentie weekend]]&gt;0,VALUE(LEFT(Y82,1))*R82,0)</f>
        <v>0</v>
      </c>
      <c r="AA82" s="321">
        <f>IF($Z82&gt;0,VLOOKUP($J82,Ruimtegroepen[],3,FALSE)*VLOOKUP($L82,Vloersoorten[],3,FALSE)*VLOOKUP($Y82,Frequenties[],3,FALSE)*VLOOKUP($A78,Locaties[],3,FALSE),0)</f>
        <v>0</v>
      </c>
      <c r="AB82" s="323">
        <f>Ruimtestaat[[#This Row],[Uitvoeringen weekend]]*Ruimtestaat[[#This Row],[Oppervlak (netto)]]</f>
        <v>0</v>
      </c>
      <c r="AC82" s="326">
        <f>IF(AB82&gt;0,Ruimtestaat[[#This Row],[Prest. (m2 /jaar) weekend]]/Ruimtestaat[[#This Row],[Norm (m2/uur) weekend]],0)</f>
        <v>0</v>
      </c>
      <c r="AD82" s="327">
        <f>Ruimtestaat[[#This Row],[uren / jaar weekend]]*Tariefsopbouw!$D$40</f>
        <v>0</v>
      </c>
      <c r="AE82" s="328">
        <f>Ruimtestaat[[#This Row],[Prest. (m2 /jaar) weekend]]+Ruimtestaat[[#This Row],[Prest. (m2 /jaar) werkdagen]]</f>
        <v>4200</v>
      </c>
      <c r="AF82" s="328">
        <f>Ruimtestaat[[#This Row],[uren / jaar weekend]]+Ruimtestaat[[#This Row],[uren / jaar werkdagen]]</f>
        <v>0</v>
      </c>
      <c r="AG82" s="329">
        <f>Ruimtestaat[[#This Row],[kosten / jaar weekend]]+Ruimtestaat[[#This Row],[kosten / jaar werkdagen]]</f>
        <v>0</v>
      </c>
      <c r="AH82" s="330"/>
      <c r="HL82" s="297"/>
    </row>
    <row r="83" spans="1:220" ht="15" customHeight="1">
      <c r="A83" s="271">
        <v>1</v>
      </c>
      <c r="B83" s="271" t="str">
        <f>VLOOKUP(Ruimtestaat[[#This Row],[Code]],Locaties[#All],2,FALSE)</f>
        <v>Hoofdgebouw</v>
      </c>
      <c r="C83" s="271" t="str">
        <f>VLOOKUP(Ruimtestaat[[#This Row],[Code]],Locaties[#All],4,FALSE)</f>
        <v>Sterrenlaan 16</v>
      </c>
      <c r="D83" s="271" t="str">
        <f>VLOOKUP(Ruimtestaat[[#This Row],[Code]],Locaties[#All],5,FALSE)</f>
        <v>5631 KA</v>
      </c>
      <c r="E83" s="271" t="str">
        <f>VLOOKUP(Ruimtestaat[[#This Row],[Code]],Locaties[#All],6,FALSE)</f>
        <v>Eindhoven</v>
      </c>
      <c r="F83" s="318"/>
      <c r="G83" s="271" t="s">
        <v>589</v>
      </c>
      <c r="H83" s="334" t="s">
        <v>599</v>
      </c>
      <c r="I83" s="228" t="s">
        <v>500</v>
      </c>
      <c r="J83" s="271">
        <v>10</v>
      </c>
      <c r="K83" s="318" t="str">
        <f>VLOOKUP(J83,Ruimtegroepen[],2,FALSE)</f>
        <v>Trappenhuizen/lift</v>
      </c>
      <c r="L83" s="271" t="s">
        <v>698</v>
      </c>
      <c r="M83" s="271" t="s">
        <v>699</v>
      </c>
      <c r="N83" s="319">
        <v>5</v>
      </c>
      <c r="O83" s="319"/>
      <c r="P83" s="320" t="str">
        <f>LEFT(VLOOKUP(Ruimtestaat[[#This Row],[Ruimte code]],Ruimtegroepen[#All],4,1),2)</f>
        <v xml:space="preserve">V </v>
      </c>
      <c r="Q83" s="319"/>
      <c r="R83" s="271">
        <v>40</v>
      </c>
      <c r="S83" s="271" t="s">
        <v>2</v>
      </c>
      <c r="T83" s="321">
        <f>IF(R83&gt;0,IF(RIGHT(Ruimtestaat[[#This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" s="321">
        <f>IF(T83&gt;0,VLOOKUP($J83,Ruimtegroepen[],3,FALSE)*VLOOKUP($L83,Vloersoorten[],3,FALSE)*VLOOKUP($S83,Frequenties[],3,FALSE)*VLOOKUP($A83,Locaties[],3,FALSE),0)</f>
        <v>0</v>
      </c>
      <c r="V83" s="322">
        <f>Ruimtestaat[[#This Row],[Uitvoeringen werkdagen]]*Ruimtestaat[[#This Row],[Oppervlak (netto)]]</f>
        <v>1000</v>
      </c>
      <c r="W83" s="323">
        <f>IF(U83&gt;0,Ruimtestaat[[#This Row],[Prest. (m2 /jaar) werkdagen]]/Ruimtestaat[[#This Row],[Norm (m2/uur) werkdagen]],0)</f>
        <v>0</v>
      </c>
      <c r="X83" s="324">
        <f>Ruimtestaat[[#This Row],[uren / jaar werkdagen]]*Tariefsopbouw!$E$35</f>
        <v>0</v>
      </c>
      <c r="Y83" s="321"/>
      <c r="Z83" s="325">
        <f>IF(Ruimtestaat[[#This Row],[Frequentie weekend]]&gt;0,VALUE(LEFT(Y83,1))*R83,0)</f>
        <v>0</v>
      </c>
      <c r="AA83" s="321">
        <f>IF($Z83&gt;0,VLOOKUP($J83,Ruimtegroepen[],3,FALSE)*VLOOKUP($L83,Vloersoorten[],3,FALSE)*VLOOKUP($Y83,Frequenties[],3,FALSE)*VLOOKUP($A79,Locaties[],3,FALSE),0)</f>
        <v>0</v>
      </c>
      <c r="AB83" s="323">
        <f>Ruimtestaat[[#This Row],[Uitvoeringen weekend]]*Ruimtestaat[[#This Row],[Oppervlak (netto)]]</f>
        <v>0</v>
      </c>
      <c r="AC83" s="326">
        <f>IF(AB83&gt;0,Ruimtestaat[[#This Row],[Prest. (m2 /jaar) weekend]]/Ruimtestaat[[#This Row],[Norm (m2/uur) weekend]],0)</f>
        <v>0</v>
      </c>
      <c r="AD83" s="327">
        <f>Ruimtestaat[[#This Row],[uren / jaar weekend]]*Tariefsopbouw!$D$40</f>
        <v>0</v>
      </c>
      <c r="AE83" s="328">
        <f>Ruimtestaat[[#This Row],[Prest. (m2 /jaar) weekend]]+Ruimtestaat[[#This Row],[Prest. (m2 /jaar) werkdagen]]</f>
        <v>1000</v>
      </c>
      <c r="AF83" s="328">
        <f>Ruimtestaat[[#This Row],[uren / jaar weekend]]+Ruimtestaat[[#This Row],[uren / jaar werkdagen]]</f>
        <v>0</v>
      </c>
      <c r="AG83" s="329">
        <f>Ruimtestaat[[#This Row],[kosten / jaar weekend]]+Ruimtestaat[[#This Row],[kosten / jaar werkdagen]]</f>
        <v>0</v>
      </c>
      <c r="AH83" s="330"/>
      <c r="HL83" s="297"/>
    </row>
    <row r="84" spans="1:220" ht="15" customHeight="1">
      <c r="A84" s="271">
        <v>1</v>
      </c>
      <c r="B84" s="271" t="str">
        <f>VLOOKUP(Ruimtestaat[[#This Row],[Code]],Locaties[#All],2,FALSE)</f>
        <v>Hoofdgebouw</v>
      </c>
      <c r="C84" s="271" t="str">
        <f>VLOOKUP(Ruimtestaat[[#This Row],[Code]],Locaties[#All],4,FALSE)</f>
        <v>Sterrenlaan 16</v>
      </c>
      <c r="D84" s="271" t="str">
        <f>VLOOKUP(Ruimtestaat[[#This Row],[Code]],Locaties[#All],5,FALSE)</f>
        <v>5631 KA</v>
      </c>
      <c r="E84" s="271" t="str">
        <f>VLOOKUP(Ruimtestaat[[#This Row],[Code]],Locaties[#All],6,FALSE)</f>
        <v>Eindhoven</v>
      </c>
      <c r="F84" s="318"/>
      <c r="G84" s="271" t="s">
        <v>589</v>
      </c>
      <c r="H84" s="334" t="s">
        <v>600</v>
      </c>
      <c r="I84" s="228" t="s">
        <v>495</v>
      </c>
      <c r="J84" s="271">
        <v>10</v>
      </c>
      <c r="K84" s="318" t="str">
        <f>VLOOKUP(J84,Ruimtegroepen[],2,FALSE)</f>
        <v>Trappenhuizen/lift</v>
      </c>
      <c r="L84" s="271" t="s">
        <v>113</v>
      </c>
      <c r="M84" s="271" t="s">
        <v>373</v>
      </c>
      <c r="N84" s="319">
        <v>20</v>
      </c>
      <c r="O84" s="319"/>
      <c r="P84" s="320" t="str">
        <f>LEFT(VLOOKUP(Ruimtestaat[[#This Row],[Ruimte code]],Ruimtegroepen[#All],4,1),2)</f>
        <v xml:space="preserve">V </v>
      </c>
      <c r="Q84" s="319"/>
      <c r="R84" s="271">
        <v>40</v>
      </c>
      <c r="S84" s="271" t="s">
        <v>2</v>
      </c>
      <c r="T84" s="321">
        <f>IF(R84&gt;0,IF(RIGHT(Ruimtestaat[[#This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" s="321">
        <f>IF(T84&gt;0,VLOOKUP($J84,Ruimtegroepen[],3,FALSE)*VLOOKUP($L84,Vloersoorten[],3,FALSE)*VLOOKUP($S84,Frequenties[],3,FALSE)*VLOOKUP($A84,Locaties[],3,FALSE),0)</f>
        <v>0</v>
      </c>
      <c r="V84" s="322">
        <f>Ruimtestaat[[#This Row],[Uitvoeringen werkdagen]]*Ruimtestaat[[#This Row],[Oppervlak (netto)]]</f>
        <v>4000</v>
      </c>
      <c r="W84" s="323">
        <f>IF(U84&gt;0,Ruimtestaat[[#This Row],[Prest. (m2 /jaar) werkdagen]]/Ruimtestaat[[#This Row],[Norm (m2/uur) werkdagen]],0)</f>
        <v>0</v>
      </c>
      <c r="X84" s="324">
        <f>Ruimtestaat[[#This Row],[uren / jaar werkdagen]]*Tariefsopbouw!$E$35</f>
        <v>0</v>
      </c>
      <c r="Y84" s="321"/>
      <c r="Z84" s="325">
        <f>IF(Ruimtestaat[[#This Row],[Frequentie weekend]]&gt;0,VALUE(LEFT(Y84,1))*R84,0)</f>
        <v>0</v>
      </c>
      <c r="AA84" s="321">
        <f>IF($Z84&gt;0,VLOOKUP($J84,Ruimtegroepen[],3,FALSE)*VLOOKUP($L84,Vloersoorten[],3,FALSE)*VLOOKUP($Y84,Frequenties[],3,FALSE)*VLOOKUP($A80,Locaties[],3,FALSE),0)</f>
        <v>0</v>
      </c>
      <c r="AB84" s="323">
        <f>Ruimtestaat[[#This Row],[Uitvoeringen weekend]]*Ruimtestaat[[#This Row],[Oppervlak (netto)]]</f>
        <v>0</v>
      </c>
      <c r="AC84" s="326">
        <f>IF(AB84&gt;0,Ruimtestaat[[#This Row],[Prest. (m2 /jaar) weekend]]/Ruimtestaat[[#This Row],[Norm (m2/uur) weekend]],0)</f>
        <v>0</v>
      </c>
      <c r="AD84" s="327">
        <f>Ruimtestaat[[#This Row],[uren / jaar weekend]]*Tariefsopbouw!$D$40</f>
        <v>0</v>
      </c>
      <c r="AE84" s="328">
        <f>Ruimtestaat[[#This Row],[Prest. (m2 /jaar) weekend]]+Ruimtestaat[[#This Row],[Prest. (m2 /jaar) werkdagen]]</f>
        <v>4000</v>
      </c>
      <c r="AF84" s="328">
        <f>Ruimtestaat[[#This Row],[uren / jaar weekend]]+Ruimtestaat[[#This Row],[uren / jaar werkdagen]]</f>
        <v>0</v>
      </c>
      <c r="AG84" s="329">
        <f>Ruimtestaat[[#This Row],[kosten / jaar weekend]]+Ruimtestaat[[#This Row],[kosten / jaar werkdagen]]</f>
        <v>0</v>
      </c>
      <c r="AH84" s="330"/>
      <c r="HL84" s="297"/>
    </row>
    <row r="85" spans="1:220" ht="15" customHeight="1">
      <c r="A85" s="271">
        <v>1</v>
      </c>
      <c r="B85" s="271" t="str">
        <f>VLOOKUP(Ruimtestaat[[#This Row],[Code]],Locaties[#All],2,FALSE)</f>
        <v>Hoofdgebouw</v>
      </c>
      <c r="C85" s="271" t="str">
        <f>VLOOKUP(Ruimtestaat[[#This Row],[Code]],Locaties[#All],4,FALSE)</f>
        <v>Sterrenlaan 16</v>
      </c>
      <c r="D85" s="271" t="str">
        <f>VLOOKUP(Ruimtestaat[[#This Row],[Code]],Locaties[#All],5,FALSE)</f>
        <v>5631 KA</v>
      </c>
      <c r="E85" s="271" t="str">
        <f>VLOOKUP(Ruimtestaat[[#This Row],[Code]],Locaties[#All],6,FALSE)</f>
        <v>Eindhoven</v>
      </c>
      <c r="F85" s="318"/>
      <c r="G85" s="271" t="s">
        <v>589</v>
      </c>
      <c r="H85" s="334" t="s">
        <v>601</v>
      </c>
      <c r="I85" s="228" t="s">
        <v>500</v>
      </c>
      <c r="J85" s="271">
        <v>10</v>
      </c>
      <c r="K85" s="318" t="str">
        <f>VLOOKUP(J85,Ruimtegroepen[],2,FALSE)</f>
        <v>Trappenhuizen/lift</v>
      </c>
      <c r="L85" s="271" t="s">
        <v>698</v>
      </c>
      <c r="M85" s="271" t="s">
        <v>699</v>
      </c>
      <c r="N85" s="319">
        <v>5</v>
      </c>
      <c r="O85" s="319"/>
      <c r="P85" s="320" t="str">
        <f>LEFT(VLOOKUP(Ruimtestaat[[#This Row],[Ruimte code]],Ruimtegroepen[#All],4,1),2)</f>
        <v xml:space="preserve">V </v>
      </c>
      <c r="Q85" s="319"/>
      <c r="R85" s="271">
        <v>40</v>
      </c>
      <c r="S85" s="271" t="s">
        <v>2</v>
      </c>
      <c r="T85" s="321">
        <f>IF(R85&gt;0,IF(RIGHT(Ruimtestaat[[#This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" s="321">
        <f>IF(T85&gt;0,VLOOKUP($J85,Ruimtegroepen[],3,FALSE)*VLOOKUP($L85,Vloersoorten[],3,FALSE)*VLOOKUP($S85,Frequenties[],3,FALSE)*VLOOKUP($A85,Locaties[],3,FALSE),0)</f>
        <v>0</v>
      </c>
      <c r="V85" s="322">
        <f>Ruimtestaat[[#This Row],[Uitvoeringen werkdagen]]*Ruimtestaat[[#This Row],[Oppervlak (netto)]]</f>
        <v>1000</v>
      </c>
      <c r="W85" s="323">
        <f>IF(U85&gt;0,Ruimtestaat[[#This Row],[Prest. (m2 /jaar) werkdagen]]/Ruimtestaat[[#This Row],[Norm (m2/uur) werkdagen]],0)</f>
        <v>0</v>
      </c>
      <c r="X85" s="324">
        <f>Ruimtestaat[[#This Row],[uren / jaar werkdagen]]*Tariefsopbouw!$E$35</f>
        <v>0</v>
      </c>
      <c r="Y85" s="321"/>
      <c r="Z85" s="325">
        <f>IF(Ruimtestaat[[#This Row],[Frequentie weekend]]&gt;0,VALUE(LEFT(Y85,1))*R85,0)</f>
        <v>0</v>
      </c>
      <c r="AA85" s="321">
        <f>IF($Z85&gt;0,VLOOKUP($J85,Ruimtegroepen[],3,FALSE)*VLOOKUP($L85,Vloersoorten[],3,FALSE)*VLOOKUP($Y85,Frequenties[],3,FALSE)*VLOOKUP($A81,Locaties[],3,FALSE),0)</f>
        <v>0</v>
      </c>
      <c r="AB85" s="323">
        <f>Ruimtestaat[[#This Row],[Uitvoeringen weekend]]*Ruimtestaat[[#This Row],[Oppervlak (netto)]]</f>
        <v>0</v>
      </c>
      <c r="AC85" s="326">
        <f>IF(AB85&gt;0,Ruimtestaat[[#This Row],[Prest. (m2 /jaar) weekend]]/Ruimtestaat[[#This Row],[Norm (m2/uur) weekend]],0)</f>
        <v>0</v>
      </c>
      <c r="AD85" s="327">
        <f>Ruimtestaat[[#This Row],[uren / jaar weekend]]*Tariefsopbouw!$D$40</f>
        <v>0</v>
      </c>
      <c r="AE85" s="328">
        <f>Ruimtestaat[[#This Row],[Prest. (m2 /jaar) weekend]]+Ruimtestaat[[#This Row],[Prest. (m2 /jaar) werkdagen]]</f>
        <v>1000</v>
      </c>
      <c r="AF85" s="328">
        <f>Ruimtestaat[[#This Row],[uren / jaar weekend]]+Ruimtestaat[[#This Row],[uren / jaar werkdagen]]</f>
        <v>0</v>
      </c>
      <c r="AG85" s="329">
        <f>Ruimtestaat[[#This Row],[kosten / jaar weekend]]+Ruimtestaat[[#This Row],[kosten / jaar werkdagen]]</f>
        <v>0</v>
      </c>
      <c r="AH85" s="330"/>
      <c r="HL85" s="297"/>
    </row>
    <row r="86" spans="1:220" ht="15" customHeight="1">
      <c r="A86" s="271">
        <v>1</v>
      </c>
      <c r="B86" s="271" t="str">
        <f>VLOOKUP(Ruimtestaat[[#This Row],[Code]],Locaties[#All],2,FALSE)</f>
        <v>Hoofdgebouw</v>
      </c>
      <c r="C86" s="271" t="str">
        <f>VLOOKUP(Ruimtestaat[[#This Row],[Code]],Locaties[#All],4,FALSE)</f>
        <v>Sterrenlaan 16</v>
      </c>
      <c r="D86" s="271" t="str">
        <f>VLOOKUP(Ruimtestaat[[#This Row],[Code]],Locaties[#All],5,FALSE)</f>
        <v>5631 KA</v>
      </c>
      <c r="E86" s="271" t="str">
        <f>VLOOKUP(Ruimtestaat[[#This Row],[Code]],Locaties[#All],6,FALSE)</f>
        <v>Eindhoven</v>
      </c>
      <c r="F86" s="318"/>
      <c r="G86" s="271" t="s">
        <v>589</v>
      </c>
      <c r="H86" s="334" t="s">
        <v>602</v>
      </c>
      <c r="I86" s="228" t="s">
        <v>603</v>
      </c>
      <c r="J86" s="271">
        <v>20</v>
      </c>
      <c r="K86" s="318" t="str">
        <f>VLOOKUP(J86,Ruimtegroepen[],2,FALSE)</f>
        <v>Niet in onderhoud</v>
      </c>
      <c r="L86" s="271" t="s">
        <v>113</v>
      </c>
      <c r="M86" s="271" t="s">
        <v>373</v>
      </c>
      <c r="N86" s="319"/>
      <c r="O86" s="319">
        <v>13</v>
      </c>
      <c r="P86" s="320" t="str">
        <f>LEFT(VLOOKUP(Ruimtestaat[[#This Row],[Ruimte code]],Ruimtegroepen[#All],4,1),2)</f>
        <v/>
      </c>
      <c r="Q86" s="319"/>
      <c r="R86" s="271"/>
      <c r="S86" s="271"/>
      <c r="T86" s="321">
        <f>IF(R86&gt;0,IF(RIGHT(Ruimtestaat[[#This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6" s="321">
        <f>IF(T86&gt;0,VLOOKUP($J86,Ruimtegroepen[],3,FALSE)*VLOOKUP($L86,Vloersoorten[],3,FALSE)*VLOOKUP($S86,Frequenties[],3,FALSE)*VLOOKUP($A86,Locaties[],3,FALSE),0)</f>
        <v>0</v>
      </c>
      <c r="V86" s="322">
        <f>Ruimtestaat[[#This Row],[Uitvoeringen werkdagen]]*Ruimtestaat[[#This Row],[Oppervlak (netto)]]</f>
        <v>0</v>
      </c>
      <c r="W86" s="323">
        <f>IF(U86&gt;0,Ruimtestaat[[#This Row],[Prest. (m2 /jaar) werkdagen]]/Ruimtestaat[[#This Row],[Norm (m2/uur) werkdagen]],0)</f>
        <v>0</v>
      </c>
      <c r="X86" s="324">
        <f>Ruimtestaat[[#This Row],[uren / jaar werkdagen]]*Tariefsopbouw!$E$35</f>
        <v>0</v>
      </c>
      <c r="Y86" s="321"/>
      <c r="Z86" s="325">
        <f>IF(Ruimtestaat[[#This Row],[Frequentie weekend]]&gt;0,VALUE(LEFT(Y86,1))*R86,0)</f>
        <v>0</v>
      </c>
      <c r="AA86" s="321">
        <f>IF($Z86&gt;0,VLOOKUP($J86,Ruimtegroepen[],3,FALSE)*VLOOKUP($L86,Vloersoorten[],3,FALSE)*VLOOKUP($Y86,Frequenties[],3,FALSE)*VLOOKUP($A82,Locaties[],3,FALSE),0)</f>
        <v>0</v>
      </c>
      <c r="AB86" s="323">
        <f>Ruimtestaat[[#This Row],[Uitvoeringen weekend]]*Ruimtestaat[[#This Row],[Oppervlak (netto)]]</f>
        <v>0</v>
      </c>
      <c r="AC86" s="326">
        <f>IF(AB86&gt;0,Ruimtestaat[[#This Row],[Prest. (m2 /jaar) weekend]]/Ruimtestaat[[#This Row],[Norm (m2/uur) weekend]],0)</f>
        <v>0</v>
      </c>
      <c r="AD86" s="327">
        <f>Ruimtestaat[[#This Row],[uren / jaar weekend]]*Tariefsopbouw!$D$40</f>
        <v>0</v>
      </c>
      <c r="AE86" s="328">
        <f>Ruimtestaat[[#This Row],[Prest. (m2 /jaar) weekend]]+Ruimtestaat[[#This Row],[Prest. (m2 /jaar) werkdagen]]</f>
        <v>0</v>
      </c>
      <c r="AF86" s="328">
        <f>Ruimtestaat[[#This Row],[uren / jaar weekend]]+Ruimtestaat[[#This Row],[uren / jaar werkdagen]]</f>
        <v>0</v>
      </c>
      <c r="AG86" s="329">
        <f>Ruimtestaat[[#This Row],[kosten / jaar weekend]]+Ruimtestaat[[#This Row],[kosten / jaar werkdagen]]</f>
        <v>0</v>
      </c>
      <c r="AH86" s="330"/>
      <c r="HL86" s="297"/>
    </row>
    <row r="87" spans="1:220" ht="15" customHeight="1">
      <c r="A87" s="271">
        <v>1</v>
      </c>
      <c r="B87" s="271" t="str">
        <f>VLOOKUP(Ruimtestaat[[#This Row],[Code]],Locaties[#All],2,FALSE)</f>
        <v>Hoofdgebouw</v>
      </c>
      <c r="C87" s="271" t="str">
        <f>VLOOKUP(Ruimtestaat[[#This Row],[Code]],Locaties[#All],4,FALSE)</f>
        <v>Sterrenlaan 16</v>
      </c>
      <c r="D87" s="271" t="str">
        <f>VLOOKUP(Ruimtestaat[[#This Row],[Code]],Locaties[#All],5,FALSE)</f>
        <v>5631 KA</v>
      </c>
      <c r="E87" s="271" t="str">
        <f>VLOOKUP(Ruimtestaat[[#This Row],[Code]],Locaties[#All],6,FALSE)</f>
        <v>Eindhoven</v>
      </c>
      <c r="F87" s="318"/>
      <c r="G87" s="271" t="s">
        <v>589</v>
      </c>
      <c r="H87" s="334" t="s">
        <v>604</v>
      </c>
      <c r="I87" s="228" t="s">
        <v>72</v>
      </c>
      <c r="J87" s="271">
        <v>18</v>
      </c>
      <c r="K87" s="318" t="str">
        <f>VLOOKUP(J87,Ruimtegroepen[],2,FALSE)</f>
        <v>Gymzaal</v>
      </c>
      <c r="L87" s="271" t="s">
        <v>698</v>
      </c>
      <c r="M87" s="271" t="s">
        <v>704</v>
      </c>
      <c r="N87" s="319">
        <v>317</v>
      </c>
      <c r="O87" s="319"/>
      <c r="P87" s="320" t="str">
        <f>LEFT(VLOOKUP(Ruimtestaat[[#This Row],[Ruimte code]],Ruimtegroepen[#All],4,1),2)</f>
        <v>Sp</v>
      </c>
      <c r="Q87" s="320"/>
      <c r="R87" s="271">
        <v>40</v>
      </c>
      <c r="S87" s="271" t="s">
        <v>2</v>
      </c>
      <c r="T87" s="321">
        <f>IF(R87&gt;0,IF(RIGHT(Ruimtestaat[[#This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" s="321">
        <f>IF(T87&gt;0,VLOOKUP($J87,Ruimtegroepen[],3,FALSE)*VLOOKUP($L87,Vloersoorten[],3,FALSE)*VLOOKUP($S87,Frequenties[],3,FALSE)*VLOOKUP($A87,Locaties[],3,FALSE),0)</f>
        <v>0</v>
      </c>
      <c r="V87" s="322">
        <f>Ruimtestaat[[#This Row],[Uitvoeringen werkdagen]]*Ruimtestaat[[#This Row],[Oppervlak (netto)]]</f>
        <v>63400</v>
      </c>
      <c r="W87" s="323">
        <f>IF(U87&gt;0,Ruimtestaat[[#This Row],[Prest. (m2 /jaar) werkdagen]]/Ruimtestaat[[#This Row],[Norm (m2/uur) werkdagen]],0)</f>
        <v>0</v>
      </c>
      <c r="X87" s="324">
        <f>Ruimtestaat[[#This Row],[uren / jaar werkdagen]]*Tariefsopbouw!$E$35</f>
        <v>0</v>
      </c>
      <c r="Y87" s="321"/>
      <c r="Z87" s="325">
        <f>IF(Ruimtestaat[[#This Row],[Frequentie weekend]]&gt;0,VALUE(LEFT(Y87,1))*R87,0)</f>
        <v>0</v>
      </c>
      <c r="AA87" s="321">
        <f>IF($Z87&gt;0,VLOOKUP($J87,Ruimtegroepen[],3,FALSE)*VLOOKUP($L87,Vloersoorten[],3,FALSE)*VLOOKUP($Y87,Frequenties[],3,FALSE)*VLOOKUP($A83,Locaties[],3,FALSE),0)</f>
        <v>0</v>
      </c>
      <c r="AB87" s="323">
        <f>Ruimtestaat[[#This Row],[Uitvoeringen weekend]]*Ruimtestaat[[#This Row],[Oppervlak (netto)]]</f>
        <v>0</v>
      </c>
      <c r="AC87" s="326">
        <f>IF(AB87&gt;0,Ruimtestaat[[#This Row],[Prest. (m2 /jaar) weekend]]/Ruimtestaat[[#This Row],[Norm (m2/uur) weekend]],0)</f>
        <v>0</v>
      </c>
      <c r="AD87" s="327">
        <f>Ruimtestaat[[#This Row],[uren / jaar weekend]]*Tariefsopbouw!$D$40</f>
        <v>0</v>
      </c>
      <c r="AE87" s="328">
        <f>Ruimtestaat[[#This Row],[Prest. (m2 /jaar) weekend]]+Ruimtestaat[[#This Row],[Prest. (m2 /jaar) werkdagen]]</f>
        <v>63400</v>
      </c>
      <c r="AF87" s="328">
        <f>Ruimtestaat[[#This Row],[uren / jaar weekend]]+Ruimtestaat[[#This Row],[uren / jaar werkdagen]]</f>
        <v>0</v>
      </c>
      <c r="AG87" s="329">
        <f>Ruimtestaat[[#This Row],[kosten / jaar weekend]]+Ruimtestaat[[#This Row],[kosten / jaar werkdagen]]</f>
        <v>0</v>
      </c>
      <c r="AH87" s="330"/>
      <c r="HL87" s="297"/>
    </row>
    <row r="88" spans="1:220" ht="15" customHeight="1">
      <c r="A88" s="271">
        <v>1</v>
      </c>
      <c r="B88" s="271" t="str">
        <f>VLOOKUP(Ruimtestaat[[#This Row],[Code]],Locaties[#All],2,FALSE)</f>
        <v>Hoofdgebouw</v>
      </c>
      <c r="C88" s="271" t="str">
        <f>VLOOKUP(Ruimtestaat[[#This Row],[Code]],Locaties[#All],4,FALSE)</f>
        <v>Sterrenlaan 16</v>
      </c>
      <c r="D88" s="271" t="str">
        <f>VLOOKUP(Ruimtestaat[[#This Row],[Code]],Locaties[#All],5,FALSE)</f>
        <v>5631 KA</v>
      </c>
      <c r="E88" s="271" t="str">
        <f>VLOOKUP(Ruimtestaat[[#This Row],[Code]],Locaties[#All],6,FALSE)</f>
        <v>Eindhoven</v>
      </c>
      <c r="F88" s="318"/>
      <c r="G88" s="271" t="s">
        <v>589</v>
      </c>
      <c r="H88" s="334" t="s">
        <v>605</v>
      </c>
      <c r="I88" s="228" t="s">
        <v>606</v>
      </c>
      <c r="J88" s="271">
        <v>2</v>
      </c>
      <c r="K88" s="318" t="str">
        <f>VLOOKUP(J88,Ruimtegroepen[],2,FALSE)</f>
        <v>Kantoren</v>
      </c>
      <c r="L88" s="271" t="s">
        <v>113</v>
      </c>
      <c r="M88" s="271" t="s">
        <v>373</v>
      </c>
      <c r="N88" s="319">
        <v>13</v>
      </c>
      <c r="O88" s="319"/>
      <c r="P88" s="320" t="str">
        <f>LEFT(VLOOKUP(Ruimtestaat[[#This Row],[Ruimte code]],Ruimtegroepen[#All],4,1),2)</f>
        <v xml:space="preserve">B </v>
      </c>
      <c r="Q88" s="320"/>
      <c r="R88" s="271">
        <v>40</v>
      </c>
      <c r="S88" s="271" t="s">
        <v>17</v>
      </c>
      <c r="T88" s="321">
        <f>IF(R88&gt;0,IF(RIGHT(Ruimtestaat[[#This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88" s="321">
        <f>IF(T88&gt;0,VLOOKUP($J88,Ruimtegroepen[],3,FALSE)*VLOOKUP($L88,Vloersoorten[],3,FALSE)*VLOOKUP($S88,Frequenties[],3,FALSE)*VLOOKUP($A88,Locaties[],3,FALSE),0)</f>
        <v>0</v>
      </c>
      <c r="V88" s="322">
        <f>Ruimtestaat[[#This Row],[Uitvoeringen werkdagen]]*Ruimtestaat[[#This Row],[Oppervlak (netto)]]</f>
        <v>1040</v>
      </c>
      <c r="W88" s="323">
        <f>IF(U88&gt;0,Ruimtestaat[[#This Row],[Prest. (m2 /jaar) werkdagen]]/Ruimtestaat[[#This Row],[Norm (m2/uur) werkdagen]],0)</f>
        <v>0</v>
      </c>
      <c r="X88" s="324">
        <f>Ruimtestaat[[#This Row],[uren / jaar werkdagen]]*Tariefsopbouw!$E$35</f>
        <v>0</v>
      </c>
      <c r="Y88" s="321"/>
      <c r="Z88" s="325">
        <f>IF(Ruimtestaat[[#This Row],[Frequentie weekend]]&gt;0,VALUE(LEFT(Y88,1))*R88,0)</f>
        <v>0</v>
      </c>
      <c r="AA88" s="321">
        <f>IF($Z88&gt;0,VLOOKUP($J88,Ruimtegroepen[],3,FALSE)*VLOOKUP($L88,Vloersoorten[],3,FALSE)*VLOOKUP($Y88,Frequenties[],3,FALSE)*VLOOKUP($A84,Locaties[],3,FALSE),0)</f>
        <v>0</v>
      </c>
      <c r="AB88" s="323">
        <f>Ruimtestaat[[#This Row],[Uitvoeringen weekend]]*Ruimtestaat[[#This Row],[Oppervlak (netto)]]</f>
        <v>0</v>
      </c>
      <c r="AC88" s="326">
        <f>IF(AB88&gt;0,Ruimtestaat[[#This Row],[Prest. (m2 /jaar) weekend]]/Ruimtestaat[[#This Row],[Norm (m2/uur) weekend]],0)</f>
        <v>0</v>
      </c>
      <c r="AD88" s="327">
        <f>Ruimtestaat[[#This Row],[uren / jaar weekend]]*Tariefsopbouw!$D$40</f>
        <v>0</v>
      </c>
      <c r="AE88" s="328">
        <f>Ruimtestaat[[#This Row],[Prest. (m2 /jaar) weekend]]+Ruimtestaat[[#This Row],[Prest. (m2 /jaar) werkdagen]]</f>
        <v>1040</v>
      </c>
      <c r="AF88" s="328">
        <f>Ruimtestaat[[#This Row],[uren / jaar weekend]]+Ruimtestaat[[#This Row],[uren / jaar werkdagen]]</f>
        <v>0</v>
      </c>
      <c r="AG88" s="329">
        <f>Ruimtestaat[[#This Row],[kosten / jaar weekend]]+Ruimtestaat[[#This Row],[kosten / jaar werkdagen]]</f>
        <v>0</v>
      </c>
      <c r="AH88" s="330"/>
      <c r="HL88" s="297"/>
    </row>
    <row r="89" spans="1:220" ht="15" customHeight="1">
      <c r="A89" s="271">
        <v>1</v>
      </c>
      <c r="B89" s="271" t="str">
        <f>VLOOKUP(Ruimtestaat[[#This Row],[Code]],Locaties[#All],2,FALSE)</f>
        <v>Hoofdgebouw</v>
      </c>
      <c r="C89" s="271" t="str">
        <f>VLOOKUP(Ruimtestaat[[#This Row],[Code]],Locaties[#All],4,FALSE)</f>
        <v>Sterrenlaan 16</v>
      </c>
      <c r="D89" s="271" t="str">
        <f>VLOOKUP(Ruimtestaat[[#This Row],[Code]],Locaties[#All],5,FALSE)</f>
        <v>5631 KA</v>
      </c>
      <c r="E89" s="271" t="str">
        <f>VLOOKUP(Ruimtestaat[[#This Row],[Code]],Locaties[#All],6,FALSE)</f>
        <v>Eindhoven</v>
      </c>
      <c r="F89" s="318"/>
      <c r="G89" s="271" t="s">
        <v>589</v>
      </c>
      <c r="H89" s="334" t="s">
        <v>607</v>
      </c>
      <c r="I89" s="228" t="s">
        <v>608</v>
      </c>
      <c r="J89" s="271">
        <v>20</v>
      </c>
      <c r="K89" s="318" t="str">
        <f>VLOOKUP(J89,Ruimtegroepen[],2,FALSE)</f>
        <v>Niet in onderhoud</v>
      </c>
      <c r="L89" s="271" t="s">
        <v>115</v>
      </c>
      <c r="M89" s="271" t="s">
        <v>704</v>
      </c>
      <c r="N89" s="319"/>
      <c r="O89" s="319">
        <v>27</v>
      </c>
      <c r="P89" s="320" t="str">
        <f>LEFT(VLOOKUP(Ruimtestaat[[#This Row],[Ruimte code]],Ruimtegroepen[#All],4,1),2)</f>
        <v/>
      </c>
      <c r="Q89" s="320"/>
      <c r="R89" s="271"/>
      <c r="S89" s="271"/>
      <c r="T89" s="321">
        <f>IF(R89&gt;0,IF(RIGHT(Ruimtestaat[[#This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9" s="321">
        <f>IF(T89&gt;0,VLOOKUP($J89,Ruimtegroepen[],3,FALSE)*VLOOKUP($L89,Vloersoorten[],3,FALSE)*VLOOKUP($S89,Frequenties[],3,FALSE)*VLOOKUP($A89,Locaties[],3,FALSE),0)</f>
        <v>0</v>
      </c>
      <c r="V89" s="322">
        <f>Ruimtestaat[[#This Row],[Uitvoeringen werkdagen]]*Ruimtestaat[[#This Row],[Oppervlak (netto)]]</f>
        <v>0</v>
      </c>
      <c r="W89" s="323">
        <f>IF(U89&gt;0,Ruimtestaat[[#This Row],[Prest. (m2 /jaar) werkdagen]]/Ruimtestaat[[#This Row],[Norm (m2/uur) werkdagen]],0)</f>
        <v>0</v>
      </c>
      <c r="X89" s="324">
        <f>Ruimtestaat[[#This Row],[uren / jaar werkdagen]]*Tariefsopbouw!$E$35</f>
        <v>0</v>
      </c>
      <c r="Y89" s="321"/>
      <c r="Z89" s="325">
        <f>IF(Ruimtestaat[[#This Row],[Frequentie weekend]]&gt;0,VALUE(LEFT(Y89,1))*R89,0)</f>
        <v>0</v>
      </c>
      <c r="AA89" s="321">
        <f>IF($Z89&gt;0,VLOOKUP($J89,Ruimtegroepen[],3,FALSE)*VLOOKUP($L89,Vloersoorten[],3,FALSE)*VLOOKUP($Y89,Frequenties[],3,FALSE)*VLOOKUP($A84,Locaties[],3,FALSE),0)</f>
        <v>0</v>
      </c>
      <c r="AB89" s="323">
        <f>Ruimtestaat[[#This Row],[Uitvoeringen weekend]]*Ruimtestaat[[#This Row],[Oppervlak (netto)]]</f>
        <v>0</v>
      </c>
      <c r="AC89" s="326">
        <f>IF(AB89&gt;0,Ruimtestaat[[#This Row],[Prest. (m2 /jaar) weekend]]/Ruimtestaat[[#This Row],[Norm (m2/uur) weekend]],0)</f>
        <v>0</v>
      </c>
      <c r="AD89" s="327">
        <f>Ruimtestaat[[#This Row],[uren / jaar weekend]]*Tariefsopbouw!$D$40</f>
        <v>0</v>
      </c>
      <c r="AE89" s="328">
        <f>Ruimtestaat[[#This Row],[Prest. (m2 /jaar) weekend]]+Ruimtestaat[[#This Row],[Prest. (m2 /jaar) werkdagen]]</f>
        <v>0</v>
      </c>
      <c r="AF89" s="328">
        <f>Ruimtestaat[[#This Row],[uren / jaar weekend]]+Ruimtestaat[[#This Row],[uren / jaar werkdagen]]</f>
        <v>0</v>
      </c>
      <c r="AG89" s="329">
        <f>Ruimtestaat[[#This Row],[kosten / jaar weekend]]+Ruimtestaat[[#This Row],[kosten / jaar werkdagen]]</f>
        <v>0</v>
      </c>
      <c r="AH89" s="330"/>
      <c r="HL89" s="297"/>
    </row>
    <row r="90" spans="1:220" ht="15" customHeight="1">
      <c r="A90" s="271">
        <v>1</v>
      </c>
      <c r="B90" s="271" t="str">
        <f>VLOOKUP(Ruimtestaat[[#This Row],[Code]],Locaties[#All],2,FALSE)</f>
        <v>Hoofdgebouw</v>
      </c>
      <c r="C90" s="271" t="str">
        <f>VLOOKUP(Ruimtestaat[[#This Row],[Code]],Locaties[#All],4,FALSE)</f>
        <v>Sterrenlaan 16</v>
      </c>
      <c r="D90" s="271" t="str">
        <f>VLOOKUP(Ruimtestaat[[#This Row],[Code]],Locaties[#All],5,FALSE)</f>
        <v>5631 KA</v>
      </c>
      <c r="E90" s="271" t="str">
        <f>VLOOKUP(Ruimtestaat[[#This Row],[Code]],Locaties[#All],6,FALSE)</f>
        <v>Eindhoven</v>
      </c>
      <c r="F90" s="318"/>
      <c r="G90" s="271" t="s">
        <v>589</v>
      </c>
      <c r="H90" s="334" t="s">
        <v>609</v>
      </c>
      <c r="I90" s="228" t="s">
        <v>509</v>
      </c>
      <c r="J90" s="271">
        <v>20</v>
      </c>
      <c r="K90" s="318" t="str">
        <f>VLOOKUP(J90,Ruimtegroepen[],2,FALSE)</f>
        <v>Niet in onderhoud</v>
      </c>
      <c r="L90" s="271" t="s">
        <v>114</v>
      </c>
      <c r="M90" s="271" t="s">
        <v>134</v>
      </c>
      <c r="N90" s="319"/>
      <c r="O90" s="319"/>
      <c r="P90" s="320" t="str">
        <f>LEFT(VLOOKUP(Ruimtestaat[[#This Row],[Ruimte code]],Ruimtegroepen[#All],4,1),2)</f>
        <v/>
      </c>
      <c r="Q90" s="320"/>
      <c r="R90" s="271"/>
      <c r="S90" s="271"/>
      <c r="T90" s="321">
        <f>IF(R90&gt;0,IF(RIGHT(Ruimtestaat[[#This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0" s="321">
        <f>IF(T90&gt;0,VLOOKUP($J90,Ruimtegroepen[],3,FALSE)*VLOOKUP($L90,Vloersoorten[],3,FALSE)*VLOOKUP($S90,Frequenties[],3,FALSE)*VLOOKUP($A90,Locaties[],3,FALSE),0)</f>
        <v>0</v>
      </c>
      <c r="V90" s="322">
        <f>Ruimtestaat[[#This Row],[Uitvoeringen werkdagen]]*Ruimtestaat[[#This Row],[Oppervlak (netto)]]</f>
        <v>0</v>
      </c>
      <c r="W90" s="323">
        <f>IF(U90&gt;0,Ruimtestaat[[#This Row],[Prest. (m2 /jaar) werkdagen]]/Ruimtestaat[[#This Row],[Norm (m2/uur) werkdagen]],0)</f>
        <v>0</v>
      </c>
      <c r="X90" s="324">
        <f>Ruimtestaat[[#This Row],[uren / jaar werkdagen]]*Tariefsopbouw!$E$35</f>
        <v>0</v>
      </c>
      <c r="Y90" s="321"/>
      <c r="Z90" s="325">
        <f>IF(Ruimtestaat[[#This Row],[Frequentie weekend]]&gt;0,VALUE(LEFT(Y90,1))*R90,0)</f>
        <v>0</v>
      </c>
      <c r="AA90" s="321">
        <f>IF($Z90&gt;0,VLOOKUP($J90,Ruimtegroepen[],3,FALSE)*VLOOKUP($L90,Vloersoorten[],3,FALSE)*VLOOKUP($Y90,Frequenties[],3,FALSE)*VLOOKUP($A85,Locaties[],3,FALSE),0)</f>
        <v>0</v>
      </c>
      <c r="AB90" s="323">
        <f>Ruimtestaat[[#This Row],[Uitvoeringen weekend]]*Ruimtestaat[[#This Row],[Oppervlak (netto)]]</f>
        <v>0</v>
      </c>
      <c r="AC90" s="326">
        <f>IF(AB90&gt;0,Ruimtestaat[[#This Row],[Prest. (m2 /jaar) weekend]]/Ruimtestaat[[#This Row],[Norm (m2/uur) weekend]],0)</f>
        <v>0</v>
      </c>
      <c r="AD90" s="327">
        <f>Ruimtestaat[[#This Row],[uren / jaar weekend]]*Tariefsopbouw!$D$40</f>
        <v>0</v>
      </c>
      <c r="AE90" s="328">
        <f>Ruimtestaat[[#This Row],[Prest. (m2 /jaar) weekend]]+Ruimtestaat[[#This Row],[Prest. (m2 /jaar) werkdagen]]</f>
        <v>0</v>
      </c>
      <c r="AF90" s="328">
        <f>Ruimtestaat[[#This Row],[uren / jaar weekend]]+Ruimtestaat[[#This Row],[uren / jaar werkdagen]]</f>
        <v>0</v>
      </c>
      <c r="AG90" s="329">
        <f>Ruimtestaat[[#This Row],[kosten / jaar weekend]]+Ruimtestaat[[#This Row],[kosten / jaar werkdagen]]</f>
        <v>0</v>
      </c>
      <c r="AH90" s="330"/>
      <c r="HL90" s="297"/>
    </row>
    <row r="91" spans="1:220" ht="15" customHeight="1">
      <c r="A91" s="271">
        <v>1</v>
      </c>
      <c r="B91" s="271" t="str">
        <f>VLOOKUP(Ruimtestaat[[#This Row],[Code]],Locaties[#All],2,FALSE)</f>
        <v>Hoofdgebouw</v>
      </c>
      <c r="C91" s="271" t="str">
        <f>VLOOKUP(Ruimtestaat[[#This Row],[Code]],Locaties[#All],4,FALSE)</f>
        <v>Sterrenlaan 16</v>
      </c>
      <c r="D91" s="271" t="str">
        <f>VLOOKUP(Ruimtestaat[[#This Row],[Code]],Locaties[#All],5,FALSE)</f>
        <v>5631 KA</v>
      </c>
      <c r="E91" s="271" t="str">
        <f>VLOOKUP(Ruimtestaat[[#This Row],[Code]],Locaties[#All],6,FALSE)</f>
        <v>Eindhoven</v>
      </c>
      <c r="F91" s="318"/>
      <c r="G91" s="271" t="s">
        <v>589</v>
      </c>
      <c r="H91" s="334" t="s">
        <v>610</v>
      </c>
      <c r="I91" s="228" t="s">
        <v>611</v>
      </c>
      <c r="J91" s="271">
        <v>5</v>
      </c>
      <c r="K91" s="318" t="str">
        <f>VLOOKUP(J91,Ruimtegroepen[],2,FALSE)</f>
        <v>Sanitair</v>
      </c>
      <c r="L91" s="271" t="s">
        <v>114</v>
      </c>
      <c r="M91" s="271" t="s">
        <v>700</v>
      </c>
      <c r="N91" s="319">
        <v>12</v>
      </c>
      <c r="O91" s="319"/>
      <c r="P91" s="320" t="str">
        <f>LEFT(VLOOKUP(Ruimtestaat[[#This Row],[Ruimte code]],Ruimtegroepen[#All],4,1),2)</f>
        <v xml:space="preserve">S </v>
      </c>
      <c r="Q91" s="320"/>
      <c r="R91" s="271">
        <v>42</v>
      </c>
      <c r="S91" s="271" t="s">
        <v>2</v>
      </c>
      <c r="T91" s="321">
        <f>IF(R91&gt;0,IF(RIGHT(Ruimtestaat[[#This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91" s="321">
        <f>IF(T91&gt;0,VLOOKUP($J91,Ruimtegroepen[],3,FALSE)*VLOOKUP($L91,Vloersoorten[],3,FALSE)*VLOOKUP($S91,Frequenties[],3,FALSE)*VLOOKUP($A91,Locaties[],3,FALSE),0)</f>
        <v>0</v>
      </c>
      <c r="V91" s="322">
        <f>Ruimtestaat[[#This Row],[Uitvoeringen werkdagen]]*Ruimtestaat[[#This Row],[Oppervlak (netto)]]</f>
        <v>2520</v>
      </c>
      <c r="W91" s="323">
        <f>IF(U91&gt;0,Ruimtestaat[[#This Row],[Prest. (m2 /jaar) werkdagen]]/Ruimtestaat[[#This Row],[Norm (m2/uur) werkdagen]],0)</f>
        <v>0</v>
      </c>
      <c r="X91" s="324">
        <f>Ruimtestaat[[#This Row],[uren / jaar werkdagen]]*Tariefsopbouw!$E$35</f>
        <v>0</v>
      </c>
      <c r="Y91" s="321"/>
      <c r="Z91" s="325">
        <f>IF(Ruimtestaat[[#This Row],[Frequentie weekend]]&gt;0,VALUE(LEFT(Y91,1))*R91,0)</f>
        <v>0</v>
      </c>
      <c r="AA91" s="321">
        <f>IF($Z91&gt;0,VLOOKUP($J91,Ruimtegroepen[],3,FALSE)*VLOOKUP($L91,Vloersoorten[],3,FALSE)*VLOOKUP($Y91,Frequenties[],3,FALSE)*VLOOKUP($A86,Locaties[],3,FALSE),0)</f>
        <v>0</v>
      </c>
      <c r="AB91" s="323">
        <f>Ruimtestaat[[#This Row],[Uitvoeringen weekend]]*Ruimtestaat[[#This Row],[Oppervlak (netto)]]</f>
        <v>0</v>
      </c>
      <c r="AC91" s="326">
        <f>IF(AB91&gt;0,Ruimtestaat[[#This Row],[Prest. (m2 /jaar) weekend]]/Ruimtestaat[[#This Row],[Norm (m2/uur) weekend]],0)</f>
        <v>0</v>
      </c>
      <c r="AD91" s="327">
        <f>Ruimtestaat[[#This Row],[uren / jaar weekend]]*Tariefsopbouw!$D$40</f>
        <v>0</v>
      </c>
      <c r="AE91" s="328">
        <f>Ruimtestaat[[#This Row],[Prest. (m2 /jaar) weekend]]+Ruimtestaat[[#This Row],[Prest. (m2 /jaar) werkdagen]]</f>
        <v>2520</v>
      </c>
      <c r="AF91" s="328">
        <f>Ruimtestaat[[#This Row],[uren / jaar weekend]]+Ruimtestaat[[#This Row],[uren / jaar werkdagen]]</f>
        <v>0</v>
      </c>
      <c r="AG91" s="329">
        <f>Ruimtestaat[[#This Row],[kosten / jaar weekend]]+Ruimtestaat[[#This Row],[kosten / jaar werkdagen]]</f>
        <v>0</v>
      </c>
      <c r="AH91" s="330"/>
      <c r="HL91" s="297"/>
    </row>
    <row r="92" spans="1:220" ht="15" customHeight="1">
      <c r="A92" s="271">
        <v>1</v>
      </c>
      <c r="B92" s="271" t="str">
        <f>VLOOKUP(Ruimtestaat[[#This Row],[Code]],Locaties[#All],2,FALSE)</f>
        <v>Hoofdgebouw</v>
      </c>
      <c r="C92" s="271" t="str">
        <f>VLOOKUP(Ruimtestaat[[#This Row],[Code]],Locaties[#All],4,FALSE)</f>
        <v>Sterrenlaan 16</v>
      </c>
      <c r="D92" s="271" t="str">
        <f>VLOOKUP(Ruimtestaat[[#This Row],[Code]],Locaties[#All],5,FALSE)</f>
        <v>5631 KA</v>
      </c>
      <c r="E92" s="271" t="str">
        <f>VLOOKUP(Ruimtestaat[[#This Row],[Code]],Locaties[#All],6,FALSE)</f>
        <v>Eindhoven</v>
      </c>
      <c r="F92" s="318"/>
      <c r="G92" s="271" t="s">
        <v>589</v>
      </c>
      <c r="H92" s="334" t="s">
        <v>612</v>
      </c>
      <c r="I92" s="228" t="s">
        <v>613</v>
      </c>
      <c r="J92" s="271">
        <v>19</v>
      </c>
      <c r="K92" s="318" t="str">
        <f>VLOOKUP(J92,Ruimtegroepen[],2,FALSE)</f>
        <v>Kleedruimten</v>
      </c>
      <c r="L92" s="271" t="s">
        <v>114</v>
      </c>
      <c r="M92" s="271" t="s">
        <v>700</v>
      </c>
      <c r="N92" s="319">
        <v>24</v>
      </c>
      <c r="O92" s="319"/>
      <c r="P92" s="320" t="str">
        <f>LEFT(VLOOKUP(Ruimtestaat[[#This Row],[Ruimte code]],Ruimtegroepen[#All],4,1),2)</f>
        <v xml:space="preserve">V </v>
      </c>
      <c r="Q92" s="320"/>
      <c r="R92" s="271">
        <v>40</v>
      </c>
      <c r="S92" s="271" t="s">
        <v>2</v>
      </c>
      <c r="T92" s="321">
        <f>IF(R92&gt;0,IF(RIGHT(Ruimtestaat[[#This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" s="321">
        <f>IF(T92&gt;0,VLOOKUP($J92,Ruimtegroepen[],3,FALSE)*VLOOKUP($L92,Vloersoorten[],3,FALSE)*VLOOKUP($S92,Frequenties[],3,FALSE)*VLOOKUP($A92,Locaties[],3,FALSE),0)</f>
        <v>0</v>
      </c>
      <c r="V92" s="322">
        <f>Ruimtestaat[[#This Row],[Uitvoeringen werkdagen]]*Ruimtestaat[[#This Row],[Oppervlak (netto)]]</f>
        <v>4800</v>
      </c>
      <c r="W92" s="323">
        <f>IF(U92&gt;0,Ruimtestaat[[#This Row],[Prest. (m2 /jaar) werkdagen]]/Ruimtestaat[[#This Row],[Norm (m2/uur) werkdagen]],0)</f>
        <v>0</v>
      </c>
      <c r="X92" s="324">
        <f>Ruimtestaat[[#This Row],[uren / jaar werkdagen]]*Tariefsopbouw!$E$35</f>
        <v>0</v>
      </c>
      <c r="Y92" s="321"/>
      <c r="Z92" s="325">
        <f>IF(Ruimtestaat[[#This Row],[Frequentie weekend]]&gt;0,VALUE(LEFT(Y92,1))*R92,0)</f>
        <v>0</v>
      </c>
      <c r="AA92" s="321">
        <f>IF($Z92&gt;0,VLOOKUP($J92,Ruimtegroepen[],3,FALSE)*VLOOKUP($L92,Vloersoorten[],3,FALSE)*VLOOKUP($Y92,Frequenties[],3,FALSE)*VLOOKUP($A87,Locaties[],3,FALSE),0)</f>
        <v>0</v>
      </c>
      <c r="AB92" s="323">
        <f>Ruimtestaat[[#This Row],[Uitvoeringen weekend]]*Ruimtestaat[[#This Row],[Oppervlak (netto)]]</f>
        <v>0</v>
      </c>
      <c r="AC92" s="326">
        <f>IF(AB92&gt;0,Ruimtestaat[[#This Row],[Prest. (m2 /jaar) weekend]]/Ruimtestaat[[#This Row],[Norm (m2/uur) weekend]],0)</f>
        <v>0</v>
      </c>
      <c r="AD92" s="327">
        <f>Ruimtestaat[[#This Row],[uren / jaar weekend]]*Tariefsopbouw!$D$40</f>
        <v>0</v>
      </c>
      <c r="AE92" s="328">
        <f>Ruimtestaat[[#This Row],[Prest. (m2 /jaar) weekend]]+Ruimtestaat[[#This Row],[Prest. (m2 /jaar) werkdagen]]</f>
        <v>4800</v>
      </c>
      <c r="AF92" s="328">
        <f>Ruimtestaat[[#This Row],[uren / jaar weekend]]+Ruimtestaat[[#This Row],[uren / jaar werkdagen]]</f>
        <v>0</v>
      </c>
      <c r="AG92" s="329">
        <f>Ruimtestaat[[#This Row],[kosten / jaar weekend]]+Ruimtestaat[[#This Row],[kosten / jaar werkdagen]]</f>
        <v>0</v>
      </c>
      <c r="AH92" s="330"/>
      <c r="HL92" s="297"/>
    </row>
    <row r="93" spans="1:220" ht="15" customHeight="1">
      <c r="A93" s="271">
        <v>1</v>
      </c>
      <c r="B93" s="271" t="str">
        <f>VLOOKUP(Ruimtestaat[[#This Row],[Code]],Locaties[#All],2,FALSE)</f>
        <v>Hoofdgebouw</v>
      </c>
      <c r="C93" s="271" t="str">
        <f>VLOOKUP(Ruimtestaat[[#This Row],[Code]],Locaties[#All],4,FALSE)</f>
        <v>Sterrenlaan 16</v>
      </c>
      <c r="D93" s="271" t="str">
        <f>VLOOKUP(Ruimtestaat[[#This Row],[Code]],Locaties[#All],5,FALSE)</f>
        <v>5631 KA</v>
      </c>
      <c r="E93" s="271" t="str">
        <f>VLOOKUP(Ruimtestaat[[#This Row],[Code]],Locaties[#All],6,FALSE)</f>
        <v>Eindhoven</v>
      </c>
      <c r="F93" s="318"/>
      <c r="G93" s="271" t="s">
        <v>589</v>
      </c>
      <c r="H93" s="334" t="s">
        <v>614</v>
      </c>
      <c r="I93" s="228" t="s">
        <v>615</v>
      </c>
      <c r="J93" s="271">
        <v>19</v>
      </c>
      <c r="K93" s="318" t="str">
        <f>VLOOKUP(J93,Ruimtegroepen[],2,FALSE)</f>
        <v>Kleedruimten</v>
      </c>
      <c r="L93" s="271" t="s">
        <v>114</v>
      </c>
      <c r="M93" s="271" t="s">
        <v>700</v>
      </c>
      <c r="N93" s="319">
        <v>19</v>
      </c>
      <c r="O93" s="319"/>
      <c r="P93" s="320" t="str">
        <f>LEFT(VLOOKUP(Ruimtestaat[[#This Row],[Ruimte code]],Ruimtegroepen[#All],4,1),2)</f>
        <v xml:space="preserve">V </v>
      </c>
      <c r="Q93" s="320"/>
      <c r="R93" s="271">
        <v>40</v>
      </c>
      <c r="S93" s="271" t="s">
        <v>2</v>
      </c>
      <c r="T93" s="321">
        <f>IF(R93&gt;0,IF(RIGHT(Ruimtestaat[[#This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" s="321">
        <f>IF(T93&gt;0,VLOOKUP($J93,Ruimtegroepen[],3,FALSE)*VLOOKUP($L93,Vloersoorten[],3,FALSE)*VLOOKUP($S93,Frequenties[],3,FALSE)*VLOOKUP($A93,Locaties[],3,FALSE),0)</f>
        <v>0</v>
      </c>
      <c r="V93" s="322">
        <f>Ruimtestaat[[#This Row],[Uitvoeringen werkdagen]]*Ruimtestaat[[#This Row],[Oppervlak (netto)]]</f>
        <v>3800</v>
      </c>
      <c r="W93" s="323">
        <f>IF(U93&gt;0,Ruimtestaat[[#This Row],[Prest. (m2 /jaar) werkdagen]]/Ruimtestaat[[#This Row],[Norm (m2/uur) werkdagen]],0)</f>
        <v>0</v>
      </c>
      <c r="X93" s="324">
        <f>Ruimtestaat[[#This Row],[uren / jaar werkdagen]]*Tariefsopbouw!$E$35</f>
        <v>0</v>
      </c>
      <c r="Y93" s="321"/>
      <c r="Z93" s="325">
        <f>IF(Ruimtestaat[[#This Row],[Frequentie weekend]]&gt;0,VALUE(LEFT(Y93,1))*R93,0)</f>
        <v>0</v>
      </c>
      <c r="AA93" s="321">
        <f>IF($Z93&gt;0,VLOOKUP($J93,Ruimtegroepen[],3,FALSE)*VLOOKUP($L93,Vloersoorten[],3,FALSE)*VLOOKUP($Y93,Frequenties[],3,FALSE)*VLOOKUP($A88,Locaties[],3,FALSE),0)</f>
        <v>0</v>
      </c>
      <c r="AB93" s="323">
        <f>Ruimtestaat[[#This Row],[Uitvoeringen weekend]]*Ruimtestaat[[#This Row],[Oppervlak (netto)]]</f>
        <v>0</v>
      </c>
      <c r="AC93" s="326">
        <f>IF(AB93&gt;0,Ruimtestaat[[#This Row],[Prest. (m2 /jaar) weekend]]/Ruimtestaat[[#This Row],[Norm (m2/uur) weekend]],0)</f>
        <v>0</v>
      </c>
      <c r="AD93" s="327">
        <f>Ruimtestaat[[#This Row],[uren / jaar weekend]]*Tariefsopbouw!$D$40</f>
        <v>0</v>
      </c>
      <c r="AE93" s="328">
        <f>Ruimtestaat[[#This Row],[Prest. (m2 /jaar) weekend]]+Ruimtestaat[[#This Row],[Prest. (m2 /jaar) werkdagen]]</f>
        <v>3800</v>
      </c>
      <c r="AF93" s="328">
        <f>Ruimtestaat[[#This Row],[uren / jaar weekend]]+Ruimtestaat[[#This Row],[uren / jaar werkdagen]]</f>
        <v>0</v>
      </c>
      <c r="AG93" s="329">
        <f>Ruimtestaat[[#This Row],[kosten / jaar weekend]]+Ruimtestaat[[#This Row],[kosten / jaar werkdagen]]</f>
        <v>0</v>
      </c>
      <c r="AH93" s="330"/>
      <c r="HL93" s="297"/>
    </row>
    <row r="94" spans="1:220" ht="15" customHeight="1">
      <c r="A94" s="271">
        <v>1</v>
      </c>
      <c r="B94" s="271" t="str">
        <f>VLOOKUP(Ruimtestaat[[#This Row],[Code]],Locaties[#All],2,FALSE)</f>
        <v>Hoofdgebouw</v>
      </c>
      <c r="C94" s="271" t="str">
        <f>VLOOKUP(Ruimtestaat[[#This Row],[Code]],Locaties[#All],4,FALSE)</f>
        <v>Sterrenlaan 16</v>
      </c>
      <c r="D94" s="271" t="str">
        <f>VLOOKUP(Ruimtestaat[[#This Row],[Code]],Locaties[#All],5,FALSE)</f>
        <v>5631 KA</v>
      </c>
      <c r="E94" s="271" t="str">
        <f>VLOOKUP(Ruimtestaat[[#This Row],[Code]],Locaties[#All],6,FALSE)</f>
        <v>Eindhoven</v>
      </c>
      <c r="F94" s="318"/>
      <c r="G94" s="271" t="s">
        <v>589</v>
      </c>
      <c r="H94" s="334" t="s">
        <v>616</v>
      </c>
      <c r="I94" s="318" t="s">
        <v>617</v>
      </c>
      <c r="J94" s="271">
        <v>5</v>
      </c>
      <c r="K94" s="318" t="str">
        <f>VLOOKUP(J94,Ruimtegroepen[],2,FALSE)</f>
        <v>Sanitair</v>
      </c>
      <c r="L94" s="271" t="s">
        <v>114</v>
      </c>
      <c r="M94" s="271" t="s">
        <v>700</v>
      </c>
      <c r="N94" s="319">
        <v>11</v>
      </c>
      <c r="O94" s="331"/>
      <c r="P94" s="320" t="str">
        <f>LEFT(VLOOKUP(Ruimtestaat[[#This Row],[Ruimte code]],Ruimtegroepen[#All],4,1),2)</f>
        <v xml:space="preserve">S </v>
      </c>
      <c r="Q94" s="332"/>
      <c r="R94" s="271">
        <v>42</v>
      </c>
      <c r="S94" s="271" t="s">
        <v>2</v>
      </c>
      <c r="T94" s="321">
        <f>IF(R94&gt;0,IF(RIGHT(Ruimtestaat[[#This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94" s="321">
        <f>IF(T94&gt;0,VLOOKUP($J94,Ruimtegroepen[],3,FALSE)*VLOOKUP($L94,Vloersoorten[],3,FALSE)*VLOOKUP($S94,Frequenties[],3,FALSE)*VLOOKUP($A94,Locaties[],3,FALSE),0)</f>
        <v>0</v>
      </c>
      <c r="V94" s="322">
        <f>Ruimtestaat[[#This Row],[Uitvoeringen werkdagen]]*Ruimtestaat[[#This Row],[Oppervlak (netto)]]</f>
        <v>2310</v>
      </c>
      <c r="W94" s="323">
        <f>IF(U94&gt;0,Ruimtestaat[[#This Row],[Prest. (m2 /jaar) werkdagen]]/Ruimtestaat[[#This Row],[Norm (m2/uur) werkdagen]],0)</f>
        <v>0</v>
      </c>
      <c r="X94" s="324">
        <f>Ruimtestaat[[#This Row],[uren / jaar werkdagen]]*Tariefsopbouw!$E$35</f>
        <v>0</v>
      </c>
      <c r="Y94" s="321"/>
      <c r="Z94" s="325">
        <f>IF(Ruimtestaat[[#This Row],[Frequentie weekend]]&gt;0,VALUE(LEFT(Y94,1))*R94,0)</f>
        <v>0</v>
      </c>
      <c r="AA94" s="321">
        <f>IF($Z94&gt;0,VLOOKUP($J94,Ruimtegroepen[],3,FALSE)*VLOOKUP($L94,Vloersoorten[],3,FALSE)*VLOOKUP($Y94,Frequenties[],3,FALSE)*VLOOKUP($A90,Locaties[],3,FALSE),0)</f>
        <v>0</v>
      </c>
      <c r="AB94" s="323">
        <f>Ruimtestaat[[#This Row],[Uitvoeringen weekend]]*Ruimtestaat[[#This Row],[Oppervlak (netto)]]</f>
        <v>0</v>
      </c>
      <c r="AC94" s="326">
        <f>IF(AB94&gt;0,Ruimtestaat[[#This Row],[Prest. (m2 /jaar) weekend]]/Ruimtestaat[[#This Row],[Norm (m2/uur) weekend]],0)</f>
        <v>0</v>
      </c>
      <c r="AD94" s="327">
        <f>Ruimtestaat[[#This Row],[uren / jaar weekend]]*Tariefsopbouw!$D$40</f>
        <v>0</v>
      </c>
      <c r="AE94" s="328">
        <f>Ruimtestaat[[#This Row],[Prest. (m2 /jaar) weekend]]+Ruimtestaat[[#This Row],[Prest. (m2 /jaar) werkdagen]]</f>
        <v>2310</v>
      </c>
      <c r="AF94" s="328">
        <f>Ruimtestaat[[#This Row],[uren / jaar weekend]]+Ruimtestaat[[#This Row],[uren / jaar werkdagen]]</f>
        <v>0</v>
      </c>
      <c r="AG94" s="329">
        <f>Ruimtestaat[[#This Row],[kosten / jaar weekend]]+Ruimtestaat[[#This Row],[kosten / jaar werkdagen]]</f>
        <v>0</v>
      </c>
      <c r="AH94" s="330"/>
      <c r="HL94" s="297"/>
    </row>
    <row r="95" spans="1:220" ht="15" customHeight="1">
      <c r="A95" s="271">
        <v>1</v>
      </c>
      <c r="B95" s="271" t="str">
        <f>VLOOKUP(Ruimtestaat[[#This Row],[Code]],Locaties[#All],2,FALSE)</f>
        <v>Hoofdgebouw</v>
      </c>
      <c r="C95" s="271" t="str">
        <f>VLOOKUP(Ruimtestaat[[#This Row],[Code]],Locaties[#All],4,FALSE)</f>
        <v>Sterrenlaan 16</v>
      </c>
      <c r="D95" s="271" t="str">
        <f>VLOOKUP(Ruimtestaat[[#This Row],[Code]],Locaties[#All],5,FALSE)</f>
        <v>5631 KA</v>
      </c>
      <c r="E95" s="271" t="str">
        <f>VLOOKUP(Ruimtestaat[[#This Row],[Code]],Locaties[#All],6,FALSE)</f>
        <v>Eindhoven</v>
      </c>
      <c r="F95" s="318"/>
      <c r="G95" s="271" t="s">
        <v>589</v>
      </c>
      <c r="H95" s="334" t="s">
        <v>618</v>
      </c>
      <c r="I95" s="228" t="s">
        <v>619</v>
      </c>
      <c r="J95" s="271">
        <v>19</v>
      </c>
      <c r="K95" s="318" t="str">
        <f>VLOOKUP(J95,Ruimtegroepen[],2,FALSE)</f>
        <v>Kleedruimten</v>
      </c>
      <c r="L95" s="271" t="s">
        <v>114</v>
      </c>
      <c r="M95" s="271" t="s">
        <v>700</v>
      </c>
      <c r="N95" s="319">
        <v>7</v>
      </c>
      <c r="O95" s="319"/>
      <c r="P95" s="320" t="str">
        <f>LEFT(VLOOKUP(Ruimtestaat[[#This Row],[Ruimte code]],Ruimtegroepen[#All],4,1),2)</f>
        <v xml:space="preserve">V </v>
      </c>
      <c r="Q95" s="320"/>
      <c r="R95" s="271">
        <v>40</v>
      </c>
      <c r="S95" s="271" t="s">
        <v>2</v>
      </c>
      <c r="T95" s="321">
        <f>IF(R95&gt;0,IF(RIGHT(Ruimtestaat[[#This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" s="321">
        <f>IF(T95&gt;0,VLOOKUP($J95,Ruimtegroepen[],3,FALSE)*VLOOKUP($L95,Vloersoorten[],3,FALSE)*VLOOKUP($S95,Frequenties[],3,FALSE)*VLOOKUP($A95,Locaties[],3,FALSE),0)</f>
        <v>0</v>
      </c>
      <c r="V95" s="322">
        <f>Ruimtestaat[[#This Row],[Uitvoeringen werkdagen]]*Ruimtestaat[[#This Row],[Oppervlak (netto)]]</f>
        <v>1400</v>
      </c>
      <c r="W95" s="323">
        <f>IF(U95&gt;0,Ruimtestaat[[#This Row],[Prest. (m2 /jaar) werkdagen]]/Ruimtestaat[[#This Row],[Norm (m2/uur) werkdagen]],0)</f>
        <v>0</v>
      </c>
      <c r="X95" s="324">
        <f>Ruimtestaat[[#This Row],[uren / jaar werkdagen]]*Tariefsopbouw!$E$35</f>
        <v>0</v>
      </c>
      <c r="Y95" s="321"/>
      <c r="Z95" s="325">
        <f>IF(Ruimtestaat[[#This Row],[Frequentie weekend]]&gt;0,VALUE(LEFT(Y95,1))*R95,0)</f>
        <v>0</v>
      </c>
      <c r="AA95" s="321">
        <f>IF($Z95&gt;0,VLOOKUP($J95,Ruimtegroepen[],3,FALSE)*VLOOKUP($L95,Vloersoorten[],3,FALSE)*VLOOKUP($Y95,Frequenties[],3,FALSE)*VLOOKUP($A91,Locaties[],3,FALSE),0)</f>
        <v>0</v>
      </c>
      <c r="AB95" s="323">
        <f>Ruimtestaat[[#This Row],[Uitvoeringen weekend]]*Ruimtestaat[[#This Row],[Oppervlak (netto)]]</f>
        <v>0</v>
      </c>
      <c r="AC95" s="326">
        <f>IF(AB95&gt;0,Ruimtestaat[[#This Row],[Prest. (m2 /jaar) weekend]]/Ruimtestaat[[#This Row],[Norm (m2/uur) weekend]],0)</f>
        <v>0</v>
      </c>
      <c r="AD95" s="327">
        <f>Ruimtestaat[[#This Row],[uren / jaar weekend]]*Tariefsopbouw!$D$40</f>
        <v>0</v>
      </c>
      <c r="AE95" s="328">
        <f>Ruimtestaat[[#This Row],[Prest. (m2 /jaar) weekend]]+Ruimtestaat[[#This Row],[Prest. (m2 /jaar) werkdagen]]</f>
        <v>1400</v>
      </c>
      <c r="AF95" s="328">
        <f>Ruimtestaat[[#This Row],[uren / jaar weekend]]+Ruimtestaat[[#This Row],[uren / jaar werkdagen]]</f>
        <v>0</v>
      </c>
      <c r="AG95" s="329">
        <f>Ruimtestaat[[#This Row],[kosten / jaar weekend]]+Ruimtestaat[[#This Row],[kosten / jaar werkdagen]]</f>
        <v>0</v>
      </c>
      <c r="AH95" s="330"/>
      <c r="HL95" s="297"/>
    </row>
    <row r="96" spans="1:220" ht="15" customHeight="1">
      <c r="A96" s="271">
        <v>1</v>
      </c>
      <c r="B96" s="271" t="str">
        <f>VLOOKUP(Ruimtestaat[[#This Row],[Code]],Locaties[#All],2,FALSE)</f>
        <v>Hoofdgebouw</v>
      </c>
      <c r="C96" s="271" t="str">
        <f>VLOOKUP(Ruimtestaat[[#This Row],[Code]],Locaties[#All],4,FALSE)</f>
        <v>Sterrenlaan 16</v>
      </c>
      <c r="D96" s="271" t="str">
        <f>VLOOKUP(Ruimtestaat[[#This Row],[Code]],Locaties[#All],5,FALSE)</f>
        <v>5631 KA</v>
      </c>
      <c r="E96" s="271" t="str">
        <f>VLOOKUP(Ruimtestaat[[#This Row],[Code]],Locaties[#All],6,FALSE)</f>
        <v>Eindhoven</v>
      </c>
      <c r="F96" s="318"/>
      <c r="G96" s="271" t="s">
        <v>589</v>
      </c>
      <c r="H96" s="334" t="s">
        <v>620</v>
      </c>
      <c r="I96" s="228" t="s">
        <v>531</v>
      </c>
      <c r="J96" s="271">
        <v>16</v>
      </c>
      <c r="K96" s="318" t="str">
        <f>VLOOKUP(J96,Ruimtegroepen[],2,FALSE)</f>
        <v>Leslokalen theorie</v>
      </c>
      <c r="L96" s="271" t="s">
        <v>113</v>
      </c>
      <c r="M96" s="271" t="s">
        <v>373</v>
      </c>
      <c r="N96" s="319">
        <v>48</v>
      </c>
      <c r="O96" s="319"/>
      <c r="P96" s="320" t="str">
        <f>LEFT(VLOOKUP(Ruimtestaat[[#This Row],[Ruimte code]],Ruimtegroepen[#All],4,1),2)</f>
        <v xml:space="preserve">L </v>
      </c>
      <c r="Q96" s="320"/>
      <c r="R96" s="271">
        <v>40</v>
      </c>
      <c r="S96" s="271" t="s">
        <v>2</v>
      </c>
      <c r="T96" s="321">
        <f>IF(R96&gt;0,IF(RIGHT(Ruimtestaat[[#This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" s="321">
        <f>IF(T96&gt;0,VLOOKUP($J96,Ruimtegroepen[],3,FALSE)*VLOOKUP($L96,Vloersoorten[],3,FALSE)*VLOOKUP($S96,Frequenties[],3,FALSE)*VLOOKUP($A96,Locaties[],3,FALSE),0)</f>
        <v>0</v>
      </c>
      <c r="V96" s="322">
        <f>Ruimtestaat[[#This Row],[Uitvoeringen werkdagen]]*Ruimtestaat[[#This Row],[Oppervlak (netto)]]</f>
        <v>9600</v>
      </c>
      <c r="W96" s="323">
        <f>IF(U96&gt;0,Ruimtestaat[[#This Row],[Prest. (m2 /jaar) werkdagen]]/Ruimtestaat[[#This Row],[Norm (m2/uur) werkdagen]],0)</f>
        <v>0</v>
      </c>
      <c r="X96" s="324">
        <f>Ruimtestaat[[#This Row],[uren / jaar werkdagen]]*Tariefsopbouw!$E$35</f>
        <v>0</v>
      </c>
      <c r="Y96" s="321"/>
      <c r="Z96" s="325">
        <f>IF(Ruimtestaat[[#This Row],[Frequentie weekend]]&gt;0,VALUE(LEFT(Y96,1))*R96,0)</f>
        <v>0</v>
      </c>
      <c r="AA96" s="321">
        <f>IF($Z96&gt;0,VLOOKUP($J96,Ruimtegroepen[],3,FALSE)*VLOOKUP($L96,Vloersoorten[],3,FALSE)*VLOOKUP($Y96,Frequenties[],3,FALSE)*VLOOKUP($A92,Locaties[],3,FALSE),0)</f>
        <v>0</v>
      </c>
      <c r="AB96" s="323">
        <f>Ruimtestaat[[#This Row],[Uitvoeringen weekend]]*Ruimtestaat[[#This Row],[Oppervlak (netto)]]</f>
        <v>0</v>
      </c>
      <c r="AC96" s="326">
        <f>IF(AB96&gt;0,Ruimtestaat[[#This Row],[Prest. (m2 /jaar) weekend]]/Ruimtestaat[[#This Row],[Norm (m2/uur) weekend]],0)</f>
        <v>0</v>
      </c>
      <c r="AD96" s="327">
        <f>Ruimtestaat[[#This Row],[uren / jaar weekend]]*Tariefsopbouw!$D$40</f>
        <v>0</v>
      </c>
      <c r="AE96" s="328">
        <f>Ruimtestaat[[#This Row],[Prest. (m2 /jaar) weekend]]+Ruimtestaat[[#This Row],[Prest. (m2 /jaar) werkdagen]]</f>
        <v>9600</v>
      </c>
      <c r="AF96" s="328">
        <f>Ruimtestaat[[#This Row],[uren / jaar weekend]]+Ruimtestaat[[#This Row],[uren / jaar werkdagen]]</f>
        <v>0</v>
      </c>
      <c r="AG96" s="329">
        <f>Ruimtestaat[[#This Row],[kosten / jaar weekend]]+Ruimtestaat[[#This Row],[kosten / jaar werkdagen]]</f>
        <v>0</v>
      </c>
      <c r="AH96" s="330"/>
      <c r="HL96" s="297"/>
    </row>
    <row r="97" spans="1:220" ht="15" customHeight="1">
      <c r="A97" s="271">
        <v>1</v>
      </c>
      <c r="B97" s="271" t="str">
        <f>VLOOKUP(Ruimtestaat[[#This Row],[Code]],Locaties[#All],2,FALSE)</f>
        <v>Hoofdgebouw</v>
      </c>
      <c r="C97" s="271" t="str">
        <f>VLOOKUP(Ruimtestaat[[#This Row],[Code]],Locaties[#All],4,FALSE)</f>
        <v>Sterrenlaan 16</v>
      </c>
      <c r="D97" s="271" t="str">
        <f>VLOOKUP(Ruimtestaat[[#This Row],[Code]],Locaties[#All],5,FALSE)</f>
        <v>5631 KA</v>
      </c>
      <c r="E97" s="271" t="str">
        <f>VLOOKUP(Ruimtestaat[[#This Row],[Code]],Locaties[#All],6,FALSE)</f>
        <v>Eindhoven</v>
      </c>
      <c r="F97" s="318"/>
      <c r="G97" s="271" t="s">
        <v>589</v>
      </c>
      <c r="H97" s="334" t="s">
        <v>621</v>
      </c>
      <c r="I97" s="228" t="s">
        <v>531</v>
      </c>
      <c r="J97" s="271">
        <v>16</v>
      </c>
      <c r="K97" s="318" t="str">
        <f>VLOOKUP(J97,Ruimtegroepen[],2,FALSE)</f>
        <v>Leslokalen theorie</v>
      </c>
      <c r="L97" s="271" t="s">
        <v>113</v>
      </c>
      <c r="M97" s="271" t="s">
        <v>373</v>
      </c>
      <c r="N97" s="319">
        <v>48</v>
      </c>
      <c r="O97" s="319"/>
      <c r="P97" s="320" t="str">
        <f>LEFT(VLOOKUP(Ruimtestaat[[#This Row],[Ruimte code]],Ruimtegroepen[#All],4,1),2)</f>
        <v xml:space="preserve">L </v>
      </c>
      <c r="Q97" s="320"/>
      <c r="R97" s="271">
        <v>40</v>
      </c>
      <c r="S97" s="271" t="s">
        <v>2</v>
      </c>
      <c r="T97" s="321">
        <f>IF(R97&gt;0,IF(RIGHT(Ruimtestaat[[#This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7" s="321">
        <f>IF(T97&gt;0,VLOOKUP($J97,Ruimtegroepen[],3,FALSE)*VLOOKUP($L97,Vloersoorten[],3,FALSE)*VLOOKUP($S97,Frequenties[],3,FALSE)*VLOOKUP($A97,Locaties[],3,FALSE),0)</f>
        <v>0</v>
      </c>
      <c r="V97" s="322">
        <f>Ruimtestaat[[#This Row],[Uitvoeringen werkdagen]]*Ruimtestaat[[#This Row],[Oppervlak (netto)]]</f>
        <v>9600</v>
      </c>
      <c r="W97" s="323">
        <f>IF(U97&gt;0,Ruimtestaat[[#This Row],[Prest. (m2 /jaar) werkdagen]]/Ruimtestaat[[#This Row],[Norm (m2/uur) werkdagen]],0)</f>
        <v>0</v>
      </c>
      <c r="X97" s="324">
        <f>Ruimtestaat[[#This Row],[uren / jaar werkdagen]]*Tariefsopbouw!$E$35</f>
        <v>0</v>
      </c>
      <c r="Y97" s="321"/>
      <c r="Z97" s="325">
        <f>IF(Ruimtestaat[[#This Row],[Frequentie weekend]]&gt;0,VALUE(LEFT(Y97,1))*R97,0)</f>
        <v>0</v>
      </c>
      <c r="AA97" s="321">
        <f>IF($Z97&gt;0,VLOOKUP($J97,Ruimtegroepen[],3,FALSE)*VLOOKUP($L97,Vloersoorten[],3,FALSE)*VLOOKUP($Y97,Frequenties[],3,FALSE)*VLOOKUP($A93,Locaties[],3,FALSE),0)</f>
        <v>0</v>
      </c>
      <c r="AB97" s="323">
        <f>Ruimtestaat[[#This Row],[Uitvoeringen weekend]]*Ruimtestaat[[#This Row],[Oppervlak (netto)]]</f>
        <v>0</v>
      </c>
      <c r="AC97" s="326">
        <f>IF(AB97&gt;0,Ruimtestaat[[#This Row],[Prest. (m2 /jaar) weekend]]/Ruimtestaat[[#This Row],[Norm (m2/uur) weekend]],0)</f>
        <v>0</v>
      </c>
      <c r="AD97" s="327">
        <f>Ruimtestaat[[#This Row],[uren / jaar weekend]]*Tariefsopbouw!$D$40</f>
        <v>0</v>
      </c>
      <c r="AE97" s="328">
        <f>Ruimtestaat[[#This Row],[Prest. (m2 /jaar) weekend]]+Ruimtestaat[[#This Row],[Prest. (m2 /jaar) werkdagen]]</f>
        <v>9600</v>
      </c>
      <c r="AF97" s="328">
        <f>Ruimtestaat[[#This Row],[uren / jaar weekend]]+Ruimtestaat[[#This Row],[uren / jaar werkdagen]]</f>
        <v>0</v>
      </c>
      <c r="AG97" s="329">
        <f>Ruimtestaat[[#This Row],[kosten / jaar weekend]]+Ruimtestaat[[#This Row],[kosten / jaar werkdagen]]</f>
        <v>0</v>
      </c>
      <c r="AH97" s="330"/>
      <c r="HL97" s="297"/>
    </row>
    <row r="98" spans="1:220" ht="15" customHeight="1">
      <c r="A98" s="271">
        <v>1</v>
      </c>
      <c r="B98" s="271" t="str">
        <f>VLOOKUP(Ruimtestaat[[#This Row],[Code]],Locaties[#All],2,FALSE)</f>
        <v>Hoofdgebouw</v>
      </c>
      <c r="C98" s="271" t="str">
        <f>VLOOKUP(Ruimtestaat[[#This Row],[Code]],Locaties[#All],4,FALSE)</f>
        <v>Sterrenlaan 16</v>
      </c>
      <c r="D98" s="271" t="str">
        <f>VLOOKUP(Ruimtestaat[[#This Row],[Code]],Locaties[#All],5,FALSE)</f>
        <v>5631 KA</v>
      </c>
      <c r="E98" s="271" t="str">
        <f>VLOOKUP(Ruimtestaat[[#This Row],[Code]],Locaties[#All],6,FALSE)</f>
        <v>Eindhoven</v>
      </c>
      <c r="F98" s="318"/>
      <c r="G98" s="271" t="s">
        <v>589</v>
      </c>
      <c r="H98" s="334" t="s">
        <v>622</v>
      </c>
      <c r="I98" s="228" t="s">
        <v>531</v>
      </c>
      <c r="J98" s="271">
        <v>16</v>
      </c>
      <c r="K98" s="318" t="str">
        <f>VLOOKUP(J98,Ruimtegroepen[],2,FALSE)</f>
        <v>Leslokalen theorie</v>
      </c>
      <c r="L98" s="271" t="s">
        <v>113</v>
      </c>
      <c r="M98" s="271" t="s">
        <v>373</v>
      </c>
      <c r="N98" s="319">
        <v>48</v>
      </c>
      <c r="O98" s="319"/>
      <c r="P98" s="320" t="str">
        <f>LEFT(VLOOKUP(Ruimtestaat[[#This Row],[Ruimte code]],Ruimtegroepen[#All],4,1),2)</f>
        <v xml:space="preserve">L </v>
      </c>
      <c r="Q98" s="320"/>
      <c r="R98" s="271">
        <v>40</v>
      </c>
      <c r="S98" s="271" t="s">
        <v>2</v>
      </c>
      <c r="T98" s="321">
        <f>IF(R98&gt;0,IF(RIGHT(Ruimtestaat[[#This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8" s="321">
        <f>IF(T98&gt;0,VLOOKUP($J98,Ruimtegroepen[],3,FALSE)*VLOOKUP($L98,Vloersoorten[],3,FALSE)*VLOOKUP($S98,Frequenties[],3,FALSE)*VLOOKUP($A98,Locaties[],3,FALSE),0)</f>
        <v>0</v>
      </c>
      <c r="V98" s="322">
        <f>Ruimtestaat[[#This Row],[Uitvoeringen werkdagen]]*Ruimtestaat[[#This Row],[Oppervlak (netto)]]</f>
        <v>9600</v>
      </c>
      <c r="W98" s="323">
        <f>IF(U98&gt;0,Ruimtestaat[[#This Row],[Prest. (m2 /jaar) werkdagen]]/Ruimtestaat[[#This Row],[Norm (m2/uur) werkdagen]],0)</f>
        <v>0</v>
      </c>
      <c r="X98" s="324">
        <f>Ruimtestaat[[#This Row],[uren / jaar werkdagen]]*Tariefsopbouw!$E$35</f>
        <v>0</v>
      </c>
      <c r="Y98" s="321"/>
      <c r="Z98" s="325">
        <f>IF(Ruimtestaat[[#This Row],[Frequentie weekend]]&gt;0,VALUE(LEFT(Y98,1))*R98,0)</f>
        <v>0</v>
      </c>
      <c r="AA98" s="321">
        <f>IF($Z98&gt;0,VLOOKUP($J98,Ruimtegroepen[],3,FALSE)*VLOOKUP($L98,Vloersoorten[],3,FALSE)*VLOOKUP($Y98,Frequenties[],3,FALSE)*VLOOKUP($A94,Locaties[],3,FALSE),0)</f>
        <v>0</v>
      </c>
      <c r="AB98" s="323">
        <f>Ruimtestaat[[#This Row],[Uitvoeringen weekend]]*Ruimtestaat[[#This Row],[Oppervlak (netto)]]</f>
        <v>0</v>
      </c>
      <c r="AC98" s="326">
        <f>IF(AB98&gt;0,Ruimtestaat[[#This Row],[Prest. (m2 /jaar) weekend]]/Ruimtestaat[[#This Row],[Norm (m2/uur) weekend]],0)</f>
        <v>0</v>
      </c>
      <c r="AD98" s="327">
        <f>Ruimtestaat[[#This Row],[uren / jaar weekend]]*Tariefsopbouw!$D$40</f>
        <v>0</v>
      </c>
      <c r="AE98" s="328">
        <f>Ruimtestaat[[#This Row],[Prest. (m2 /jaar) weekend]]+Ruimtestaat[[#This Row],[Prest. (m2 /jaar) werkdagen]]</f>
        <v>9600</v>
      </c>
      <c r="AF98" s="328">
        <f>Ruimtestaat[[#This Row],[uren / jaar weekend]]+Ruimtestaat[[#This Row],[uren / jaar werkdagen]]</f>
        <v>0</v>
      </c>
      <c r="AG98" s="329">
        <f>Ruimtestaat[[#This Row],[kosten / jaar weekend]]+Ruimtestaat[[#This Row],[kosten / jaar werkdagen]]</f>
        <v>0</v>
      </c>
      <c r="AH98" s="330"/>
      <c r="HL98" s="297"/>
    </row>
    <row r="99" spans="1:220" ht="15" customHeight="1">
      <c r="A99" s="271">
        <v>1</v>
      </c>
      <c r="B99" s="271" t="str">
        <f>VLOOKUP(Ruimtestaat[[#This Row],[Code]],Locaties[#All],2,FALSE)</f>
        <v>Hoofdgebouw</v>
      </c>
      <c r="C99" s="271" t="str">
        <f>VLOOKUP(Ruimtestaat[[#This Row],[Code]],Locaties[#All],4,FALSE)</f>
        <v>Sterrenlaan 16</v>
      </c>
      <c r="D99" s="271" t="str">
        <f>VLOOKUP(Ruimtestaat[[#This Row],[Code]],Locaties[#All],5,FALSE)</f>
        <v>5631 KA</v>
      </c>
      <c r="E99" s="271" t="str">
        <f>VLOOKUP(Ruimtestaat[[#This Row],[Code]],Locaties[#All],6,FALSE)</f>
        <v>Eindhoven</v>
      </c>
      <c r="F99" s="318"/>
      <c r="G99" s="271" t="s">
        <v>589</v>
      </c>
      <c r="H99" s="334" t="s">
        <v>623</v>
      </c>
      <c r="I99" s="228" t="s">
        <v>624</v>
      </c>
      <c r="J99" s="271">
        <v>11</v>
      </c>
      <c r="K99" s="318" t="str">
        <f>VLOOKUP(J99,Ruimtegroepen[],2,FALSE)</f>
        <v>Kooklokaal/leskeuken</v>
      </c>
      <c r="L99" s="271" t="s">
        <v>113</v>
      </c>
      <c r="M99" s="271" t="s">
        <v>373</v>
      </c>
      <c r="N99" s="319">
        <v>48</v>
      </c>
      <c r="O99" s="319"/>
      <c r="P99" s="320" t="str">
        <f>LEFT(VLOOKUP(Ruimtestaat[[#This Row],[Ruimte code]],Ruimtegroepen[#All],4,1),2)</f>
        <v xml:space="preserve">L </v>
      </c>
      <c r="Q99" s="320"/>
      <c r="R99" s="271">
        <v>40</v>
      </c>
      <c r="S99" s="271" t="s">
        <v>2</v>
      </c>
      <c r="T99" s="321">
        <f>IF(R99&gt;0,IF(RIGHT(Ruimtestaat[[#This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" s="321">
        <f>IF(T99&gt;0,VLOOKUP($J99,Ruimtegroepen[],3,FALSE)*VLOOKUP($L99,Vloersoorten[],3,FALSE)*VLOOKUP($S99,Frequenties[],3,FALSE)*VLOOKUP($A99,Locaties[],3,FALSE),0)</f>
        <v>0</v>
      </c>
      <c r="V99" s="322">
        <f>Ruimtestaat[[#This Row],[Uitvoeringen werkdagen]]*Ruimtestaat[[#This Row],[Oppervlak (netto)]]</f>
        <v>9600</v>
      </c>
      <c r="W99" s="323">
        <f>IF(U99&gt;0,Ruimtestaat[[#This Row],[Prest. (m2 /jaar) werkdagen]]/Ruimtestaat[[#This Row],[Norm (m2/uur) werkdagen]],0)</f>
        <v>0</v>
      </c>
      <c r="X99" s="324">
        <f>Ruimtestaat[[#This Row],[uren / jaar werkdagen]]*Tariefsopbouw!$E$35</f>
        <v>0</v>
      </c>
      <c r="Y99" s="321"/>
      <c r="Z99" s="325">
        <f>IF(Ruimtestaat[[#This Row],[Frequentie weekend]]&gt;0,VALUE(LEFT(Y99,1))*R99,0)</f>
        <v>0</v>
      </c>
      <c r="AA99" s="321">
        <f>IF($Z99&gt;0,VLOOKUP($J99,Ruimtegroepen[],3,FALSE)*VLOOKUP($L99,Vloersoorten[],3,FALSE)*VLOOKUP($Y99,Frequenties[],3,FALSE)*VLOOKUP($A95,Locaties[],3,FALSE),0)</f>
        <v>0</v>
      </c>
      <c r="AB99" s="323">
        <f>Ruimtestaat[[#This Row],[Uitvoeringen weekend]]*Ruimtestaat[[#This Row],[Oppervlak (netto)]]</f>
        <v>0</v>
      </c>
      <c r="AC99" s="326">
        <f>IF(AB99&gt;0,Ruimtestaat[[#This Row],[Prest. (m2 /jaar) weekend]]/Ruimtestaat[[#This Row],[Norm (m2/uur) weekend]],0)</f>
        <v>0</v>
      </c>
      <c r="AD99" s="327">
        <f>Ruimtestaat[[#This Row],[uren / jaar weekend]]*Tariefsopbouw!$D$40</f>
        <v>0</v>
      </c>
      <c r="AE99" s="328">
        <f>Ruimtestaat[[#This Row],[Prest. (m2 /jaar) weekend]]+Ruimtestaat[[#This Row],[Prest. (m2 /jaar) werkdagen]]</f>
        <v>9600</v>
      </c>
      <c r="AF99" s="328">
        <f>Ruimtestaat[[#This Row],[uren / jaar weekend]]+Ruimtestaat[[#This Row],[uren / jaar werkdagen]]</f>
        <v>0</v>
      </c>
      <c r="AG99" s="329">
        <f>Ruimtestaat[[#This Row],[kosten / jaar weekend]]+Ruimtestaat[[#This Row],[kosten / jaar werkdagen]]</f>
        <v>0</v>
      </c>
      <c r="AH99" s="330"/>
      <c r="HL99" s="297"/>
    </row>
    <row r="100" spans="1:220" ht="15" customHeight="1">
      <c r="A100" s="271">
        <v>1</v>
      </c>
      <c r="B100" s="271" t="str">
        <f>VLOOKUP(Ruimtestaat[[#This Row],[Code]],Locaties[#All],2,FALSE)</f>
        <v>Hoofdgebouw</v>
      </c>
      <c r="C100" s="271" t="str">
        <f>VLOOKUP(Ruimtestaat[[#This Row],[Code]],Locaties[#All],4,FALSE)</f>
        <v>Sterrenlaan 16</v>
      </c>
      <c r="D100" s="271" t="str">
        <f>VLOOKUP(Ruimtestaat[[#This Row],[Code]],Locaties[#All],5,FALSE)</f>
        <v>5631 KA</v>
      </c>
      <c r="E100" s="271" t="str">
        <f>VLOOKUP(Ruimtestaat[[#This Row],[Code]],Locaties[#All],6,FALSE)</f>
        <v>Eindhoven</v>
      </c>
      <c r="F100" s="318"/>
      <c r="G100" s="271" t="s">
        <v>589</v>
      </c>
      <c r="H100" s="334" t="s">
        <v>625</v>
      </c>
      <c r="I100" s="228" t="s">
        <v>626</v>
      </c>
      <c r="J100" s="271">
        <v>16</v>
      </c>
      <c r="K100" s="318" t="str">
        <f>VLOOKUP(J100,Ruimtegroepen[],2,FALSE)</f>
        <v>Leslokalen theorie</v>
      </c>
      <c r="L100" s="271" t="s">
        <v>113</v>
      </c>
      <c r="M100" s="271" t="s">
        <v>373</v>
      </c>
      <c r="N100" s="319">
        <v>63</v>
      </c>
      <c r="O100" s="319"/>
      <c r="P100" s="320" t="str">
        <f>LEFT(VLOOKUP(Ruimtestaat[[#This Row],[Ruimte code]],Ruimtegroepen[#All],4,1),2)</f>
        <v xml:space="preserve">L </v>
      </c>
      <c r="Q100" s="320"/>
      <c r="R100" s="271">
        <v>40</v>
      </c>
      <c r="S100" s="271" t="s">
        <v>2</v>
      </c>
      <c r="T100" s="321">
        <f>IF(R100&gt;0,IF(RIGHT(Ruimtestaat[[#This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" s="321">
        <f>IF(T100&gt;0,VLOOKUP($J100,Ruimtegroepen[],3,FALSE)*VLOOKUP($L100,Vloersoorten[],3,FALSE)*VLOOKUP($S100,Frequenties[],3,FALSE)*VLOOKUP($A100,Locaties[],3,FALSE),0)</f>
        <v>0</v>
      </c>
      <c r="V100" s="322">
        <f>Ruimtestaat[[#This Row],[Uitvoeringen werkdagen]]*Ruimtestaat[[#This Row],[Oppervlak (netto)]]</f>
        <v>12600</v>
      </c>
      <c r="W100" s="323">
        <f>IF(U100&gt;0,Ruimtestaat[[#This Row],[Prest. (m2 /jaar) werkdagen]]/Ruimtestaat[[#This Row],[Norm (m2/uur) werkdagen]],0)</f>
        <v>0</v>
      </c>
      <c r="X100" s="324">
        <f>Ruimtestaat[[#This Row],[uren / jaar werkdagen]]*Tariefsopbouw!$E$35</f>
        <v>0</v>
      </c>
      <c r="Y100" s="321"/>
      <c r="Z100" s="325">
        <f>IF(Ruimtestaat[[#This Row],[Frequentie weekend]]&gt;0,VALUE(LEFT(Y100,1))*R100,0)</f>
        <v>0</v>
      </c>
      <c r="AA100" s="321">
        <f>IF($Z100&gt;0,VLOOKUP($J100,Ruimtegroepen[],3,FALSE)*VLOOKUP($L100,Vloersoorten[],3,FALSE)*VLOOKUP($Y100,Frequenties[],3,FALSE)*VLOOKUP($A96,Locaties[],3,FALSE),0)</f>
        <v>0</v>
      </c>
      <c r="AB100" s="323">
        <f>Ruimtestaat[[#This Row],[Uitvoeringen weekend]]*Ruimtestaat[[#This Row],[Oppervlak (netto)]]</f>
        <v>0</v>
      </c>
      <c r="AC100" s="326">
        <f>IF(AB100&gt;0,Ruimtestaat[[#This Row],[Prest. (m2 /jaar) weekend]]/Ruimtestaat[[#This Row],[Norm (m2/uur) weekend]],0)</f>
        <v>0</v>
      </c>
      <c r="AD100" s="327">
        <f>Ruimtestaat[[#This Row],[uren / jaar weekend]]*Tariefsopbouw!$D$40</f>
        <v>0</v>
      </c>
      <c r="AE100" s="328">
        <f>Ruimtestaat[[#This Row],[Prest. (m2 /jaar) weekend]]+Ruimtestaat[[#This Row],[Prest. (m2 /jaar) werkdagen]]</f>
        <v>12600</v>
      </c>
      <c r="AF100" s="328">
        <f>Ruimtestaat[[#This Row],[uren / jaar weekend]]+Ruimtestaat[[#This Row],[uren / jaar werkdagen]]</f>
        <v>0</v>
      </c>
      <c r="AG100" s="329">
        <f>Ruimtestaat[[#This Row],[kosten / jaar weekend]]+Ruimtestaat[[#This Row],[kosten / jaar werkdagen]]</f>
        <v>0</v>
      </c>
      <c r="AH100" s="330"/>
      <c r="HL100" s="297"/>
    </row>
    <row r="101" spans="1:220" ht="15" customHeight="1">
      <c r="A101" s="271">
        <v>1</v>
      </c>
      <c r="B101" s="271" t="str">
        <f>VLOOKUP(Ruimtestaat[[#This Row],[Code]],Locaties[#All],2,FALSE)</f>
        <v>Hoofdgebouw</v>
      </c>
      <c r="C101" s="271" t="str">
        <f>VLOOKUP(Ruimtestaat[[#This Row],[Code]],Locaties[#All],4,FALSE)</f>
        <v>Sterrenlaan 16</v>
      </c>
      <c r="D101" s="271" t="str">
        <f>VLOOKUP(Ruimtestaat[[#This Row],[Code]],Locaties[#All],5,FALSE)</f>
        <v>5631 KA</v>
      </c>
      <c r="E101" s="271" t="str">
        <f>VLOOKUP(Ruimtestaat[[#This Row],[Code]],Locaties[#All],6,FALSE)</f>
        <v>Eindhoven</v>
      </c>
      <c r="F101" s="318"/>
      <c r="G101" s="271" t="s">
        <v>589</v>
      </c>
      <c r="H101" s="334" t="s">
        <v>627</v>
      </c>
      <c r="I101" s="228" t="s">
        <v>624</v>
      </c>
      <c r="J101" s="271">
        <v>11</v>
      </c>
      <c r="K101" s="318" t="str">
        <f>VLOOKUP(J101,Ruimtegroepen[],2,FALSE)</f>
        <v>Kooklokaal/leskeuken</v>
      </c>
      <c r="L101" s="271" t="s">
        <v>113</v>
      </c>
      <c r="M101" s="271" t="s">
        <v>373</v>
      </c>
      <c r="N101" s="319">
        <v>48</v>
      </c>
      <c r="O101" s="319"/>
      <c r="P101" s="320" t="str">
        <f>LEFT(VLOOKUP(Ruimtestaat[[#This Row],[Ruimte code]],Ruimtegroepen[#All],4,1),2)</f>
        <v xml:space="preserve">L </v>
      </c>
      <c r="Q101" s="320"/>
      <c r="R101" s="271">
        <v>40</v>
      </c>
      <c r="S101" s="271" t="s">
        <v>2</v>
      </c>
      <c r="T101" s="321">
        <f>IF(R101&gt;0,IF(RIGHT(Ruimtestaat[[#This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" s="321">
        <f>IF(T101&gt;0,VLOOKUP($J101,Ruimtegroepen[],3,FALSE)*VLOOKUP($L101,Vloersoorten[],3,FALSE)*VLOOKUP($S101,Frequenties[],3,FALSE)*VLOOKUP($A101,Locaties[],3,FALSE),0)</f>
        <v>0</v>
      </c>
      <c r="V101" s="322">
        <f>Ruimtestaat[[#This Row],[Uitvoeringen werkdagen]]*Ruimtestaat[[#This Row],[Oppervlak (netto)]]</f>
        <v>9600</v>
      </c>
      <c r="W101" s="323">
        <f>IF(U101&gt;0,Ruimtestaat[[#This Row],[Prest. (m2 /jaar) werkdagen]]/Ruimtestaat[[#This Row],[Norm (m2/uur) werkdagen]],0)</f>
        <v>0</v>
      </c>
      <c r="X101" s="324">
        <f>Ruimtestaat[[#This Row],[uren / jaar werkdagen]]*Tariefsopbouw!$E$35</f>
        <v>0</v>
      </c>
      <c r="Y101" s="321"/>
      <c r="Z101" s="325">
        <f>IF(Ruimtestaat[[#This Row],[Frequentie weekend]]&gt;0,VALUE(LEFT(Y101,1))*R101,0)</f>
        <v>0</v>
      </c>
      <c r="AA101" s="321">
        <f>IF($Z101&gt;0,VLOOKUP($J101,Ruimtegroepen[],3,FALSE)*VLOOKUP($L101,Vloersoorten[],3,FALSE)*VLOOKUP($Y101,Frequenties[],3,FALSE)*VLOOKUP($A97,Locaties[],3,FALSE),0)</f>
        <v>0</v>
      </c>
      <c r="AB101" s="323">
        <f>Ruimtestaat[[#This Row],[Uitvoeringen weekend]]*Ruimtestaat[[#This Row],[Oppervlak (netto)]]</f>
        <v>0</v>
      </c>
      <c r="AC101" s="326">
        <f>IF(AB101&gt;0,Ruimtestaat[[#This Row],[Prest. (m2 /jaar) weekend]]/Ruimtestaat[[#This Row],[Norm (m2/uur) weekend]],0)</f>
        <v>0</v>
      </c>
      <c r="AD101" s="327">
        <f>Ruimtestaat[[#This Row],[uren / jaar weekend]]*Tariefsopbouw!$D$40</f>
        <v>0</v>
      </c>
      <c r="AE101" s="328">
        <f>Ruimtestaat[[#This Row],[Prest. (m2 /jaar) weekend]]+Ruimtestaat[[#This Row],[Prest. (m2 /jaar) werkdagen]]</f>
        <v>9600</v>
      </c>
      <c r="AF101" s="328">
        <f>Ruimtestaat[[#This Row],[uren / jaar weekend]]+Ruimtestaat[[#This Row],[uren / jaar werkdagen]]</f>
        <v>0</v>
      </c>
      <c r="AG101" s="329">
        <f>Ruimtestaat[[#This Row],[kosten / jaar weekend]]+Ruimtestaat[[#This Row],[kosten / jaar werkdagen]]</f>
        <v>0</v>
      </c>
      <c r="AH101" s="330"/>
      <c r="HL101" s="297"/>
    </row>
    <row r="102" spans="1:220" ht="15" customHeight="1">
      <c r="A102" s="271">
        <v>1</v>
      </c>
      <c r="B102" s="271" t="str">
        <f>VLOOKUP(Ruimtestaat[[#This Row],[Code]],Locaties[#All],2,FALSE)</f>
        <v>Hoofdgebouw</v>
      </c>
      <c r="C102" s="271" t="str">
        <f>VLOOKUP(Ruimtestaat[[#This Row],[Code]],Locaties[#All],4,FALSE)</f>
        <v>Sterrenlaan 16</v>
      </c>
      <c r="D102" s="271" t="str">
        <f>VLOOKUP(Ruimtestaat[[#This Row],[Code]],Locaties[#All],5,FALSE)</f>
        <v>5631 KA</v>
      </c>
      <c r="E102" s="271" t="str">
        <f>VLOOKUP(Ruimtestaat[[#This Row],[Code]],Locaties[#All],6,FALSE)</f>
        <v>Eindhoven</v>
      </c>
      <c r="F102" s="318"/>
      <c r="G102" s="271" t="s">
        <v>589</v>
      </c>
      <c r="H102" s="334" t="s">
        <v>628</v>
      </c>
      <c r="I102" s="228" t="s">
        <v>629</v>
      </c>
      <c r="J102" s="271">
        <v>16</v>
      </c>
      <c r="K102" s="318" t="str">
        <f>VLOOKUP(J102,Ruimtegroepen[],2,FALSE)</f>
        <v>Leslokalen theorie</v>
      </c>
      <c r="L102" s="271" t="s">
        <v>113</v>
      </c>
      <c r="M102" s="271" t="s">
        <v>373</v>
      </c>
      <c r="N102" s="319">
        <v>87</v>
      </c>
      <c r="O102" s="319"/>
      <c r="P102" s="320" t="str">
        <f>LEFT(VLOOKUP(Ruimtestaat[[#This Row],[Ruimte code]],Ruimtegroepen[#All],4,1),2)</f>
        <v xml:space="preserve">L </v>
      </c>
      <c r="Q102" s="320"/>
      <c r="R102" s="271">
        <v>40</v>
      </c>
      <c r="S102" s="271" t="s">
        <v>2</v>
      </c>
      <c r="T102" s="321">
        <f>IF(R102&gt;0,IF(RIGHT(Ruimtestaat[[#This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" s="321">
        <f>IF(T102&gt;0,VLOOKUP($J102,Ruimtegroepen[],3,FALSE)*VLOOKUP($L102,Vloersoorten[],3,FALSE)*VLOOKUP($S102,Frequenties[],3,FALSE)*VLOOKUP($A102,Locaties[],3,FALSE),0)</f>
        <v>0</v>
      </c>
      <c r="V102" s="322">
        <f>Ruimtestaat[[#This Row],[Uitvoeringen werkdagen]]*Ruimtestaat[[#This Row],[Oppervlak (netto)]]</f>
        <v>17400</v>
      </c>
      <c r="W102" s="323">
        <f>IF(U102&gt;0,Ruimtestaat[[#This Row],[Prest. (m2 /jaar) werkdagen]]/Ruimtestaat[[#This Row],[Norm (m2/uur) werkdagen]],0)</f>
        <v>0</v>
      </c>
      <c r="X102" s="324">
        <f>Ruimtestaat[[#This Row],[uren / jaar werkdagen]]*Tariefsopbouw!$E$35</f>
        <v>0</v>
      </c>
      <c r="Y102" s="321"/>
      <c r="Z102" s="325">
        <f>IF(Ruimtestaat[[#This Row],[Frequentie weekend]]&gt;0,VALUE(LEFT(Y102,1))*R102,0)</f>
        <v>0</v>
      </c>
      <c r="AA102" s="321">
        <f>IF($Z102&gt;0,VLOOKUP($J102,Ruimtegroepen[],3,FALSE)*VLOOKUP($L102,Vloersoorten[],3,FALSE)*VLOOKUP($Y102,Frequenties[],3,FALSE)*VLOOKUP($A96,Locaties[],3,FALSE),0)</f>
        <v>0</v>
      </c>
      <c r="AB102" s="323">
        <f>Ruimtestaat[[#This Row],[Uitvoeringen weekend]]*Ruimtestaat[[#This Row],[Oppervlak (netto)]]</f>
        <v>0</v>
      </c>
      <c r="AC102" s="326">
        <f>IF(AB102&gt;0,Ruimtestaat[[#This Row],[Prest. (m2 /jaar) weekend]]/Ruimtestaat[[#This Row],[Norm (m2/uur) weekend]],0)</f>
        <v>0</v>
      </c>
      <c r="AD102" s="327">
        <f>Ruimtestaat[[#This Row],[uren / jaar weekend]]*Tariefsopbouw!$D$40</f>
        <v>0</v>
      </c>
      <c r="AE102" s="328">
        <f>Ruimtestaat[[#This Row],[Prest. (m2 /jaar) weekend]]+Ruimtestaat[[#This Row],[Prest. (m2 /jaar) werkdagen]]</f>
        <v>17400</v>
      </c>
      <c r="AF102" s="328">
        <f>Ruimtestaat[[#This Row],[uren / jaar weekend]]+Ruimtestaat[[#This Row],[uren / jaar werkdagen]]</f>
        <v>0</v>
      </c>
      <c r="AG102" s="329">
        <f>Ruimtestaat[[#This Row],[kosten / jaar weekend]]+Ruimtestaat[[#This Row],[kosten / jaar werkdagen]]</f>
        <v>0</v>
      </c>
      <c r="AH102" s="330"/>
      <c r="HL102" s="297"/>
    </row>
    <row r="103" spans="1:220" ht="15" customHeight="1">
      <c r="A103" s="271">
        <v>2</v>
      </c>
      <c r="B103" s="271" t="str">
        <f>VLOOKUP(Ruimtestaat[[#This Row],[Code]],Locaties[#All],2,FALSE)</f>
        <v>Paviljoen Nova</v>
      </c>
      <c r="C103" s="271" t="str">
        <f>VLOOKUP(Ruimtestaat[[#This Row],[Code]],Locaties[#All],4,FALSE)</f>
        <v>Sterrenlaan 16</v>
      </c>
      <c r="D103" s="271" t="str">
        <f>VLOOKUP(Ruimtestaat[[#This Row],[Code]],Locaties[#All],5,FALSE)</f>
        <v>5631 KA</v>
      </c>
      <c r="E103" s="271" t="str">
        <f>VLOOKUP(Ruimtestaat[[#This Row],[Code]],Locaties[#All],6,FALSE)</f>
        <v>Eindhoven</v>
      </c>
      <c r="F103" s="318"/>
      <c r="G103" s="271" t="s">
        <v>630</v>
      </c>
      <c r="H103" s="334" t="s">
        <v>631</v>
      </c>
      <c r="I103" s="228" t="s">
        <v>632</v>
      </c>
      <c r="J103" s="271">
        <v>16</v>
      </c>
      <c r="K103" s="318" t="str">
        <f>VLOOKUP(J103,Ruimtegroepen[],2,FALSE)</f>
        <v>Leslokalen theorie</v>
      </c>
      <c r="L103" s="271" t="s">
        <v>113</v>
      </c>
      <c r="M103" s="271" t="s">
        <v>373</v>
      </c>
      <c r="N103" s="319">
        <v>58</v>
      </c>
      <c r="O103" s="319"/>
      <c r="P103" s="320" t="str">
        <f>LEFT(VLOOKUP(Ruimtestaat[[#This Row],[Ruimte code]],Ruimtegroepen[#All],4,1),2)</f>
        <v xml:space="preserve">L </v>
      </c>
      <c r="Q103" s="320"/>
      <c r="R103" s="271">
        <v>40</v>
      </c>
      <c r="S103" s="271" t="s">
        <v>2</v>
      </c>
      <c r="T103" s="321">
        <f>IF(R103&gt;0,IF(RIGHT(Ruimtestaat[[#This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3" s="321">
        <f>IF(T103&gt;0,VLOOKUP($J103,Ruimtegroepen[],3,FALSE)*VLOOKUP($L103,Vloersoorten[],3,FALSE)*VLOOKUP($S103,Frequenties[],3,FALSE)*VLOOKUP($A103,Locaties[],3,FALSE),0)</f>
        <v>0</v>
      </c>
      <c r="V103" s="322">
        <f>Ruimtestaat[[#This Row],[Uitvoeringen werkdagen]]*Ruimtestaat[[#This Row],[Oppervlak (netto)]]</f>
        <v>11600</v>
      </c>
      <c r="W103" s="323">
        <f>IF(U103&gt;0,Ruimtestaat[[#This Row],[Prest. (m2 /jaar) werkdagen]]/Ruimtestaat[[#This Row],[Norm (m2/uur) werkdagen]],0)</f>
        <v>0</v>
      </c>
      <c r="X103" s="324">
        <f>Ruimtestaat[[#This Row],[uren / jaar werkdagen]]*Tariefsopbouw!$E$35</f>
        <v>0</v>
      </c>
      <c r="Y103" s="321"/>
      <c r="Z103" s="325">
        <f>IF(Ruimtestaat[[#This Row],[Frequentie weekend]]&gt;0,VALUE(LEFT(Y103,1))*R103,0)</f>
        <v>0</v>
      </c>
      <c r="AA103" s="321">
        <f>IF($Z103&gt;0,VLOOKUP($J103,Ruimtegroepen[],3,FALSE)*VLOOKUP($L103,Vloersoorten[],3,FALSE)*VLOOKUP($Y103,Frequenties[],3,FALSE)*VLOOKUP($A97,Locaties[],3,FALSE),0)</f>
        <v>0</v>
      </c>
      <c r="AB103" s="323">
        <f>Ruimtestaat[[#This Row],[Uitvoeringen weekend]]*Ruimtestaat[[#This Row],[Oppervlak (netto)]]</f>
        <v>0</v>
      </c>
      <c r="AC103" s="326">
        <f>IF(AB103&gt;0,Ruimtestaat[[#This Row],[Prest. (m2 /jaar) weekend]]/Ruimtestaat[[#This Row],[Norm (m2/uur) weekend]],0)</f>
        <v>0</v>
      </c>
      <c r="AD103" s="327">
        <f>Ruimtestaat[[#This Row],[uren / jaar weekend]]*Tariefsopbouw!$D$40</f>
        <v>0</v>
      </c>
      <c r="AE103" s="328">
        <f>Ruimtestaat[[#This Row],[Prest. (m2 /jaar) weekend]]+Ruimtestaat[[#This Row],[Prest. (m2 /jaar) werkdagen]]</f>
        <v>11600</v>
      </c>
      <c r="AF103" s="328">
        <f>Ruimtestaat[[#This Row],[uren / jaar weekend]]+Ruimtestaat[[#This Row],[uren / jaar werkdagen]]</f>
        <v>0</v>
      </c>
      <c r="AG103" s="329">
        <f>Ruimtestaat[[#This Row],[kosten / jaar weekend]]+Ruimtestaat[[#This Row],[kosten / jaar werkdagen]]</f>
        <v>0</v>
      </c>
      <c r="AH103" s="330"/>
      <c r="HL103" s="297"/>
    </row>
    <row r="104" spans="1:220" ht="15" customHeight="1">
      <c r="A104" s="271">
        <v>2</v>
      </c>
      <c r="B104" s="271" t="str">
        <f>VLOOKUP(Ruimtestaat[[#This Row],[Code]],Locaties[#All],2,FALSE)</f>
        <v>Paviljoen Nova</v>
      </c>
      <c r="C104" s="271" t="str">
        <f>VLOOKUP(Ruimtestaat[[#This Row],[Code]],Locaties[#All],4,FALSE)</f>
        <v>Sterrenlaan 16</v>
      </c>
      <c r="D104" s="271" t="str">
        <f>VLOOKUP(Ruimtestaat[[#This Row],[Code]],Locaties[#All],5,FALSE)</f>
        <v>5631 KA</v>
      </c>
      <c r="E104" s="271" t="str">
        <f>VLOOKUP(Ruimtestaat[[#This Row],[Code]],Locaties[#All],6,FALSE)</f>
        <v>Eindhoven</v>
      </c>
      <c r="F104" s="318"/>
      <c r="G104" s="271" t="s">
        <v>630</v>
      </c>
      <c r="H104" s="334" t="s">
        <v>633</v>
      </c>
      <c r="I104" s="228" t="s">
        <v>634</v>
      </c>
      <c r="J104" s="271">
        <v>16</v>
      </c>
      <c r="K104" s="318" t="str">
        <f>VLOOKUP(J104,Ruimtegroepen[],2,FALSE)</f>
        <v>Leslokalen theorie</v>
      </c>
      <c r="L104" s="271" t="s">
        <v>113</v>
      </c>
      <c r="M104" s="271" t="s">
        <v>373</v>
      </c>
      <c r="N104" s="319">
        <v>51</v>
      </c>
      <c r="O104" s="319"/>
      <c r="P104" s="320" t="str">
        <f>LEFT(VLOOKUP(Ruimtestaat[[#This Row],[Ruimte code]],Ruimtegroepen[#All],4,1),2)</f>
        <v xml:space="preserve">L </v>
      </c>
      <c r="Q104" s="320"/>
      <c r="R104" s="271">
        <v>40</v>
      </c>
      <c r="S104" s="271" t="s">
        <v>2</v>
      </c>
      <c r="T104" s="321">
        <f>IF(R104&gt;0,IF(RIGHT(Ruimtestaat[[#This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" s="321">
        <f>IF(T104&gt;0,VLOOKUP($J104,Ruimtegroepen[],3,FALSE)*VLOOKUP($L104,Vloersoorten[],3,FALSE)*VLOOKUP($S104,Frequenties[],3,FALSE)*VLOOKUP($A104,Locaties[],3,FALSE),0)</f>
        <v>0</v>
      </c>
      <c r="V104" s="322">
        <f>Ruimtestaat[[#This Row],[Uitvoeringen werkdagen]]*Ruimtestaat[[#This Row],[Oppervlak (netto)]]</f>
        <v>10200</v>
      </c>
      <c r="W104" s="323">
        <f>IF(U104&gt;0,Ruimtestaat[[#This Row],[Prest. (m2 /jaar) werkdagen]]/Ruimtestaat[[#This Row],[Norm (m2/uur) werkdagen]],0)</f>
        <v>0</v>
      </c>
      <c r="X104" s="324">
        <f>Ruimtestaat[[#This Row],[uren / jaar werkdagen]]*Tariefsopbouw!$E$35</f>
        <v>0</v>
      </c>
      <c r="Y104" s="321"/>
      <c r="Z104" s="325">
        <f>IF(Ruimtestaat[[#This Row],[Frequentie weekend]]&gt;0,VALUE(LEFT(Y104,1))*R104,0)</f>
        <v>0</v>
      </c>
      <c r="AA104" s="321">
        <f>IF($Z104&gt;0,VLOOKUP($J104,Ruimtegroepen[],3,FALSE)*VLOOKUP($L104,Vloersoorten[],3,FALSE)*VLOOKUP($Y104,Frequenties[],3,FALSE)*VLOOKUP($A98,Locaties[],3,FALSE),0)</f>
        <v>0</v>
      </c>
      <c r="AB104" s="323">
        <f>Ruimtestaat[[#This Row],[Uitvoeringen weekend]]*Ruimtestaat[[#This Row],[Oppervlak (netto)]]</f>
        <v>0</v>
      </c>
      <c r="AC104" s="326">
        <f>IF(AB104&gt;0,Ruimtestaat[[#This Row],[Prest. (m2 /jaar) weekend]]/Ruimtestaat[[#This Row],[Norm (m2/uur) weekend]],0)</f>
        <v>0</v>
      </c>
      <c r="AD104" s="327">
        <f>Ruimtestaat[[#This Row],[uren / jaar weekend]]*Tariefsopbouw!$D$40</f>
        <v>0</v>
      </c>
      <c r="AE104" s="328">
        <f>Ruimtestaat[[#This Row],[Prest. (m2 /jaar) weekend]]+Ruimtestaat[[#This Row],[Prest. (m2 /jaar) werkdagen]]</f>
        <v>10200</v>
      </c>
      <c r="AF104" s="328">
        <f>Ruimtestaat[[#This Row],[uren / jaar weekend]]+Ruimtestaat[[#This Row],[uren / jaar werkdagen]]</f>
        <v>0</v>
      </c>
      <c r="AG104" s="329">
        <f>Ruimtestaat[[#This Row],[kosten / jaar weekend]]+Ruimtestaat[[#This Row],[kosten / jaar werkdagen]]</f>
        <v>0</v>
      </c>
      <c r="AH104" s="330"/>
      <c r="HL104" s="297"/>
    </row>
    <row r="105" spans="1:220" ht="15" customHeight="1">
      <c r="A105" s="271">
        <v>2</v>
      </c>
      <c r="B105" s="271" t="str">
        <f>VLOOKUP(Ruimtestaat[[#This Row],[Code]],Locaties[#All],2,FALSE)</f>
        <v>Paviljoen Nova</v>
      </c>
      <c r="C105" s="271" t="str">
        <f>VLOOKUP(Ruimtestaat[[#This Row],[Code]],Locaties[#All],4,FALSE)</f>
        <v>Sterrenlaan 16</v>
      </c>
      <c r="D105" s="271" t="str">
        <f>VLOOKUP(Ruimtestaat[[#This Row],[Code]],Locaties[#All],5,FALSE)</f>
        <v>5631 KA</v>
      </c>
      <c r="E105" s="271" t="str">
        <f>VLOOKUP(Ruimtestaat[[#This Row],[Code]],Locaties[#All],6,FALSE)</f>
        <v>Eindhoven</v>
      </c>
      <c r="F105" s="318"/>
      <c r="G105" s="271" t="s">
        <v>630</v>
      </c>
      <c r="H105" s="334" t="s">
        <v>635</v>
      </c>
      <c r="I105" s="228" t="s">
        <v>636</v>
      </c>
      <c r="J105" s="271">
        <v>4</v>
      </c>
      <c r="K105" s="318" t="str">
        <f>VLOOKUP(J105,Ruimtegroepen[],2,FALSE)</f>
        <v>Vergader/spreekkamers</v>
      </c>
      <c r="L105" s="271" t="s">
        <v>113</v>
      </c>
      <c r="M105" s="271" t="s">
        <v>373</v>
      </c>
      <c r="N105" s="319">
        <v>13</v>
      </c>
      <c r="O105" s="319"/>
      <c r="P105" s="320" t="str">
        <f>LEFT(VLOOKUP(Ruimtestaat[[#This Row],[Ruimte code]],Ruimtegroepen[#All],4,1),2)</f>
        <v xml:space="preserve">B </v>
      </c>
      <c r="Q105" s="320"/>
      <c r="R105" s="271">
        <v>40</v>
      </c>
      <c r="S105" s="271" t="s">
        <v>18</v>
      </c>
      <c r="T105" s="321">
        <f>IF(R105&gt;0,IF(RIGHT(Ruimtestaat[[#This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05" s="321">
        <f>IF(T105&gt;0,VLOOKUP($J105,Ruimtegroepen[],3,FALSE)*VLOOKUP($L105,Vloersoorten[],3,FALSE)*VLOOKUP($S105,Frequenties[],3,FALSE)*VLOOKUP($A105,Locaties[],3,FALSE),0)</f>
        <v>0</v>
      </c>
      <c r="V105" s="322">
        <f>Ruimtestaat[[#This Row],[Uitvoeringen werkdagen]]*Ruimtestaat[[#This Row],[Oppervlak (netto)]]</f>
        <v>1560</v>
      </c>
      <c r="W105" s="323">
        <f>IF(U105&gt;0,Ruimtestaat[[#This Row],[Prest. (m2 /jaar) werkdagen]]/Ruimtestaat[[#This Row],[Norm (m2/uur) werkdagen]],0)</f>
        <v>0</v>
      </c>
      <c r="X105" s="324">
        <f>Ruimtestaat[[#This Row],[uren / jaar werkdagen]]*Tariefsopbouw!$E$35</f>
        <v>0</v>
      </c>
      <c r="Y105" s="321"/>
      <c r="Z105" s="325">
        <f>IF(Ruimtestaat[[#This Row],[Frequentie weekend]]&gt;0,VALUE(LEFT(Y105,1))*R105,0)</f>
        <v>0</v>
      </c>
      <c r="AA105" s="321">
        <f>IF($Z105&gt;0,VLOOKUP($J105,Ruimtegroepen[],3,FALSE)*VLOOKUP($L105,Vloersoorten[],3,FALSE)*VLOOKUP($Y105,Frequenties[],3,FALSE)*VLOOKUP($A99,Locaties[],3,FALSE),0)</f>
        <v>0</v>
      </c>
      <c r="AB105" s="323">
        <f>Ruimtestaat[[#This Row],[Uitvoeringen weekend]]*Ruimtestaat[[#This Row],[Oppervlak (netto)]]</f>
        <v>0</v>
      </c>
      <c r="AC105" s="326">
        <f>IF(AB105&gt;0,Ruimtestaat[[#This Row],[Prest. (m2 /jaar) weekend]]/Ruimtestaat[[#This Row],[Norm (m2/uur) weekend]],0)</f>
        <v>0</v>
      </c>
      <c r="AD105" s="327">
        <f>Ruimtestaat[[#This Row],[uren / jaar weekend]]*Tariefsopbouw!$D$40</f>
        <v>0</v>
      </c>
      <c r="AE105" s="328">
        <f>Ruimtestaat[[#This Row],[Prest. (m2 /jaar) weekend]]+Ruimtestaat[[#This Row],[Prest. (m2 /jaar) werkdagen]]</f>
        <v>1560</v>
      </c>
      <c r="AF105" s="328">
        <f>Ruimtestaat[[#This Row],[uren / jaar weekend]]+Ruimtestaat[[#This Row],[uren / jaar werkdagen]]</f>
        <v>0</v>
      </c>
      <c r="AG105" s="329">
        <f>Ruimtestaat[[#This Row],[kosten / jaar weekend]]+Ruimtestaat[[#This Row],[kosten / jaar werkdagen]]</f>
        <v>0</v>
      </c>
      <c r="AH105" s="330"/>
      <c r="HL105" s="297"/>
    </row>
    <row r="106" spans="1:220" ht="15" customHeight="1">
      <c r="A106" s="271">
        <v>2</v>
      </c>
      <c r="B106" s="271" t="str">
        <f>VLOOKUP(Ruimtestaat[[#This Row],[Code]],Locaties[#All],2,FALSE)</f>
        <v>Paviljoen Nova</v>
      </c>
      <c r="C106" s="271" t="str">
        <f>VLOOKUP(Ruimtestaat[[#This Row],[Code]],Locaties[#All],4,FALSE)</f>
        <v>Sterrenlaan 16</v>
      </c>
      <c r="D106" s="271" t="str">
        <f>VLOOKUP(Ruimtestaat[[#This Row],[Code]],Locaties[#All],5,FALSE)</f>
        <v>5631 KA</v>
      </c>
      <c r="E106" s="271" t="str">
        <f>VLOOKUP(Ruimtestaat[[#This Row],[Code]],Locaties[#All],6,FALSE)</f>
        <v>Eindhoven</v>
      </c>
      <c r="F106" s="318"/>
      <c r="G106" s="271" t="s">
        <v>630</v>
      </c>
      <c r="H106" s="334" t="s">
        <v>637</v>
      </c>
      <c r="I106" s="228" t="s">
        <v>638</v>
      </c>
      <c r="J106" s="271">
        <v>16</v>
      </c>
      <c r="K106" s="318" t="str">
        <f>VLOOKUP(J106,Ruimtegroepen[],2,FALSE)</f>
        <v>Leslokalen theorie</v>
      </c>
      <c r="L106" s="271" t="s">
        <v>113</v>
      </c>
      <c r="M106" s="271" t="s">
        <v>373</v>
      </c>
      <c r="N106" s="319">
        <v>57</v>
      </c>
      <c r="O106" s="319"/>
      <c r="P106" s="320" t="str">
        <f>LEFT(VLOOKUP(Ruimtestaat[[#This Row],[Ruimte code]],Ruimtegroepen[#All],4,1),2)</f>
        <v xml:space="preserve">L </v>
      </c>
      <c r="Q106" s="320"/>
      <c r="R106" s="271">
        <v>40</v>
      </c>
      <c r="S106" s="271" t="s">
        <v>2</v>
      </c>
      <c r="T106" s="321">
        <f>IF(R106&gt;0,IF(RIGHT(Ruimtestaat[[#This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" s="321">
        <f>IF(T106&gt;0,VLOOKUP($J106,Ruimtegroepen[],3,FALSE)*VLOOKUP($L106,Vloersoorten[],3,FALSE)*VLOOKUP($S106,Frequenties[],3,FALSE)*VLOOKUP($A106,Locaties[],3,FALSE),0)</f>
        <v>0</v>
      </c>
      <c r="V106" s="322">
        <f>Ruimtestaat[[#This Row],[Uitvoeringen werkdagen]]*Ruimtestaat[[#This Row],[Oppervlak (netto)]]</f>
        <v>11400</v>
      </c>
      <c r="W106" s="323">
        <f>IF(U106&gt;0,Ruimtestaat[[#This Row],[Prest. (m2 /jaar) werkdagen]]/Ruimtestaat[[#This Row],[Norm (m2/uur) werkdagen]],0)</f>
        <v>0</v>
      </c>
      <c r="X106" s="324">
        <f>Ruimtestaat[[#This Row],[uren / jaar werkdagen]]*Tariefsopbouw!$E$35</f>
        <v>0</v>
      </c>
      <c r="Y106" s="321"/>
      <c r="Z106" s="325">
        <f>IF(Ruimtestaat[[#This Row],[Frequentie weekend]]&gt;0,VALUE(LEFT(Y106,1))*R106,0)</f>
        <v>0</v>
      </c>
      <c r="AA106" s="321">
        <f>IF($Z106&gt;0,VLOOKUP($J106,Ruimtegroepen[],3,FALSE)*VLOOKUP($L106,Vloersoorten[],3,FALSE)*VLOOKUP($Y106,Frequenties[],3,FALSE)*VLOOKUP($A102,Locaties[],3,FALSE),0)</f>
        <v>0</v>
      </c>
      <c r="AB106" s="323">
        <f>Ruimtestaat[[#This Row],[Uitvoeringen weekend]]*Ruimtestaat[[#This Row],[Oppervlak (netto)]]</f>
        <v>0</v>
      </c>
      <c r="AC106" s="326">
        <f>IF(AB106&gt;0,Ruimtestaat[[#This Row],[Prest. (m2 /jaar) weekend]]/Ruimtestaat[[#This Row],[Norm (m2/uur) weekend]],0)</f>
        <v>0</v>
      </c>
      <c r="AD106" s="327">
        <f>Ruimtestaat[[#This Row],[uren / jaar weekend]]*Tariefsopbouw!$D$40</f>
        <v>0</v>
      </c>
      <c r="AE106" s="328">
        <f>Ruimtestaat[[#This Row],[Prest. (m2 /jaar) weekend]]+Ruimtestaat[[#This Row],[Prest. (m2 /jaar) werkdagen]]</f>
        <v>11400</v>
      </c>
      <c r="AF106" s="328">
        <f>Ruimtestaat[[#This Row],[uren / jaar weekend]]+Ruimtestaat[[#This Row],[uren / jaar werkdagen]]</f>
        <v>0</v>
      </c>
      <c r="AG106" s="329">
        <f>Ruimtestaat[[#This Row],[kosten / jaar weekend]]+Ruimtestaat[[#This Row],[kosten / jaar werkdagen]]</f>
        <v>0</v>
      </c>
      <c r="AH106" s="330"/>
      <c r="HL106" s="297"/>
    </row>
    <row r="107" spans="1:220" ht="15" customHeight="1">
      <c r="A107" s="271">
        <v>2</v>
      </c>
      <c r="B107" s="271" t="str">
        <f>VLOOKUP(Ruimtestaat[[#This Row],[Code]],Locaties[#All],2,FALSE)</f>
        <v>Paviljoen Nova</v>
      </c>
      <c r="C107" s="271" t="str">
        <f>VLOOKUP(Ruimtestaat[[#This Row],[Code]],Locaties[#All],4,FALSE)</f>
        <v>Sterrenlaan 16</v>
      </c>
      <c r="D107" s="271" t="str">
        <f>VLOOKUP(Ruimtestaat[[#This Row],[Code]],Locaties[#All],5,FALSE)</f>
        <v>5631 KA</v>
      </c>
      <c r="E107" s="271" t="str">
        <f>VLOOKUP(Ruimtestaat[[#This Row],[Code]],Locaties[#All],6,FALSE)</f>
        <v>Eindhoven</v>
      </c>
      <c r="F107" s="318"/>
      <c r="G107" s="271" t="s">
        <v>630</v>
      </c>
      <c r="H107" s="334" t="s">
        <v>639</v>
      </c>
      <c r="I107" s="228" t="s">
        <v>495</v>
      </c>
      <c r="J107" s="271">
        <v>10</v>
      </c>
      <c r="K107" s="318" t="str">
        <f>VLOOKUP(J107,Ruimtegroepen[],2,FALSE)</f>
        <v>Trappenhuizen/lift</v>
      </c>
      <c r="L107" s="271" t="s">
        <v>114</v>
      </c>
      <c r="M107" s="271" t="s">
        <v>705</v>
      </c>
      <c r="N107" s="319">
        <v>10</v>
      </c>
      <c r="O107" s="319"/>
      <c r="P107" s="320" t="str">
        <f>LEFT(VLOOKUP(Ruimtestaat[[#This Row],[Ruimte code]],Ruimtegroepen[#All],4,1),2)</f>
        <v xml:space="preserve">V </v>
      </c>
      <c r="Q107" s="320"/>
      <c r="R107" s="271">
        <v>40</v>
      </c>
      <c r="S107" s="271" t="s">
        <v>2</v>
      </c>
      <c r="T107" s="321">
        <f>IF(R107&gt;0,IF(RIGHT(Ruimtestaat[[#This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" s="321">
        <f>IF(T107&gt;0,VLOOKUP($J107,Ruimtegroepen[],3,FALSE)*VLOOKUP($L107,Vloersoorten[],3,FALSE)*VLOOKUP($S107,Frequenties[],3,FALSE)*VLOOKUP($A107,Locaties[],3,FALSE),0)</f>
        <v>0</v>
      </c>
      <c r="V107" s="322">
        <f>Ruimtestaat[[#This Row],[Uitvoeringen werkdagen]]*Ruimtestaat[[#This Row],[Oppervlak (netto)]]</f>
        <v>2000</v>
      </c>
      <c r="W107" s="323">
        <f>IF(U107&gt;0,Ruimtestaat[[#This Row],[Prest. (m2 /jaar) werkdagen]]/Ruimtestaat[[#This Row],[Norm (m2/uur) werkdagen]],0)</f>
        <v>0</v>
      </c>
      <c r="X107" s="324">
        <f>Ruimtestaat[[#This Row],[uren / jaar werkdagen]]*Tariefsopbouw!$E$35</f>
        <v>0</v>
      </c>
      <c r="Y107" s="321"/>
      <c r="Z107" s="325">
        <f>IF(Ruimtestaat[[#This Row],[Frequentie weekend]]&gt;0,VALUE(LEFT(Y107,1))*R107,0)</f>
        <v>0</v>
      </c>
      <c r="AA107" s="321">
        <f>IF($Z107&gt;0,VLOOKUP($J107,Ruimtegroepen[],3,FALSE)*VLOOKUP($L107,Vloersoorten[],3,FALSE)*VLOOKUP($Y107,Frequenties[],3,FALSE)*VLOOKUP($A103,Locaties[],3,FALSE),0)</f>
        <v>0</v>
      </c>
      <c r="AB107" s="323">
        <f>Ruimtestaat[[#This Row],[Uitvoeringen weekend]]*Ruimtestaat[[#This Row],[Oppervlak (netto)]]</f>
        <v>0</v>
      </c>
      <c r="AC107" s="326">
        <f>IF(AB107&gt;0,Ruimtestaat[[#This Row],[Prest. (m2 /jaar) weekend]]/Ruimtestaat[[#This Row],[Norm (m2/uur) weekend]],0)</f>
        <v>0</v>
      </c>
      <c r="AD107" s="327">
        <f>Ruimtestaat[[#This Row],[uren / jaar weekend]]*Tariefsopbouw!$D$40</f>
        <v>0</v>
      </c>
      <c r="AE107" s="328">
        <f>Ruimtestaat[[#This Row],[Prest. (m2 /jaar) weekend]]+Ruimtestaat[[#This Row],[Prest. (m2 /jaar) werkdagen]]</f>
        <v>2000</v>
      </c>
      <c r="AF107" s="328">
        <f>Ruimtestaat[[#This Row],[uren / jaar weekend]]+Ruimtestaat[[#This Row],[uren / jaar werkdagen]]</f>
        <v>0</v>
      </c>
      <c r="AG107" s="329">
        <f>Ruimtestaat[[#This Row],[kosten / jaar weekend]]+Ruimtestaat[[#This Row],[kosten / jaar werkdagen]]</f>
        <v>0</v>
      </c>
      <c r="AH107" s="330"/>
      <c r="HL107" s="297"/>
    </row>
    <row r="108" spans="1:220" ht="15" customHeight="1">
      <c r="A108" s="271">
        <v>2</v>
      </c>
      <c r="B108" s="271" t="str">
        <f>VLOOKUP(Ruimtestaat[[#This Row],[Code]],Locaties[#All],2,FALSE)</f>
        <v>Paviljoen Nova</v>
      </c>
      <c r="C108" s="271" t="str">
        <f>VLOOKUP(Ruimtestaat[[#This Row],[Code]],Locaties[#All],4,FALSE)</f>
        <v>Sterrenlaan 16</v>
      </c>
      <c r="D108" s="271" t="str">
        <f>VLOOKUP(Ruimtestaat[[#This Row],[Code]],Locaties[#All],5,FALSE)</f>
        <v>5631 KA</v>
      </c>
      <c r="E108" s="271" t="str">
        <f>VLOOKUP(Ruimtestaat[[#This Row],[Code]],Locaties[#All],6,FALSE)</f>
        <v>Eindhoven</v>
      </c>
      <c r="F108" s="318"/>
      <c r="G108" s="271" t="s">
        <v>630</v>
      </c>
      <c r="H108" s="334" t="s">
        <v>640</v>
      </c>
      <c r="I108" s="228" t="s">
        <v>641</v>
      </c>
      <c r="J108" s="271">
        <v>16</v>
      </c>
      <c r="K108" s="318" t="str">
        <f>VLOOKUP(J108,Ruimtegroepen[],2,FALSE)</f>
        <v>Leslokalen theorie</v>
      </c>
      <c r="L108" s="271" t="s">
        <v>113</v>
      </c>
      <c r="M108" s="271" t="s">
        <v>373</v>
      </c>
      <c r="N108" s="319">
        <v>56</v>
      </c>
      <c r="O108" s="319"/>
      <c r="P108" s="320" t="str">
        <f>LEFT(VLOOKUP(Ruimtestaat[[#This Row],[Ruimte code]],Ruimtegroepen[#All],4,1),2)</f>
        <v xml:space="preserve">L </v>
      </c>
      <c r="Q108" s="320"/>
      <c r="R108" s="271">
        <v>40</v>
      </c>
      <c r="S108" s="271" t="s">
        <v>2</v>
      </c>
      <c r="T108" s="321">
        <f>IF(R108&gt;0,IF(RIGHT(Ruimtestaat[[#This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8" s="321">
        <f>IF(T108&gt;0,VLOOKUP($J108,Ruimtegroepen[],3,FALSE)*VLOOKUP($L108,Vloersoorten[],3,FALSE)*VLOOKUP($S108,Frequenties[],3,FALSE)*VLOOKUP($A108,Locaties[],3,FALSE),0)</f>
        <v>0</v>
      </c>
      <c r="V108" s="322">
        <f>Ruimtestaat[[#This Row],[Uitvoeringen werkdagen]]*Ruimtestaat[[#This Row],[Oppervlak (netto)]]</f>
        <v>11200</v>
      </c>
      <c r="W108" s="323">
        <f>IF(U108&gt;0,Ruimtestaat[[#This Row],[Prest. (m2 /jaar) werkdagen]]/Ruimtestaat[[#This Row],[Norm (m2/uur) werkdagen]],0)</f>
        <v>0</v>
      </c>
      <c r="X108" s="324">
        <f>Ruimtestaat[[#This Row],[uren / jaar werkdagen]]*Tariefsopbouw!$E$35</f>
        <v>0</v>
      </c>
      <c r="Y108" s="321"/>
      <c r="Z108" s="325">
        <f>IF(Ruimtestaat[[#This Row],[Frequentie weekend]]&gt;0,VALUE(LEFT(Y108,1))*R108,0)</f>
        <v>0</v>
      </c>
      <c r="AA108" s="321">
        <f>IF($Z108&gt;0,VLOOKUP($J108,Ruimtegroepen[],3,FALSE)*VLOOKUP($L108,Vloersoorten[],3,FALSE)*VLOOKUP($Y108,Frequenties[],3,FALSE)*VLOOKUP($A103,Locaties[],3,FALSE),0)</f>
        <v>0</v>
      </c>
      <c r="AB108" s="323">
        <f>Ruimtestaat[[#This Row],[Uitvoeringen weekend]]*Ruimtestaat[[#This Row],[Oppervlak (netto)]]</f>
        <v>0</v>
      </c>
      <c r="AC108" s="326">
        <f>IF(AB108&gt;0,Ruimtestaat[[#This Row],[Prest. (m2 /jaar) weekend]]/Ruimtestaat[[#This Row],[Norm (m2/uur) weekend]],0)</f>
        <v>0</v>
      </c>
      <c r="AD108" s="327">
        <f>Ruimtestaat[[#This Row],[uren / jaar weekend]]*Tariefsopbouw!$D$40</f>
        <v>0</v>
      </c>
      <c r="AE108" s="328">
        <f>Ruimtestaat[[#This Row],[Prest. (m2 /jaar) weekend]]+Ruimtestaat[[#This Row],[Prest. (m2 /jaar) werkdagen]]</f>
        <v>11200</v>
      </c>
      <c r="AF108" s="328">
        <f>Ruimtestaat[[#This Row],[uren / jaar weekend]]+Ruimtestaat[[#This Row],[uren / jaar werkdagen]]</f>
        <v>0</v>
      </c>
      <c r="AG108" s="329">
        <f>Ruimtestaat[[#This Row],[kosten / jaar weekend]]+Ruimtestaat[[#This Row],[kosten / jaar werkdagen]]</f>
        <v>0</v>
      </c>
      <c r="AH108" s="330"/>
      <c r="HL108" s="297"/>
    </row>
    <row r="109" spans="1:220" ht="15" customHeight="1">
      <c r="A109" s="271">
        <v>2</v>
      </c>
      <c r="B109" s="271" t="str">
        <f>VLOOKUP(Ruimtestaat[[#This Row],[Code]],Locaties[#All],2,FALSE)</f>
        <v>Paviljoen Nova</v>
      </c>
      <c r="C109" s="271" t="str">
        <f>VLOOKUP(Ruimtestaat[[#This Row],[Code]],Locaties[#All],4,FALSE)</f>
        <v>Sterrenlaan 16</v>
      </c>
      <c r="D109" s="271" t="str">
        <f>VLOOKUP(Ruimtestaat[[#This Row],[Code]],Locaties[#All],5,FALSE)</f>
        <v>5631 KA</v>
      </c>
      <c r="E109" s="271" t="str">
        <f>VLOOKUP(Ruimtestaat[[#This Row],[Code]],Locaties[#All],6,FALSE)</f>
        <v>Eindhoven</v>
      </c>
      <c r="F109" s="318"/>
      <c r="G109" s="271" t="s">
        <v>630</v>
      </c>
      <c r="H109" s="334" t="s">
        <v>642</v>
      </c>
      <c r="I109" s="228" t="s">
        <v>250</v>
      </c>
      <c r="J109" s="271">
        <v>10</v>
      </c>
      <c r="K109" s="318" t="str">
        <f>VLOOKUP(J109,Ruimtegroepen[],2,FALSE)</f>
        <v>Trappenhuizen/lift</v>
      </c>
      <c r="L109" s="271" t="s">
        <v>113</v>
      </c>
      <c r="M109" s="271" t="s">
        <v>373</v>
      </c>
      <c r="N109" s="319">
        <v>3</v>
      </c>
      <c r="O109" s="319"/>
      <c r="P109" s="320" t="str">
        <f>LEFT(VLOOKUP(Ruimtestaat[[#This Row],[Ruimte code]],Ruimtegroepen[#All],4,1),2)</f>
        <v xml:space="preserve">V </v>
      </c>
      <c r="Q109" s="320"/>
      <c r="R109" s="271">
        <v>40</v>
      </c>
      <c r="S109" s="271" t="s">
        <v>2</v>
      </c>
      <c r="T109" s="321">
        <f>IF(R109&gt;0,IF(RIGHT(Ruimtestaat[[#This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9" s="321">
        <f>IF(T109&gt;0,VLOOKUP($J109,Ruimtegroepen[],3,FALSE)*VLOOKUP($L109,Vloersoorten[],3,FALSE)*VLOOKUP($S109,Frequenties[],3,FALSE)*VLOOKUP($A109,Locaties[],3,FALSE),0)</f>
        <v>0</v>
      </c>
      <c r="V109" s="322">
        <f>Ruimtestaat[[#This Row],[Uitvoeringen werkdagen]]*Ruimtestaat[[#This Row],[Oppervlak (netto)]]</f>
        <v>600</v>
      </c>
      <c r="W109" s="323">
        <f>IF(U109&gt;0,Ruimtestaat[[#This Row],[Prest. (m2 /jaar) werkdagen]]/Ruimtestaat[[#This Row],[Norm (m2/uur) werkdagen]],0)</f>
        <v>0</v>
      </c>
      <c r="X109" s="324">
        <f>Ruimtestaat[[#This Row],[uren / jaar werkdagen]]*Tariefsopbouw!$E$35</f>
        <v>0</v>
      </c>
      <c r="Y109" s="321"/>
      <c r="Z109" s="325">
        <f>IF(Ruimtestaat[[#This Row],[Frequentie weekend]]&gt;0,VALUE(LEFT(Y109,1))*R109,0)</f>
        <v>0</v>
      </c>
      <c r="AA109" s="321">
        <f>IF($Z109&gt;0,VLOOKUP($J109,Ruimtegroepen[],3,FALSE)*VLOOKUP($L109,Vloersoorten[],3,FALSE)*VLOOKUP($Y109,Frequenties[],3,FALSE)*VLOOKUP($A104,Locaties[],3,FALSE),0)</f>
        <v>0</v>
      </c>
      <c r="AB109" s="323">
        <f>Ruimtestaat[[#This Row],[Uitvoeringen weekend]]*Ruimtestaat[[#This Row],[Oppervlak (netto)]]</f>
        <v>0</v>
      </c>
      <c r="AC109" s="326">
        <f>IF(AB109&gt;0,Ruimtestaat[[#This Row],[Prest. (m2 /jaar) weekend]]/Ruimtestaat[[#This Row],[Norm (m2/uur) weekend]],0)</f>
        <v>0</v>
      </c>
      <c r="AD109" s="327">
        <f>Ruimtestaat[[#This Row],[uren / jaar weekend]]*Tariefsopbouw!$D$40</f>
        <v>0</v>
      </c>
      <c r="AE109" s="328">
        <f>Ruimtestaat[[#This Row],[Prest. (m2 /jaar) weekend]]+Ruimtestaat[[#This Row],[Prest. (m2 /jaar) werkdagen]]</f>
        <v>600</v>
      </c>
      <c r="AF109" s="328">
        <f>Ruimtestaat[[#This Row],[uren / jaar weekend]]+Ruimtestaat[[#This Row],[uren / jaar werkdagen]]</f>
        <v>0</v>
      </c>
      <c r="AG109" s="329">
        <f>Ruimtestaat[[#This Row],[kosten / jaar weekend]]+Ruimtestaat[[#This Row],[kosten / jaar werkdagen]]</f>
        <v>0</v>
      </c>
      <c r="AH109" s="330"/>
      <c r="HL109" s="297"/>
    </row>
    <row r="110" spans="1:220" ht="15" customHeight="1">
      <c r="A110" s="271">
        <v>2</v>
      </c>
      <c r="B110" s="271" t="str">
        <f>VLOOKUP(Ruimtestaat[[#This Row],[Code]],Locaties[#All],2,FALSE)</f>
        <v>Paviljoen Nova</v>
      </c>
      <c r="C110" s="271" t="str">
        <f>VLOOKUP(Ruimtestaat[[#This Row],[Code]],Locaties[#All],4,FALSE)</f>
        <v>Sterrenlaan 16</v>
      </c>
      <c r="D110" s="271" t="str">
        <f>VLOOKUP(Ruimtestaat[[#This Row],[Code]],Locaties[#All],5,FALSE)</f>
        <v>5631 KA</v>
      </c>
      <c r="E110" s="271" t="str">
        <f>VLOOKUP(Ruimtestaat[[#This Row],[Code]],Locaties[#All],6,FALSE)</f>
        <v>Eindhoven</v>
      </c>
      <c r="F110" s="318"/>
      <c r="G110" s="271" t="s">
        <v>630</v>
      </c>
      <c r="H110" s="334" t="s">
        <v>643</v>
      </c>
      <c r="I110" s="228" t="s">
        <v>644</v>
      </c>
      <c r="J110" s="271">
        <v>7</v>
      </c>
      <c r="K110" s="318" t="str">
        <f>VLOOKUP(J110,Ruimtegroepen[],2,FALSE)</f>
        <v>Entree</v>
      </c>
      <c r="L110" s="271" t="s">
        <v>112</v>
      </c>
      <c r="M110" s="271" t="s">
        <v>697</v>
      </c>
      <c r="N110" s="319">
        <v>9</v>
      </c>
      <c r="O110" s="319"/>
      <c r="P110" s="320" t="str">
        <f>LEFT(VLOOKUP(Ruimtestaat[[#This Row],[Ruimte code]],Ruimtegroepen[#All],4,1),2)</f>
        <v xml:space="preserve">V </v>
      </c>
      <c r="Q110" s="320"/>
      <c r="R110" s="271">
        <v>40</v>
      </c>
      <c r="S110" s="271" t="s">
        <v>2</v>
      </c>
      <c r="T110" s="321">
        <f>IF(R110&gt;0,IF(RIGHT(Ruimtestaat[[#This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" s="321">
        <f>IF(T110&gt;0,VLOOKUP($J110,Ruimtegroepen[],3,FALSE)*VLOOKUP($L110,Vloersoorten[],3,FALSE)*VLOOKUP($S110,Frequenties[],3,FALSE)*VLOOKUP($A110,Locaties[],3,FALSE),0)</f>
        <v>0</v>
      </c>
      <c r="V110" s="322">
        <f>Ruimtestaat[[#This Row],[Uitvoeringen werkdagen]]*Ruimtestaat[[#This Row],[Oppervlak (netto)]]</f>
        <v>1800</v>
      </c>
      <c r="W110" s="323">
        <f>IF(U110&gt;0,Ruimtestaat[[#This Row],[Prest. (m2 /jaar) werkdagen]]/Ruimtestaat[[#This Row],[Norm (m2/uur) werkdagen]],0)</f>
        <v>0</v>
      </c>
      <c r="X110" s="324">
        <f>Ruimtestaat[[#This Row],[uren / jaar werkdagen]]*Tariefsopbouw!$E$35</f>
        <v>0</v>
      </c>
      <c r="Y110" s="321"/>
      <c r="Z110" s="325">
        <f>IF(Ruimtestaat[[#This Row],[Frequentie weekend]]&gt;0,VALUE(LEFT(Y110,1))*R110,0)</f>
        <v>0</v>
      </c>
      <c r="AA110" s="321">
        <f>IF($Z110&gt;0,VLOOKUP($J110,Ruimtegroepen[],3,FALSE)*VLOOKUP($L110,Vloersoorten[],3,FALSE)*VLOOKUP($Y110,Frequenties[],3,FALSE)*VLOOKUP($A105,Locaties[],3,FALSE),0)</f>
        <v>0</v>
      </c>
      <c r="AB110" s="323">
        <f>Ruimtestaat[[#This Row],[Uitvoeringen weekend]]*Ruimtestaat[[#This Row],[Oppervlak (netto)]]</f>
        <v>0</v>
      </c>
      <c r="AC110" s="326">
        <f>IF(AB110&gt;0,Ruimtestaat[[#This Row],[Prest. (m2 /jaar) weekend]]/Ruimtestaat[[#This Row],[Norm (m2/uur) weekend]],0)</f>
        <v>0</v>
      </c>
      <c r="AD110" s="327">
        <f>Ruimtestaat[[#This Row],[uren / jaar weekend]]*Tariefsopbouw!$D$40</f>
        <v>0</v>
      </c>
      <c r="AE110" s="328">
        <f>Ruimtestaat[[#This Row],[Prest. (m2 /jaar) weekend]]+Ruimtestaat[[#This Row],[Prest. (m2 /jaar) werkdagen]]</f>
        <v>1800</v>
      </c>
      <c r="AF110" s="328">
        <f>Ruimtestaat[[#This Row],[uren / jaar weekend]]+Ruimtestaat[[#This Row],[uren / jaar werkdagen]]</f>
        <v>0</v>
      </c>
      <c r="AG110" s="329">
        <f>Ruimtestaat[[#This Row],[kosten / jaar weekend]]+Ruimtestaat[[#This Row],[kosten / jaar werkdagen]]</f>
        <v>0</v>
      </c>
      <c r="AH110" s="330"/>
      <c r="HL110" s="297"/>
    </row>
    <row r="111" spans="1:220" ht="15" customHeight="1">
      <c r="A111" s="271">
        <v>2</v>
      </c>
      <c r="B111" s="271" t="str">
        <f>VLOOKUP(Ruimtestaat[[#This Row],[Code]],Locaties[#All],2,FALSE)</f>
        <v>Paviljoen Nova</v>
      </c>
      <c r="C111" s="271" t="str">
        <f>VLOOKUP(Ruimtestaat[[#This Row],[Code]],Locaties[#All],4,FALSE)</f>
        <v>Sterrenlaan 16</v>
      </c>
      <c r="D111" s="271" t="str">
        <f>VLOOKUP(Ruimtestaat[[#This Row],[Code]],Locaties[#All],5,FALSE)</f>
        <v>5631 KA</v>
      </c>
      <c r="E111" s="271" t="str">
        <f>VLOOKUP(Ruimtestaat[[#This Row],[Code]],Locaties[#All],6,FALSE)</f>
        <v>Eindhoven</v>
      </c>
      <c r="F111" s="318"/>
      <c r="G111" s="271" t="s">
        <v>630</v>
      </c>
      <c r="H111" s="334" t="s">
        <v>645</v>
      </c>
      <c r="I111" s="228" t="s">
        <v>646</v>
      </c>
      <c r="J111" s="271">
        <v>5</v>
      </c>
      <c r="K111" s="318" t="str">
        <f>VLOOKUP(J111,Ruimtegroepen[],2,FALSE)</f>
        <v>Sanitair</v>
      </c>
      <c r="L111" s="271" t="s">
        <v>114</v>
      </c>
      <c r="M111" s="271" t="s">
        <v>706</v>
      </c>
      <c r="N111" s="319">
        <v>6</v>
      </c>
      <c r="O111" s="319"/>
      <c r="P111" s="320" t="str">
        <f>LEFT(VLOOKUP(Ruimtestaat[[#This Row],[Ruimte code]],Ruimtegroepen[#All],4,1),2)</f>
        <v xml:space="preserve">S </v>
      </c>
      <c r="Q111" s="320"/>
      <c r="R111" s="271">
        <v>42</v>
      </c>
      <c r="S111" s="271" t="s">
        <v>2</v>
      </c>
      <c r="T111" s="321">
        <f>IF(R111&gt;0,IF(RIGHT(Ruimtestaat[[#This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111" s="321">
        <f>IF(T111&gt;0,VLOOKUP($J111,Ruimtegroepen[],3,FALSE)*VLOOKUP($L111,Vloersoorten[],3,FALSE)*VLOOKUP($S111,Frequenties[],3,FALSE)*VLOOKUP($A111,Locaties[],3,FALSE),0)</f>
        <v>0</v>
      </c>
      <c r="V111" s="322">
        <f>Ruimtestaat[[#This Row],[Uitvoeringen werkdagen]]*Ruimtestaat[[#This Row],[Oppervlak (netto)]]</f>
        <v>1260</v>
      </c>
      <c r="W111" s="323">
        <f>IF(U111&gt;0,Ruimtestaat[[#This Row],[Prest. (m2 /jaar) werkdagen]]/Ruimtestaat[[#This Row],[Norm (m2/uur) werkdagen]],0)</f>
        <v>0</v>
      </c>
      <c r="X111" s="324">
        <f>Ruimtestaat[[#This Row],[uren / jaar werkdagen]]*Tariefsopbouw!$E$35</f>
        <v>0</v>
      </c>
      <c r="Y111" s="321"/>
      <c r="Z111" s="325">
        <f>IF(Ruimtestaat[[#This Row],[Frequentie weekend]]&gt;0,VALUE(LEFT(Y111,1))*R111,0)</f>
        <v>0</v>
      </c>
      <c r="AA111" s="321">
        <f>IF($Z111&gt;0,VLOOKUP($J111,Ruimtegroepen[],3,FALSE)*VLOOKUP($L111,Vloersoorten[],3,FALSE)*VLOOKUP($Y111,Frequenties[],3,FALSE)*VLOOKUP($A106,Locaties[],3,FALSE),0)</f>
        <v>0</v>
      </c>
      <c r="AB111" s="323">
        <f>Ruimtestaat[[#This Row],[Uitvoeringen weekend]]*Ruimtestaat[[#This Row],[Oppervlak (netto)]]</f>
        <v>0</v>
      </c>
      <c r="AC111" s="326">
        <f>IF(AB111&gt;0,Ruimtestaat[[#This Row],[Prest. (m2 /jaar) weekend]]/Ruimtestaat[[#This Row],[Norm (m2/uur) weekend]],0)</f>
        <v>0</v>
      </c>
      <c r="AD111" s="327">
        <f>Ruimtestaat[[#This Row],[uren / jaar weekend]]*Tariefsopbouw!$D$40</f>
        <v>0</v>
      </c>
      <c r="AE111" s="328">
        <f>Ruimtestaat[[#This Row],[Prest. (m2 /jaar) weekend]]+Ruimtestaat[[#This Row],[Prest. (m2 /jaar) werkdagen]]</f>
        <v>1260</v>
      </c>
      <c r="AF111" s="328">
        <f>Ruimtestaat[[#This Row],[uren / jaar weekend]]+Ruimtestaat[[#This Row],[uren / jaar werkdagen]]</f>
        <v>0</v>
      </c>
      <c r="AG111" s="329">
        <f>Ruimtestaat[[#This Row],[kosten / jaar weekend]]+Ruimtestaat[[#This Row],[kosten / jaar werkdagen]]</f>
        <v>0</v>
      </c>
      <c r="AH111" s="330"/>
      <c r="HL111" s="297"/>
    </row>
    <row r="112" spans="1:220" ht="15" customHeight="1">
      <c r="A112" s="271">
        <v>2</v>
      </c>
      <c r="B112" s="271" t="str">
        <f>VLOOKUP(Ruimtestaat[[#This Row],[Code]],Locaties[#All],2,FALSE)</f>
        <v>Paviljoen Nova</v>
      </c>
      <c r="C112" s="271" t="str">
        <f>VLOOKUP(Ruimtestaat[[#This Row],[Code]],Locaties[#All],4,FALSE)</f>
        <v>Sterrenlaan 16</v>
      </c>
      <c r="D112" s="271" t="str">
        <f>VLOOKUP(Ruimtestaat[[#This Row],[Code]],Locaties[#All],5,FALSE)</f>
        <v>5631 KA</v>
      </c>
      <c r="E112" s="271" t="str">
        <f>VLOOKUP(Ruimtestaat[[#This Row],[Code]],Locaties[#All],6,FALSE)</f>
        <v>Eindhoven</v>
      </c>
      <c r="F112" s="318"/>
      <c r="G112" s="271" t="s">
        <v>630</v>
      </c>
      <c r="H112" s="334" t="s">
        <v>647</v>
      </c>
      <c r="I112" s="228" t="s">
        <v>648</v>
      </c>
      <c r="J112" s="271">
        <v>5</v>
      </c>
      <c r="K112" s="318" t="str">
        <f>VLOOKUP(J112,Ruimtegroepen[],2,FALSE)</f>
        <v>Sanitair</v>
      </c>
      <c r="L112" s="271" t="s">
        <v>114</v>
      </c>
      <c r="M112" s="271" t="s">
        <v>706</v>
      </c>
      <c r="N112" s="319">
        <v>7</v>
      </c>
      <c r="O112" s="319"/>
      <c r="P112" s="320" t="str">
        <f>LEFT(VLOOKUP(Ruimtestaat[[#This Row],[Ruimte code]],Ruimtegroepen[#All],4,1),2)</f>
        <v xml:space="preserve">S </v>
      </c>
      <c r="Q112" s="320"/>
      <c r="R112" s="271">
        <v>42</v>
      </c>
      <c r="S112" s="271" t="s">
        <v>2</v>
      </c>
      <c r="T112" s="321">
        <f>IF(R112&gt;0,IF(RIGHT(Ruimtestaat[[#This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112" s="321">
        <f>IF(T112&gt;0,VLOOKUP($J112,Ruimtegroepen[],3,FALSE)*VLOOKUP($L112,Vloersoorten[],3,FALSE)*VLOOKUP($S112,Frequenties[],3,FALSE)*VLOOKUP($A112,Locaties[],3,FALSE),0)</f>
        <v>0</v>
      </c>
      <c r="V112" s="322">
        <f>Ruimtestaat[[#This Row],[Uitvoeringen werkdagen]]*Ruimtestaat[[#This Row],[Oppervlak (netto)]]</f>
        <v>1470</v>
      </c>
      <c r="W112" s="323">
        <f>IF(U112&gt;0,Ruimtestaat[[#This Row],[Prest. (m2 /jaar) werkdagen]]/Ruimtestaat[[#This Row],[Norm (m2/uur) werkdagen]],0)</f>
        <v>0</v>
      </c>
      <c r="X112" s="324">
        <f>Ruimtestaat[[#This Row],[uren / jaar werkdagen]]*Tariefsopbouw!$E$35</f>
        <v>0</v>
      </c>
      <c r="Y112" s="321"/>
      <c r="Z112" s="325">
        <f>IF(Ruimtestaat[[#This Row],[Frequentie weekend]]&gt;0,VALUE(LEFT(Y112,1))*R112,0)</f>
        <v>0</v>
      </c>
      <c r="AA112" s="321">
        <f>IF($Z112&gt;0,VLOOKUP($J112,Ruimtegroepen[],3,FALSE)*VLOOKUP($L112,Vloersoorten[],3,FALSE)*VLOOKUP($Y112,Frequenties[],3,FALSE)*VLOOKUP($A108,Locaties[],3,FALSE),0)</f>
        <v>0</v>
      </c>
      <c r="AB112" s="323">
        <f>Ruimtestaat[[#This Row],[Uitvoeringen weekend]]*Ruimtestaat[[#This Row],[Oppervlak (netto)]]</f>
        <v>0</v>
      </c>
      <c r="AC112" s="326">
        <f>IF(AB112&gt;0,Ruimtestaat[[#This Row],[Prest. (m2 /jaar) weekend]]/Ruimtestaat[[#This Row],[Norm (m2/uur) weekend]],0)</f>
        <v>0</v>
      </c>
      <c r="AD112" s="327">
        <f>Ruimtestaat[[#This Row],[uren / jaar weekend]]*Tariefsopbouw!$D$40</f>
        <v>0</v>
      </c>
      <c r="AE112" s="328">
        <f>Ruimtestaat[[#This Row],[Prest. (m2 /jaar) weekend]]+Ruimtestaat[[#This Row],[Prest. (m2 /jaar) werkdagen]]</f>
        <v>1470</v>
      </c>
      <c r="AF112" s="328">
        <f>Ruimtestaat[[#This Row],[uren / jaar weekend]]+Ruimtestaat[[#This Row],[uren / jaar werkdagen]]</f>
        <v>0</v>
      </c>
      <c r="AG112" s="329">
        <f>Ruimtestaat[[#This Row],[kosten / jaar weekend]]+Ruimtestaat[[#This Row],[kosten / jaar werkdagen]]</f>
        <v>0</v>
      </c>
      <c r="AH112" s="330"/>
      <c r="HL112" s="297"/>
    </row>
    <row r="113" spans="1:220" ht="15" customHeight="1">
      <c r="A113" s="271">
        <v>2</v>
      </c>
      <c r="B113" s="271" t="str">
        <f>VLOOKUP(Ruimtestaat[[#This Row],[Code]],Locaties[#All],2,FALSE)</f>
        <v>Paviljoen Nova</v>
      </c>
      <c r="C113" s="271" t="str">
        <f>VLOOKUP(Ruimtestaat[[#This Row],[Code]],Locaties[#All],4,FALSE)</f>
        <v>Sterrenlaan 16</v>
      </c>
      <c r="D113" s="271" t="str">
        <f>VLOOKUP(Ruimtestaat[[#This Row],[Code]],Locaties[#All],5,FALSE)</f>
        <v>5631 KA</v>
      </c>
      <c r="E113" s="271" t="str">
        <f>VLOOKUP(Ruimtestaat[[#This Row],[Code]],Locaties[#All],6,FALSE)</f>
        <v>Eindhoven</v>
      </c>
      <c r="F113" s="318"/>
      <c r="G113" s="271" t="s">
        <v>630</v>
      </c>
      <c r="H113" s="334" t="s">
        <v>649</v>
      </c>
      <c r="I113" s="228" t="s">
        <v>650</v>
      </c>
      <c r="J113" s="271">
        <v>5</v>
      </c>
      <c r="K113" s="318" t="str">
        <f>VLOOKUP(J113,Ruimtegroepen[],2,FALSE)</f>
        <v>Sanitair</v>
      </c>
      <c r="L113" s="271" t="s">
        <v>114</v>
      </c>
      <c r="M113" s="271" t="s">
        <v>706</v>
      </c>
      <c r="N113" s="319">
        <v>4</v>
      </c>
      <c r="O113" s="319"/>
      <c r="P113" s="320" t="str">
        <f>LEFT(VLOOKUP(Ruimtestaat[[#This Row],[Ruimte code]],Ruimtegroepen[#All],4,1),2)</f>
        <v xml:space="preserve">S </v>
      </c>
      <c r="Q113" s="320"/>
      <c r="R113" s="271">
        <v>42</v>
      </c>
      <c r="S113" s="271" t="s">
        <v>2</v>
      </c>
      <c r="T113" s="321">
        <f>IF(R113&gt;0,IF(RIGHT(Ruimtestaat[[#This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113" s="321">
        <f>IF(T113&gt;0,VLOOKUP($J113,Ruimtegroepen[],3,FALSE)*VLOOKUP($L113,Vloersoorten[],3,FALSE)*VLOOKUP($S113,Frequenties[],3,FALSE)*VLOOKUP($A113,Locaties[],3,FALSE),0)</f>
        <v>0</v>
      </c>
      <c r="V113" s="322">
        <f>Ruimtestaat[[#This Row],[Uitvoeringen werkdagen]]*Ruimtestaat[[#This Row],[Oppervlak (netto)]]</f>
        <v>840</v>
      </c>
      <c r="W113" s="323">
        <f>IF(U113&gt;0,Ruimtestaat[[#This Row],[Prest. (m2 /jaar) werkdagen]]/Ruimtestaat[[#This Row],[Norm (m2/uur) werkdagen]],0)</f>
        <v>0</v>
      </c>
      <c r="X113" s="324">
        <f>Ruimtestaat[[#This Row],[uren / jaar werkdagen]]*Tariefsopbouw!$E$35</f>
        <v>0</v>
      </c>
      <c r="Y113" s="321"/>
      <c r="Z113" s="325">
        <f>IF(Ruimtestaat[[#This Row],[Frequentie weekend]]&gt;0,VALUE(LEFT(Y113,1))*R113,0)</f>
        <v>0</v>
      </c>
      <c r="AA113" s="321">
        <f>IF($Z113&gt;0,VLOOKUP($J113,Ruimtegroepen[],3,FALSE)*VLOOKUP($L113,Vloersoorten[],3,FALSE)*VLOOKUP($Y113,Frequenties[],3,FALSE)*VLOOKUP($A109,Locaties[],3,FALSE),0)</f>
        <v>0</v>
      </c>
      <c r="AB113" s="323">
        <f>Ruimtestaat[[#This Row],[Uitvoeringen weekend]]*Ruimtestaat[[#This Row],[Oppervlak (netto)]]</f>
        <v>0</v>
      </c>
      <c r="AC113" s="326">
        <f>IF(AB113&gt;0,Ruimtestaat[[#This Row],[Prest. (m2 /jaar) weekend]]/Ruimtestaat[[#This Row],[Norm (m2/uur) weekend]],0)</f>
        <v>0</v>
      </c>
      <c r="AD113" s="327">
        <f>Ruimtestaat[[#This Row],[uren / jaar weekend]]*Tariefsopbouw!$D$40</f>
        <v>0</v>
      </c>
      <c r="AE113" s="328">
        <f>Ruimtestaat[[#This Row],[Prest. (m2 /jaar) weekend]]+Ruimtestaat[[#This Row],[Prest. (m2 /jaar) werkdagen]]</f>
        <v>840</v>
      </c>
      <c r="AF113" s="328">
        <f>Ruimtestaat[[#This Row],[uren / jaar weekend]]+Ruimtestaat[[#This Row],[uren / jaar werkdagen]]</f>
        <v>0</v>
      </c>
      <c r="AG113" s="329">
        <f>Ruimtestaat[[#This Row],[kosten / jaar weekend]]+Ruimtestaat[[#This Row],[kosten / jaar werkdagen]]</f>
        <v>0</v>
      </c>
      <c r="AH113" s="330"/>
      <c r="HL113" s="297"/>
    </row>
    <row r="114" spans="1:220" ht="15" customHeight="1">
      <c r="A114" s="271">
        <v>2</v>
      </c>
      <c r="B114" s="271" t="str">
        <f>VLOOKUP(Ruimtestaat[[#This Row],[Code]],Locaties[#All],2,FALSE)</f>
        <v>Paviljoen Nova</v>
      </c>
      <c r="C114" s="271" t="str">
        <f>VLOOKUP(Ruimtestaat[[#This Row],[Code]],Locaties[#All],4,FALSE)</f>
        <v>Sterrenlaan 16</v>
      </c>
      <c r="D114" s="271" t="str">
        <f>VLOOKUP(Ruimtestaat[[#This Row],[Code]],Locaties[#All],5,FALSE)</f>
        <v>5631 KA</v>
      </c>
      <c r="E114" s="271" t="str">
        <f>VLOOKUP(Ruimtestaat[[#This Row],[Code]],Locaties[#All],6,FALSE)</f>
        <v>Eindhoven</v>
      </c>
      <c r="F114" s="318"/>
      <c r="G114" s="271" t="s">
        <v>630</v>
      </c>
      <c r="H114" s="334" t="s">
        <v>651</v>
      </c>
      <c r="I114" s="228" t="s">
        <v>652</v>
      </c>
      <c r="J114" s="271">
        <v>2</v>
      </c>
      <c r="K114" s="318" t="str">
        <f>VLOOKUP(J114,Ruimtegroepen[],2,FALSE)</f>
        <v>Kantoren</v>
      </c>
      <c r="L114" s="271" t="s">
        <v>113</v>
      </c>
      <c r="M114" s="271" t="s">
        <v>373</v>
      </c>
      <c r="N114" s="319">
        <v>15</v>
      </c>
      <c r="O114" s="319"/>
      <c r="P114" s="320" t="str">
        <f>LEFT(VLOOKUP(Ruimtestaat[[#This Row],[Ruimte code]],Ruimtegroepen[#All],4,1),2)</f>
        <v xml:space="preserve">B </v>
      </c>
      <c r="Q114" s="320"/>
      <c r="R114" s="271">
        <v>40</v>
      </c>
      <c r="S114" s="271" t="s">
        <v>17</v>
      </c>
      <c r="T114" s="321">
        <f>IF(R114&gt;0,IF(RIGHT(Ruimtestaat[[#This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14" s="321">
        <f>IF(T114&gt;0,VLOOKUP($J114,Ruimtegroepen[],3,FALSE)*VLOOKUP($L114,Vloersoorten[],3,FALSE)*VLOOKUP($S114,Frequenties[],3,FALSE)*VLOOKUP($A114,Locaties[],3,FALSE),0)</f>
        <v>0</v>
      </c>
      <c r="V114" s="322">
        <f>Ruimtestaat[[#This Row],[Uitvoeringen werkdagen]]*Ruimtestaat[[#This Row],[Oppervlak (netto)]]</f>
        <v>1200</v>
      </c>
      <c r="W114" s="323">
        <f>IF(U114&gt;0,Ruimtestaat[[#This Row],[Prest. (m2 /jaar) werkdagen]]/Ruimtestaat[[#This Row],[Norm (m2/uur) werkdagen]],0)</f>
        <v>0</v>
      </c>
      <c r="X114" s="324">
        <f>Ruimtestaat[[#This Row],[uren / jaar werkdagen]]*Tariefsopbouw!$E$35</f>
        <v>0</v>
      </c>
      <c r="Y114" s="321"/>
      <c r="Z114" s="325">
        <f>IF(Ruimtestaat[[#This Row],[Frequentie weekend]]&gt;0,VALUE(LEFT(Y114,1))*R114,0)</f>
        <v>0</v>
      </c>
      <c r="AA114" s="321">
        <f>IF($Z114&gt;0,VLOOKUP($J114,Ruimtegroepen[],3,FALSE)*VLOOKUP($L114,Vloersoorten[],3,FALSE)*VLOOKUP($Y114,Frequenties[],3,FALSE)*VLOOKUP($A110,Locaties[],3,FALSE),0)</f>
        <v>0</v>
      </c>
      <c r="AB114" s="323">
        <f>Ruimtestaat[[#This Row],[Uitvoeringen weekend]]*Ruimtestaat[[#This Row],[Oppervlak (netto)]]</f>
        <v>0</v>
      </c>
      <c r="AC114" s="326">
        <f>IF(AB114&gt;0,Ruimtestaat[[#This Row],[Prest. (m2 /jaar) weekend]]/Ruimtestaat[[#This Row],[Norm (m2/uur) weekend]],0)</f>
        <v>0</v>
      </c>
      <c r="AD114" s="327">
        <f>Ruimtestaat[[#This Row],[uren / jaar weekend]]*Tariefsopbouw!$D$40</f>
        <v>0</v>
      </c>
      <c r="AE114" s="328">
        <f>Ruimtestaat[[#This Row],[Prest. (m2 /jaar) weekend]]+Ruimtestaat[[#This Row],[Prest. (m2 /jaar) werkdagen]]</f>
        <v>1200</v>
      </c>
      <c r="AF114" s="328">
        <f>Ruimtestaat[[#This Row],[uren / jaar weekend]]+Ruimtestaat[[#This Row],[uren / jaar werkdagen]]</f>
        <v>0</v>
      </c>
      <c r="AG114" s="329">
        <f>Ruimtestaat[[#This Row],[kosten / jaar weekend]]+Ruimtestaat[[#This Row],[kosten / jaar werkdagen]]</f>
        <v>0</v>
      </c>
      <c r="AH114" s="330"/>
      <c r="HL114" s="297"/>
    </row>
    <row r="115" spans="1:220" ht="15" customHeight="1">
      <c r="A115" s="271">
        <v>2</v>
      </c>
      <c r="B115" s="271" t="str">
        <f>VLOOKUP(Ruimtestaat[[#This Row],[Code]],Locaties[#All],2,FALSE)</f>
        <v>Paviljoen Nova</v>
      </c>
      <c r="C115" s="271" t="str">
        <f>VLOOKUP(Ruimtestaat[[#This Row],[Code]],Locaties[#All],4,FALSE)</f>
        <v>Sterrenlaan 16</v>
      </c>
      <c r="D115" s="271" t="str">
        <f>VLOOKUP(Ruimtestaat[[#This Row],[Code]],Locaties[#All],5,FALSE)</f>
        <v>5631 KA</v>
      </c>
      <c r="E115" s="271" t="str">
        <f>VLOOKUP(Ruimtestaat[[#This Row],[Code]],Locaties[#All],6,FALSE)</f>
        <v>Eindhoven</v>
      </c>
      <c r="F115" s="318"/>
      <c r="G115" s="271" t="s">
        <v>630</v>
      </c>
      <c r="H115" s="334" t="s">
        <v>653</v>
      </c>
      <c r="I115" s="228" t="s">
        <v>654</v>
      </c>
      <c r="J115" s="271">
        <v>16</v>
      </c>
      <c r="K115" s="318" t="str">
        <f>VLOOKUP(J115,Ruimtegroepen[],2,FALSE)</f>
        <v>Leslokalen theorie</v>
      </c>
      <c r="L115" s="271" t="s">
        <v>113</v>
      </c>
      <c r="M115" s="271" t="s">
        <v>373</v>
      </c>
      <c r="N115" s="319">
        <v>43</v>
      </c>
      <c r="O115" s="319"/>
      <c r="P115" s="320" t="str">
        <f>LEFT(VLOOKUP(Ruimtestaat[[#This Row],[Ruimte code]],Ruimtegroepen[#All],4,1),2)</f>
        <v xml:space="preserve">L </v>
      </c>
      <c r="Q115" s="320"/>
      <c r="R115" s="271">
        <v>40</v>
      </c>
      <c r="S115" s="271" t="s">
        <v>2</v>
      </c>
      <c r="T115" s="321">
        <f>IF(R115&gt;0,IF(RIGHT(Ruimtestaat[[#This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5" s="321">
        <f>IF(T115&gt;0,VLOOKUP($J115,Ruimtegroepen[],3,FALSE)*VLOOKUP($L115,Vloersoorten[],3,FALSE)*VLOOKUP($S115,Frequenties[],3,FALSE)*VLOOKUP($A115,Locaties[],3,FALSE),0)</f>
        <v>0</v>
      </c>
      <c r="V115" s="322">
        <f>Ruimtestaat[[#This Row],[Uitvoeringen werkdagen]]*Ruimtestaat[[#This Row],[Oppervlak (netto)]]</f>
        <v>8600</v>
      </c>
      <c r="W115" s="323">
        <f>IF(U115&gt;0,Ruimtestaat[[#This Row],[Prest. (m2 /jaar) werkdagen]]/Ruimtestaat[[#This Row],[Norm (m2/uur) werkdagen]],0)</f>
        <v>0</v>
      </c>
      <c r="X115" s="324">
        <f>Ruimtestaat[[#This Row],[uren / jaar werkdagen]]*Tariefsopbouw!$E$35</f>
        <v>0</v>
      </c>
      <c r="Y115" s="321"/>
      <c r="Z115" s="325">
        <f>IF(Ruimtestaat[[#This Row],[Frequentie weekend]]&gt;0,VALUE(LEFT(Y115,1))*R115,0)</f>
        <v>0</v>
      </c>
      <c r="AA115" s="321">
        <f>IF($Z115&gt;0,VLOOKUP($J115,Ruimtegroepen[],3,FALSE)*VLOOKUP($L115,Vloersoorten[],3,FALSE)*VLOOKUP($Y115,Frequenties[],3,FALSE)*VLOOKUP($A111,Locaties[],3,FALSE),0)</f>
        <v>0</v>
      </c>
      <c r="AB115" s="323">
        <f>Ruimtestaat[[#This Row],[Uitvoeringen weekend]]*Ruimtestaat[[#This Row],[Oppervlak (netto)]]</f>
        <v>0</v>
      </c>
      <c r="AC115" s="326">
        <f>IF(AB115&gt;0,Ruimtestaat[[#This Row],[Prest. (m2 /jaar) weekend]]/Ruimtestaat[[#This Row],[Norm (m2/uur) weekend]],0)</f>
        <v>0</v>
      </c>
      <c r="AD115" s="327">
        <f>Ruimtestaat[[#This Row],[uren / jaar weekend]]*Tariefsopbouw!$D$40</f>
        <v>0</v>
      </c>
      <c r="AE115" s="328">
        <f>Ruimtestaat[[#This Row],[Prest. (m2 /jaar) weekend]]+Ruimtestaat[[#This Row],[Prest. (m2 /jaar) werkdagen]]</f>
        <v>8600</v>
      </c>
      <c r="AF115" s="328">
        <f>Ruimtestaat[[#This Row],[uren / jaar weekend]]+Ruimtestaat[[#This Row],[uren / jaar werkdagen]]</f>
        <v>0</v>
      </c>
      <c r="AG115" s="329">
        <f>Ruimtestaat[[#This Row],[kosten / jaar weekend]]+Ruimtestaat[[#This Row],[kosten / jaar werkdagen]]</f>
        <v>0</v>
      </c>
      <c r="AH115" s="330"/>
      <c r="HL115" s="297"/>
    </row>
    <row r="116" spans="1:220" ht="15" customHeight="1">
      <c r="A116" s="271">
        <v>2</v>
      </c>
      <c r="B116" s="271" t="str">
        <f>VLOOKUP(Ruimtestaat[[#This Row],[Code]],Locaties[#All],2,FALSE)</f>
        <v>Paviljoen Nova</v>
      </c>
      <c r="C116" s="271" t="str">
        <f>VLOOKUP(Ruimtestaat[[#This Row],[Code]],Locaties[#All],4,FALSE)</f>
        <v>Sterrenlaan 16</v>
      </c>
      <c r="D116" s="271" t="str">
        <f>VLOOKUP(Ruimtestaat[[#This Row],[Code]],Locaties[#All],5,FALSE)</f>
        <v>5631 KA</v>
      </c>
      <c r="E116" s="271" t="str">
        <f>VLOOKUP(Ruimtestaat[[#This Row],[Code]],Locaties[#All],6,FALSE)</f>
        <v>Eindhoven</v>
      </c>
      <c r="F116" s="318"/>
      <c r="G116" s="271" t="s">
        <v>630</v>
      </c>
      <c r="H116" s="334" t="s">
        <v>655</v>
      </c>
      <c r="I116" s="228" t="s">
        <v>656</v>
      </c>
      <c r="J116" s="271">
        <v>16</v>
      </c>
      <c r="K116" s="318" t="str">
        <f>VLOOKUP(J116,Ruimtegroepen[],2,FALSE)</f>
        <v>Leslokalen theorie</v>
      </c>
      <c r="L116" s="271" t="s">
        <v>113</v>
      </c>
      <c r="M116" s="271" t="s">
        <v>373</v>
      </c>
      <c r="N116" s="319">
        <v>30</v>
      </c>
      <c r="O116" s="319"/>
      <c r="P116" s="320" t="str">
        <f>LEFT(VLOOKUP(Ruimtestaat[[#This Row],[Ruimte code]],Ruimtegroepen[#All],4,1),2)</f>
        <v xml:space="preserve">L </v>
      </c>
      <c r="Q116" s="320"/>
      <c r="R116" s="271">
        <v>40</v>
      </c>
      <c r="S116" s="271" t="s">
        <v>2</v>
      </c>
      <c r="T116" s="321">
        <f>IF(R116&gt;0,IF(RIGHT(Ruimtestaat[[#This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" s="321">
        <f>IF(T116&gt;0,VLOOKUP($J116,Ruimtegroepen[],3,FALSE)*VLOOKUP($L116,Vloersoorten[],3,FALSE)*VLOOKUP($S116,Frequenties[],3,FALSE)*VLOOKUP($A116,Locaties[],3,FALSE),0)</f>
        <v>0</v>
      </c>
      <c r="V116" s="322">
        <f>Ruimtestaat[[#This Row],[Uitvoeringen werkdagen]]*Ruimtestaat[[#This Row],[Oppervlak (netto)]]</f>
        <v>6000</v>
      </c>
      <c r="W116" s="323">
        <f>IF(U116&gt;0,Ruimtestaat[[#This Row],[Prest. (m2 /jaar) werkdagen]]/Ruimtestaat[[#This Row],[Norm (m2/uur) werkdagen]],0)</f>
        <v>0</v>
      </c>
      <c r="X116" s="324">
        <f>Ruimtestaat[[#This Row],[uren / jaar werkdagen]]*Tariefsopbouw!$E$35</f>
        <v>0</v>
      </c>
      <c r="Y116" s="321"/>
      <c r="Z116" s="325">
        <f>IF(Ruimtestaat[[#This Row],[Frequentie weekend]]&gt;0,VALUE(LEFT(Y116,1))*R116,0)</f>
        <v>0</v>
      </c>
      <c r="AA116" s="321">
        <f>IF($Z116&gt;0,VLOOKUP($J116,Ruimtegroepen[],3,FALSE)*VLOOKUP($L116,Vloersoorten[],3,FALSE)*VLOOKUP($Y116,Frequenties[],3,FALSE)*VLOOKUP($A112,Locaties[],3,FALSE),0)</f>
        <v>0</v>
      </c>
      <c r="AB116" s="323">
        <f>Ruimtestaat[[#This Row],[Uitvoeringen weekend]]*Ruimtestaat[[#This Row],[Oppervlak (netto)]]</f>
        <v>0</v>
      </c>
      <c r="AC116" s="326">
        <f>IF(AB116&gt;0,Ruimtestaat[[#This Row],[Prest. (m2 /jaar) weekend]]/Ruimtestaat[[#This Row],[Norm (m2/uur) weekend]],0)</f>
        <v>0</v>
      </c>
      <c r="AD116" s="327">
        <f>Ruimtestaat[[#This Row],[uren / jaar weekend]]*Tariefsopbouw!$D$40</f>
        <v>0</v>
      </c>
      <c r="AE116" s="328">
        <f>Ruimtestaat[[#This Row],[Prest. (m2 /jaar) weekend]]+Ruimtestaat[[#This Row],[Prest. (m2 /jaar) werkdagen]]</f>
        <v>6000</v>
      </c>
      <c r="AF116" s="328">
        <f>Ruimtestaat[[#This Row],[uren / jaar weekend]]+Ruimtestaat[[#This Row],[uren / jaar werkdagen]]</f>
        <v>0</v>
      </c>
      <c r="AG116" s="329">
        <f>Ruimtestaat[[#This Row],[kosten / jaar weekend]]+Ruimtestaat[[#This Row],[kosten / jaar werkdagen]]</f>
        <v>0</v>
      </c>
      <c r="AH116" s="330"/>
      <c r="HL116" s="297"/>
    </row>
    <row r="117" spans="1:220" ht="15" customHeight="1">
      <c r="A117" s="271">
        <v>2</v>
      </c>
      <c r="B117" s="271" t="str">
        <f>VLOOKUP(Ruimtestaat[[#This Row],[Code]],Locaties[#All],2,FALSE)</f>
        <v>Paviljoen Nova</v>
      </c>
      <c r="C117" s="271" t="str">
        <f>VLOOKUP(Ruimtestaat[[#This Row],[Code]],Locaties[#All],4,FALSE)</f>
        <v>Sterrenlaan 16</v>
      </c>
      <c r="D117" s="271" t="str">
        <f>VLOOKUP(Ruimtestaat[[#This Row],[Code]],Locaties[#All],5,FALSE)</f>
        <v>5631 KA</v>
      </c>
      <c r="E117" s="271" t="str">
        <f>VLOOKUP(Ruimtestaat[[#This Row],[Code]],Locaties[#All],6,FALSE)</f>
        <v>Eindhoven</v>
      </c>
      <c r="F117" s="318"/>
      <c r="G117" s="271" t="s">
        <v>630</v>
      </c>
      <c r="H117" s="334" t="s">
        <v>657</v>
      </c>
      <c r="I117" s="228" t="s">
        <v>658</v>
      </c>
      <c r="J117" s="271">
        <v>16</v>
      </c>
      <c r="K117" s="318" t="str">
        <f>VLOOKUP(J117,Ruimtegroepen[],2,FALSE)</f>
        <v>Leslokalen theorie</v>
      </c>
      <c r="L117" s="271" t="s">
        <v>113</v>
      </c>
      <c r="M117" s="271" t="s">
        <v>373</v>
      </c>
      <c r="N117" s="319">
        <v>32</v>
      </c>
      <c r="O117" s="319"/>
      <c r="P117" s="320" t="str">
        <f>LEFT(VLOOKUP(Ruimtestaat[[#This Row],[Ruimte code]],Ruimtegroepen[#All],4,1),2)</f>
        <v xml:space="preserve">L </v>
      </c>
      <c r="Q117" s="320"/>
      <c r="R117" s="271">
        <v>40</v>
      </c>
      <c r="S117" s="271" t="s">
        <v>2</v>
      </c>
      <c r="T117" s="321">
        <f>IF(R117&gt;0,IF(RIGHT(Ruimtestaat[[#This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" s="321">
        <f>IF(T117&gt;0,VLOOKUP($J117,Ruimtegroepen[],3,FALSE)*VLOOKUP($L117,Vloersoorten[],3,FALSE)*VLOOKUP($S117,Frequenties[],3,FALSE)*VLOOKUP($A117,Locaties[],3,FALSE),0)</f>
        <v>0</v>
      </c>
      <c r="V117" s="322">
        <f>Ruimtestaat[[#This Row],[Uitvoeringen werkdagen]]*Ruimtestaat[[#This Row],[Oppervlak (netto)]]</f>
        <v>6400</v>
      </c>
      <c r="W117" s="323">
        <f>IF(U117&gt;0,Ruimtestaat[[#This Row],[Prest. (m2 /jaar) werkdagen]]/Ruimtestaat[[#This Row],[Norm (m2/uur) werkdagen]],0)</f>
        <v>0</v>
      </c>
      <c r="X117" s="324">
        <f>Ruimtestaat[[#This Row],[uren / jaar werkdagen]]*Tariefsopbouw!$E$35</f>
        <v>0</v>
      </c>
      <c r="Y117" s="321"/>
      <c r="Z117" s="325">
        <f>IF(Ruimtestaat[[#This Row],[Frequentie weekend]]&gt;0,VALUE(LEFT(Y117,1))*R117,0)</f>
        <v>0</v>
      </c>
      <c r="AA117" s="321">
        <f>IF($Z117&gt;0,VLOOKUP($J117,Ruimtegroepen[],3,FALSE)*VLOOKUP($L117,Vloersoorten[],3,FALSE)*VLOOKUP($Y117,Frequenties[],3,FALSE)*VLOOKUP($A113,Locaties[],3,FALSE),0)</f>
        <v>0</v>
      </c>
      <c r="AB117" s="323">
        <f>Ruimtestaat[[#This Row],[Uitvoeringen weekend]]*Ruimtestaat[[#This Row],[Oppervlak (netto)]]</f>
        <v>0</v>
      </c>
      <c r="AC117" s="326">
        <f>IF(AB117&gt;0,Ruimtestaat[[#This Row],[Prest. (m2 /jaar) weekend]]/Ruimtestaat[[#This Row],[Norm (m2/uur) weekend]],0)</f>
        <v>0</v>
      </c>
      <c r="AD117" s="327">
        <f>Ruimtestaat[[#This Row],[uren / jaar weekend]]*Tariefsopbouw!$D$40</f>
        <v>0</v>
      </c>
      <c r="AE117" s="328">
        <f>Ruimtestaat[[#This Row],[Prest. (m2 /jaar) weekend]]+Ruimtestaat[[#This Row],[Prest. (m2 /jaar) werkdagen]]</f>
        <v>6400</v>
      </c>
      <c r="AF117" s="328">
        <f>Ruimtestaat[[#This Row],[uren / jaar weekend]]+Ruimtestaat[[#This Row],[uren / jaar werkdagen]]</f>
        <v>0</v>
      </c>
      <c r="AG117" s="329">
        <f>Ruimtestaat[[#This Row],[kosten / jaar weekend]]+Ruimtestaat[[#This Row],[kosten / jaar werkdagen]]</f>
        <v>0</v>
      </c>
      <c r="AH117" s="330"/>
      <c r="HL117" s="297"/>
    </row>
    <row r="118" spans="1:220" ht="15" customHeight="1">
      <c r="A118" s="271">
        <v>2</v>
      </c>
      <c r="B118" s="271" t="str">
        <f>VLOOKUP(Ruimtestaat[[#This Row],[Code]],Locaties[#All],2,FALSE)</f>
        <v>Paviljoen Nova</v>
      </c>
      <c r="C118" s="271" t="str">
        <f>VLOOKUP(Ruimtestaat[[#This Row],[Code]],Locaties[#All],4,FALSE)</f>
        <v>Sterrenlaan 16</v>
      </c>
      <c r="D118" s="271" t="str">
        <f>VLOOKUP(Ruimtestaat[[#This Row],[Code]],Locaties[#All],5,FALSE)</f>
        <v>5631 KA</v>
      </c>
      <c r="E118" s="271" t="str">
        <f>VLOOKUP(Ruimtestaat[[#This Row],[Code]],Locaties[#All],6,FALSE)</f>
        <v>Eindhoven</v>
      </c>
      <c r="F118" s="318"/>
      <c r="G118" s="271" t="s">
        <v>630</v>
      </c>
      <c r="H118" s="334" t="s">
        <v>659</v>
      </c>
      <c r="I118" s="228" t="s">
        <v>660</v>
      </c>
      <c r="J118" s="271">
        <v>6</v>
      </c>
      <c r="K118" s="318" t="str">
        <f>VLOOKUP(J118,Ruimtegroepen[],2,FALSE)</f>
        <v>Gangen/hallen</v>
      </c>
      <c r="L118" s="271" t="s">
        <v>113</v>
      </c>
      <c r="M118" s="271" t="s">
        <v>373</v>
      </c>
      <c r="N118" s="319">
        <v>67</v>
      </c>
      <c r="O118" s="319"/>
      <c r="P118" s="320" t="str">
        <f>LEFT(VLOOKUP(Ruimtestaat[[#This Row],[Ruimte code]],Ruimtegroepen[#All],4,1),2)</f>
        <v xml:space="preserve">V </v>
      </c>
      <c r="Q118" s="320"/>
      <c r="R118" s="271">
        <v>40</v>
      </c>
      <c r="S118" s="271" t="s">
        <v>2</v>
      </c>
      <c r="T118" s="321">
        <f>IF(R118&gt;0,IF(RIGHT(Ruimtestaat[[#This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8" s="321">
        <f>IF(T118&gt;0,VLOOKUP($J118,Ruimtegroepen[],3,FALSE)*VLOOKUP($L118,Vloersoorten[],3,FALSE)*VLOOKUP($S118,Frequenties[],3,FALSE)*VLOOKUP($A118,Locaties[],3,FALSE),0)</f>
        <v>0</v>
      </c>
      <c r="V118" s="322">
        <f>Ruimtestaat[[#This Row],[Uitvoeringen werkdagen]]*Ruimtestaat[[#This Row],[Oppervlak (netto)]]</f>
        <v>13400</v>
      </c>
      <c r="W118" s="323">
        <f>IF(U118&gt;0,Ruimtestaat[[#This Row],[Prest. (m2 /jaar) werkdagen]]/Ruimtestaat[[#This Row],[Norm (m2/uur) werkdagen]],0)</f>
        <v>0</v>
      </c>
      <c r="X118" s="324">
        <f>Ruimtestaat[[#This Row],[uren / jaar werkdagen]]*Tariefsopbouw!$E$35</f>
        <v>0</v>
      </c>
      <c r="Y118" s="321"/>
      <c r="Z118" s="325">
        <f>IF(Ruimtestaat[[#This Row],[Frequentie weekend]]&gt;0,VALUE(LEFT(Y118,1))*R118,0)</f>
        <v>0</v>
      </c>
      <c r="AA118" s="321">
        <f>IF($Z118&gt;0,VLOOKUP($J118,Ruimtegroepen[],3,FALSE)*VLOOKUP($L118,Vloersoorten[],3,FALSE)*VLOOKUP($Y118,Frequenties[],3,FALSE)*VLOOKUP($A114,Locaties[],3,FALSE),0)</f>
        <v>0</v>
      </c>
      <c r="AB118" s="323">
        <f>Ruimtestaat[[#This Row],[Uitvoeringen weekend]]*Ruimtestaat[[#This Row],[Oppervlak (netto)]]</f>
        <v>0</v>
      </c>
      <c r="AC118" s="326">
        <f>IF(AB118&gt;0,Ruimtestaat[[#This Row],[Prest. (m2 /jaar) weekend]]/Ruimtestaat[[#This Row],[Norm (m2/uur) weekend]],0)</f>
        <v>0</v>
      </c>
      <c r="AD118" s="327">
        <f>Ruimtestaat[[#This Row],[uren / jaar weekend]]*Tariefsopbouw!$D$40</f>
        <v>0</v>
      </c>
      <c r="AE118" s="328">
        <f>Ruimtestaat[[#This Row],[Prest. (m2 /jaar) weekend]]+Ruimtestaat[[#This Row],[Prest. (m2 /jaar) werkdagen]]</f>
        <v>13400</v>
      </c>
      <c r="AF118" s="328">
        <f>Ruimtestaat[[#This Row],[uren / jaar weekend]]+Ruimtestaat[[#This Row],[uren / jaar werkdagen]]</f>
        <v>0</v>
      </c>
      <c r="AG118" s="329">
        <f>Ruimtestaat[[#This Row],[kosten / jaar weekend]]+Ruimtestaat[[#This Row],[kosten / jaar werkdagen]]</f>
        <v>0</v>
      </c>
      <c r="AH118" s="330"/>
      <c r="HL118" s="297"/>
    </row>
    <row r="119" spans="1:220" ht="15" customHeight="1">
      <c r="A119" s="271">
        <v>2</v>
      </c>
      <c r="B119" s="271" t="str">
        <f>VLOOKUP(Ruimtestaat[[#This Row],[Code]],Locaties[#All],2,FALSE)</f>
        <v>Paviljoen Nova</v>
      </c>
      <c r="C119" s="271" t="str">
        <f>VLOOKUP(Ruimtestaat[[#This Row],[Code]],Locaties[#All],4,FALSE)</f>
        <v>Sterrenlaan 16</v>
      </c>
      <c r="D119" s="271" t="str">
        <f>VLOOKUP(Ruimtestaat[[#This Row],[Code]],Locaties[#All],5,FALSE)</f>
        <v>5631 KA</v>
      </c>
      <c r="E119" s="271" t="str">
        <f>VLOOKUP(Ruimtestaat[[#This Row],[Code]],Locaties[#All],6,FALSE)</f>
        <v>Eindhoven</v>
      </c>
      <c r="F119" s="318"/>
      <c r="G119" s="271" t="s">
        <v>630</v>
      </c>
      <c r="H119" s="334" t="s">
        <v>661</v>
      </c>
      <c r="I119" s="228" t="s">
        <v>662</v>
      </c>
      <c r="J119" s="271">
        <v>8</v>
      </c>
      <c r="K119" s="318" t="str">
        <f>VLOOKUP(J119,Ruimtegroepen[],2,FALSE)</f>
        <v>Mediatheek / OLC</v>
      </c>
      <c r="L119" s="271" t="s">
        <v>113</v>
      </c>
      <c r="M119" s="271" t="s">
        <v>373</v>
      </c>
      <c r="N119" s="319">
        <v>59</v>
      </c>
      <c r="O119" s="319"/>
      <c r="P119" s="320" t="str">
        <f>LEFT(VLOOKUP(Ruimtestaat[[#This Row],[Ruimte code]],Ruimtegroepen[#All],4,1),2)</f>
        <v xml:space="preserve">L </v>
      </c>
      <c r="Q119" s="320"/>
      <c r="R119" s="271">
        <v>40</v>
      </c>
      <c r="S119" s="271" t="s">
        <v>2</v>
      </c>
      <c r="T119" s="321">
        <f>IF(R119&gt;0,IF(RIGHT(Ruimtestaat[[#This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" s="321">
        <f>IF(T119&gt;0,VLOOKUP($J119,Ruimtegroepen[],3,FALSE)*VLOOKUP($L119,Vloersoorten[],3,FALSE)*VLOOKUP($S119,Frequenties[],3,FALSE)*VLOOKUP($A119,Locaties[],3,FALSE),0)</f>
        <v>0</v>
      </c>
      <c r="V119" s="322">
        <f>Ruimtestaat[[#This Row],[Uitvoeringen werkdagen]]*Ruimtestaat[[#This Row],[Oppervlak (netto)]]</f>
        <v>11800</v>
      </c>
      <c r="W119" s="323">
        <f>IF(U119&gt;0,Ruimtestaat[[#This Row],[Prest. (m2 /jaar) werkdagen]]/Ruimtestaat[[#This Row],[Norm (m2/uur) werkdagen]],0)</f>
        <v>0</v>
      </c>
      <c r="X119" s="324">
        <f>Ruimtestaat[[#This Row],[uren / jaar werkdagen]]*Tariefsopbouw!$E$35</f>
        <v>0</v>
      </c>
      <c r="Y119" s="321"/>
      <c r="Z119" s="325">
        <f>IF(Ruimtestaat[[#This Row],[Frequentie weekend]]&gt;0,VALUE(LEFT(Y119,1))*R119,0)</f>
        <v>0</v>
      </c>
      <c r="AA119" s="321">
        <f>IF($Z119&gt;0,VLOOKUP($J119,Ruimtegroepen[],3,FALSE)*VLOOKUP($L119,Vloersoorten[],3,FALSE)*VLOOKUP($Y119,Frequenties[],3,FALSE)*VLOOKUP($A114,Locaties[],3,FALSE),0)</f>
        <v>0</v>
      </c>
      <c r="AB119" s="323">
        <f>Ruimtestaat[[#This Row],[Uitvoeringen weekend]]*Ruimtestaat[[#This Row],[Oppervlak (netto)]]</f>
        <v>0</v>
      </c>
      <c r="AC119" s="326">
        <f>IF(AB119&gt;0,Ruimtestaat[[#This Row],[Prest. (m2 /jaar) weekend]]/Ruimtestaat[[#This Row],[Norm (m2/uur) weekend]],0)</f>
        <v>0</v>
      </c>
      <c r="AD119" s="327">
        <f>Ruimtestaat[[#This Row],[uren / jaar weekend]]*Tariefsopbouw!$D$40</f>
        <v>0</v>
      </c>
      <c r="AE119" s="328">
        <f>Ruimtestaat[[#This Row],[Prest. (m2 /jaar) weekend]]+Ruimtestaat[[#This Row],[Prest. (m2 /jaar) werkdagen]]</f>
        <v>11800</v>
      </c>
      <c r="AF119" s="328">
        <f>Ruimtestaat[[#This Row],[uren / jaar weekend]]+Ruimtestaat[[#This Row],[uren / jaar werkdagen]]</f>
        <v>0</v>
      </c>
      <c r="AG119" s="329">
        <f>Ruimtestaat[[#This Row],[kosten / jaar weekend]]+Ruimtestaat[[#This Row],[kosten / jaar werkdagen]]</f>
        <v>0</v>
      </c>
      <c r="AH119" s="330"/>
      <c r="HL119" s="297"/>
    </row>
    <row r="120" spans="1:220" ht="15" customHeight="1">
      <c r="A120" s="271">
        <v>2</v>
      </c>
      <c r="B120" s="271" t="str">
        <f>VLOOKUP(Ruimtestaat[[#This Row],[Code]],Locaties[#All],2,FALSE)</f>
        <v>Paviljoen Nova</v>
      </c>
      <c r="C120" s="271" t="str">
        <f>VLOOKUP(Ruimtestaat[[#This Row],[Code]],Locaties[#All],4,FALSE)</f>
        <v>Sterrenlaan 16</v>
      </c>
      <c r="D120" s="271" t="str">
        <f>VLOOKUP(Ruimtestaat[[#This Row],[Code]],Locaties[#All],5,FALSE)</f>
        <v>5631 KA</v>
      </c>
      <c r="E120" s="271" t="str">
        <f>VLOOKUP(Ruimtestaat[[#This Row],[Code]],Locaties[#All],6,FALSE)</f>
        <v>Eindhoven</v>
      </c>
      <c r="F120" s="318"/>
      <c r="G120" s="271" t="s">
        <v>630</v>
      </c>
      <c r="H120" s="334" t="s">
        <v>663</v>
      </c>
      <c r="I120" s="228" t="s">
        <v>664</v>
      </c>
      <c r="J120" s="271">
        <v>2</v>
      </c>
      <c r="K120" s="318" t="str">
        <f>VLOOKUP(J120,Ruimtegroepen[],2,FALSE)</f>
        <v>Kantoren</v>
      </c>
      <c r="L120" s="271" t="s">
        <v>113</v>
      </c>
      <c r="M120" s="271" t="s">
        <v>373</v>
      </c>
      <c r="N120" s="319">
        <v>14</v>
      </c>
      <c r="O120" s="319"/>
      <c r="P120" s="320" t="str">
        <f>LEFT(VLOOKUP(Ruimtestaat[[#This Row],[Ruimte code]],Ruimtegroepen[#All],4,1),2)</f>
        <v xml:space="preserve">B </v>
      </c>
      <c r="Q120" s="320"/>
      <c r="R120" s="271">
        <v>40</v>
      </c>
      <c r="S120" s="271" t="s">
        <v>17</v>
      </c>
      <c r="T120" s="321">
        <f>IF(R120&gt;0,IF(RIGHT(Ruimtestaat[[#This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20" s="321">
        <f>IF(T120&gt;0,VLOOKUP($J120,Ruimtegroepen[],3,FALSE)*VLOOKUP($L120,Vloersoorten[],3,FALSE)*VLOOKUP($S120,Frequenties[],3,FALSE)*VLOOKUP($A120,Locaties[],3,FALSE),0)</f>
        <v>0</v>
      </c>
      <c r="V120" s="322">
        <f>Ruimtestaat[[#This Row],[Uitvoeringen werkdagen]]*Ruimtestaat[[#This Row],[Oppervlak (netto)]]</f>
        <v>1120</v>
      </c>
      <c r="W120" s="323">
        <f>IF(U120&gt;0,Ruimtestaat[[#This Row],[Prest. (m2 /jaar) werkdagen]]/Ruimtestaat[[#This Row],[Norm (m2/uur) werkdagen]],0)</f>
        <v>0</v>
      </c>
      <c r="X120" s="324">
        <f>Ruimtestaat[[#This Row],[uren / jaar werkdagen]]*Tariefsopbouw!$E$35</f>
        <v>0</v>
      </c>
      <c r="Y120" s="321"/>
      <c r="Z120" s="325">
        <f>IF(Ruimtestaat[[#This Row],[Frequentie weekend]]&gt;0,VALUE(LEFT(Y120,1))*R120,0)</f>
        <v>0</v>
      </c>
      <c r="AA120" s="321">
        <f>IF($Z120&gt;0,VLOOKUP($J120,Ruimtegroepen[],3,FALSE)*VLOOKUP($L120,Vloersoorten[],3,FALSE)*VLOOKUP($Y120,Frequenties[],3,FALSE)*VLOOKUP($A115,Locaties[],3,FALSE),0)</f>
        <v>0</v>
      </c>
      <c r="AB120" s="323">
        <f>Ruimtestaat[[#This Row],[Uitvoeringen weekend]]*Ruimtestaat[[#This Row],[Oppervlak (netto)]]</f>
        <v>0</v>
      </c>
      <c r="AC120" s="326">
        <f>IF(AB120&gt;0,Ruimtestaat[[#This Row],[Prest. (m2 /jaar) weekend]]/Ruimtestaat[[#This Row],[Norm (m2/uur) weekend]],0)</f>
        <v>0</v>
      </c>
      <c r="AD120" s="327">
        <f>Ruimtestaat[[#This Row],[uren / jaar weekend]]*Tariefsopbouw!$D$40</f>
        <v>0</v>
      </c>
      <c r="AE120" s="328">
        <f>Ruimtestaat[[#This Row],[Prest. (m2 /jaar) weekend]]+Ruimtestaat[[#This Row],[Prest. (m2 /jaar) werkdagen]]</f>
        <v>1120</v>
      </c>
      <c r="AF120" s="328">
        <f>Ruimtestaat[[#This Row],[uren / jaar weekend]]+Ruimtestaat[[#This Row],[uren / jaar werkdagen]]</f>
        <v>0</v>
      </c>
      <c r="AG120" s="329">
        <f>Ruimtestaat[[#This Row],[kosten / jaar weekend]]+Ruimtestaat[[#This Row],[kosten / jaar werkdagen]]</f>
        <v>0</v>
      </c>
      <c r="AH120" s="330"/>
      <c r="HL120" s="297"/>
    </row>
    <row r="121" spans="1:220" ht="15" customHeight="1">
      <c r="A121" s="271">
        <v>2</v>
      </c>
      <c r="B121" s="271" t="str">
        <f>VLOOKUP(Ruimtestaat[[#This Row],[Code]],Locaties[#All],2,FALSE)</f>
        <v>Paviljoen Nova</v>
      </c>
      <c r="C121" s="271" t="str">
        <f>VLOOKUP(Ruimtestaat[[#This Row],[Code]],Locaties[#All],4,FALSE)</f>
        <v>Sterrenlaan 16</v>
      </c>
      <c r="D121" s="271" t="str">
        <f>VLOOKUP(Ruimtestaat[[#This Row],[Code]],Locaties[#All],5,FALSE)</f>
        <v>5631 KA</v>
      </c>
      <c r="E121" s="271" t="str">
        <f>VLOOKUP(Ruimtestaat[[#This Row],[Code]],Locaties[#All],6,FALSE)</f>
        <v>Eindhoven</v>
      </c>
      <c r="F121" s="318"/>
      <c r="G121" s="271" t="s">
        <v>630</v>
      </c>
      <c r="H121" s="334" t="s">
        <v>665</v>
      </c>
      <c r="I121" s="228" t="s">
        <v>666</v>
      </c>
      <c r="J121" s="271">
        <v>20</v>
      </c>
      <c r="K121" s="318" t="str">
        <f>VLOOKUP(J121,Ruimtegroepen[],2,FALSE)</f>
        <v>Niet in onderhoud</v>
      </c>
      <c r="M121" s="271"/>
      <c r="N121" s="319"/>
      <c r="O121" s="319"/>
      <c r="P121" s="320" t="str">
        <f>LEFT(VLOOKUP(Ruimtestaat[[#This Row],[Ruimte code]],Ruimtegroepen[#All],4,1),2)</f>
        <v/>
      </c>
      <c r="Q121" s="320"/>
      <c r="R121" s="271"/>
      <c r="S121" s="271"/>
      <c r="T121" s="321">
        <f>IF(R121&gt;0,IF(RIGHT(Ruimtestaat[[#This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" s="321">
        <f>IF(T121&gt;0,VLOOKUP($J121,Ruimtegroepen[],3,FALSE)*VLOOKUP($L121,Vloersoorten[],3,FALSE)*VLOOKUP($S121,Frequenties[],3,FALSE)*VLOOKUP($A121,Locaties[],3,FALSE),0)</f>
        <v>0</v>
      </c>
      <c r="V121" s="322">
        <f>Ruimtestaat[[#This Row],[Uitvoeringen werkdagen]]*Ruimtestaat[[#This Row],[Oppervlak (netto)]]</f>
        <v>0</v>
      </c>
      <c r="W121" s="323">
        <f>IF(U121&gt;0,Ruimtestaat[[#This Row],[Prest. (m2 /jaar) werkdagen]]/Ruimtestaat[[#This Row],[Norm (m2/uur) werkdagen]],0)</f>
        <v>0</v>
      </c>
      <c r="X121" s="324">
        <f>Ruimtestaat[[#This Row],[uren / jaar werkdagen]]*Tariefsopbouw!$E$35</f>
        <v>0</v>
      </c>
      <c r="Y121" s="321"/>
      <c r="Z121" s="325">
        <f>IF(Ruimtestaat[[#This Row],[Frequentie weekend]]&gt;0,VALUE(LEFT(Y121,1))*R121,0)</f>
        <v>0</v>
      </c>
      <c r="AA121" s="321">
        <f>IF($Z121&gt;0,VLOOKUP($J121,Ruimtegroepen[],3,FALSE)*VLOOKUP($L121,Vloersoorten[],3,FALSE)*VLOOKUP($Y121,Frequenties[],3,FALSE)*VLOOKUP($A116,Locaties[],3,FALSE),0)</f>
        <v>0</v>
      </c>
      <c r="AB121" s="323">
        <f>Ruimtestaat[[#This Row],[Uitvoeringen weekend]]*Ruimtestaat[[#This Row],[Oppervlak (netto)]]</f>
        <v>0</v>
      </c>
      <c r="AC121" s="326">
        <f>IF(AB121&gt;0,Ruimtestaat[[#This Row],[Prest. (m2 /jaar) weekend]]/Ruimtestaat[[#This Row],[Norm (m2/uur) weekend]],0)</f>
        <v>0</v>
      </c>
      <c r="AD121" s="327">
        <f>Ruimtestaat[[#This Row],[uren / jaar weekend]]*Tariefsopbouw!$D$40</f>
        <v>0</v>
      </c>
      <c r="AE121" s="328">
        <f>Ruimtestaat[[#This Row],[Prest. (m2 /jaar) weekend]]+Ruimtestaat[[#This Row],[Prest. (m2 /jaar) werkdagen]]</f>
        <v>0</v>
      </c>
      <c r="AF121" s="328">
        <f>Ruimtestaat[[#This Row],[uren / jaar weekend]]+Ruimtestaat[[#This Row],[uren / jaar werkdagen]]</f>
        <v>0</v>
      </c>
      <c r="AG121" s="329">
        <f>Ruimtestaat[[#This Row],[kosten / jaar weekend]]+Ruimtestaat[[#This Row],[kosten / jaar werkdagen]]</f>
        <v>0</v>
      </c>
      <c r="AH121" s="330"/>
      <c r="HL121" s="297"/>
    </row>
    <row r="122" spans="1:220" ht="15" customHeight="1">
      <c r="A122" s="271">
        <v>2</v>
      </c>
      <c r="B122" s="271" t="str">
        <f>VLOOKUP(Ruimtestaat[[#This Row],[Code]],Locaties[#All],2,FALSE)</f>
        <v>Paviljoen Nova</v>
      </c>
      <c r="C122" s="271" t="str">
        <f>VLOOKUP(Ruimtestaat[[#This Row],[Code]],Locaties[#All],4,FALSE)</f>
        <v>Sterrenlaan 16</v>
      </c>
      <c r="D122" s="271" t="str">
        <f>VLOOKUP(Ruimtestaat[[#This Row],[Code]],Locaties[#All],5,FALSE)</f>
        <v>5631 KA</v>
      </c>
      <c r="E122" s="271" t="str">
        <f>VLOOKUP(Ruimtestaat[[#This Row],[Code]],Locaties[#All],6,FALSE)</f>
        <v>Eindhoven</v>
      </c>
      <c r="F122" s="318"/>
      <c r="G122" s="271" t="s">
        <v>630</v>
      </c>
      <c r="H122" s="334" t="s">
        <v>667</v>
      </c>
      <c r="I122" s="228" t="s">
        <v>636</v>
      </c>
      <c r="J122" s="271">
        <v>4</v>
      </c>
      <c r="K122" s="318" t="str">
        <f>VLOOKUP(J122,Ruimtegroepen[],2,FALSE)</f>
        <v>Vergader/spreekkamers</v>
      </c>
      <c r="L122" s="271" t="s">
        <v>113</v>
      </c>
      <c r="M122" s="271" t="s">
        <v>373</v>
      </c>
      <c r="N122" s="319">
        <v>13</v>
      </c>
      <c r="O122" s="319"/>
      <c r="P122" s="320" t="str">
        <f>LEFT(VLOOKUP(Ruimtestaat[[#This Row],[Ruimte code]],Ruimtegroepen[#All],4,1),2)</f>
        <v xml:space="preserve">B </v>
      </c>
      <c r="Q122" s="320"/>
      <c r="R122" s="271">
        <v>40</v>
      </c>
      <c r="S122" s="271" t="s">
        <v>18</v>
      </c>
      <c r="T122" s="321">
        <f>IF(R122&gt;0,IF(RIGHT(Ruimtestaat[[#This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22" s="321">
        <f>IF(T122&gt;0,VLOOKUP($J122,Ruimtegroepen[],3,FALSE)*VLOOKUP($L122,Vloersoorten[],3,FALSE)*VLOOKUP($S122,Frequenties[],3,FALSE)*VLOOKUP($A122,Locaties[],3,FALSE),0)</f>
        <v>0</v>
      </c>
      <c r="V122" s="322">
        <f>Ruimtestaat[[#This Row],[Uitvoeringen werkdagen]]*Ruimtestaat[[#This Row],[Oppervlak (netto)]]</f>
        <v>1560</v>
      </c>
      <c r="W122" s="323">
        <f>IF(U122&gt;0,Ruimtestaat[[#This Row],[Prest. (m2 /jaar) werkdagen]]/Ruimtestaat[[#This Row],[Norm (m2/uur) werkdagen]],0)</f>
        <v>0</v>
      </c>
      <c r="X122" s="324">
        <f>Ruimtestaat[[#This Row],[uren / jaar werkdagen]]*Tariefsopbouw!$E$35</f>
        <v>0</v>
      </c>
      <c r="Y122" s="321"/>
      <c r="Z122" s="325">
        <f>IF(Ruimtestaat[[#This Row],[Frequentie weekend]]&gt;0,VALUE(LEFT(Y122,1))*R122,0)</f>
        <v>0</v>
      </c>
      <c r="AA122" s="321">
        <f>IF($Z122&gt;0,VLOOKUP($J122,Ruimtegroepen[],3,FALSE)*VLOOKUP($L122,Vloersoorten[],3,FALSE)*VLOOKUP($Y122,Frequenties[],3,FALSE)*VLOOKUP($A117,Locaties[],3,FALSE),0)</f>
        <v>0</v>
      </c>
      <c r="AB122" s="323">
        <f>Ruimtestaat[[#This Row],[Uitvoeringen weekend]]*Ruimtestaat[[#This Row],[Oppervlak (netto)]]</f>
        <v>0</v>
      </c>
      <c r="AC122" s="326">
        <f>IF(AB122&gt;0,Ruimtestaat[[#This Row],[Prest. (m2 /jaar) weekend]]/Ruimtestaat[[#This Row],[Norm (m2/uur) weekend]],0)</f>
        <v>0</v>
      </c>
      <c r="AD122" s="327">
        <f>Ruimtestaat[[#This Row],[uren / jaar weekend]]*Tariefsopbouw!$D$40</f>
        <v>0</v>
      </c>
      <c r="AE122" s="328">
        <f>Ruimtestaat[[#This Row],[Prest. (m2 /jaar) weekend]]+Ruimtestaat[[#This Row],[Prest. (m2 /jaar) werkdagen]]</f>
        <v>1560</v>
      </c>
      <c r="AF122" s="328">
        <f>Ruimtestaat[[#This Row],[uren / jaar weekend]]+Ruimtestaat[[#This Row],[uren / jaar werkdagen]]</f>
        <v>0</v>
      </c>
      <c r="AG122" s="329">
        <f>Ruimtestaat[[#This Row],[kosten / jaar weekend]]+Ruimtestaat[[#This Row],[kosten / jaar werkdagen]]</f>
        <v>0</v>
      </c>
      <c r="AH122" s="330"/>
      <c r="HL122" s="297"/>
    </row>
    <row r="123" spans="1:220" ht="15" customHeight="1">
      <c r="A123" s="271">
        <v>2</v>
      </c>
      <c r="B123" s="271" t="str">
        <f>VLOOKUP(Ruimtestaat[[#This Row],[Code]],Locaties[#All],2,FALSE)</f>
        <v>Paviljoen Nova</v>
      </c>
      <c r="C123" s="271" t="str">
        <f>VLOOKUP(Ruimtestaat[[#This Row],[Code]],Locaties[#All],4,FALSE)</f>
        <v>Sterrenlaan 16</v>
      </c>
      <c r="D123" s="271" t="str">
        <f>VLOOKUP(Ruimtestaat[[#This Row],[Code]],Locaties[#All],5,FALSE)</f>
        <v>5631 KA</v>
      </c>
      <c r="E123" s="271" t="str">
        <f>VLOOKUP(Ruimtestaat[[#This Row],[Code]],Locaties[#All],6,FALSE)</f>
        <v>Eindhoven</v>
      </c>
      <c r="F123" s="318"/>
      <c r="G123" s="271" t="s">
        <v>668</v>
      </c>
      <c r="H123" s="334" t="s">
        <v>669</v>
      </c>
      <c r="I123" s="228" t="s">
        <v>670</v>
      </c>
      <c r="J123" s="271">
        <v>16</v>
      </c>
      <c r="K123" s="318" t="str">
        <f>VLOOKUP(J123,Ruimtegroepen[],2,FALSE)</f>
        <v>Leslokalen theorie</v>
      </c>
      <c r="L123" s="271" t="s">
        <v>113</v>
      </c>
      <c r="M123" s="271" t="s">
        <v>373</v>
      </c>
      <c r="N123" s="319">
        <v>47</v>
      </c>
      <c r="O123" s="319"/>
      <c r="P123" s="320" t="str">
        <f>LEFT(VLOOKUP(Ruimtestaat[[#This Row],[Ruimte code]],Ruimtegroepen[#All],4,1),2)</f>
        <v xml:space="preserve">L </v>
      </c>
      <c r="Q123" s="320"/>
      <c r="R123" s="271">
        <v>40</v>
      </c>
      <c r="S123" s="271" t="s">
        <v>2</v>
      </c>
      <c r="T123" s="321">
        <f>IF(R123&gt;0,IF(RIGHT(Ruimtestaat[[#This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" s="321">
        <f>IF(T123&gt;0,VLOOKUP($J123,Ruimtegroepen[],3,FALSE)*VLOOKUP($L123,Vloersoorten[],3,FALSE)*VLOOKUP($S123,Frequenties[],3,FALSE)*VLOOKUP($A123,Locaties[],3,FALSE),0)</f>
        <v>0</v>
      </c>
      <c r="V123" s="322">
        <f>Ruimtestaat[[#This Row],[Uitvoeringen werkdagen]]*Ruimtestaat[[#This Row],[Oppervlak (netto)]]</f>
        <v>9400</v>
      </c>
      <c r="W123" s="323">
        <f>IF(U123&gt;0,Ruimtestaat[[#This Row],[Prest. (m2 /jaar) werkdagen]]/Ruimtestaat[[#This Row],[Norm (m2/uur) werkdagen]],0)</f>
        <v>0</v>
      </c>
      <c r="X123" s="324">
        <f>Ruimtestaat[[#This Row],[uren / jaar werkdagen]]*Tariefsopbouw!$E$35</f>
        <v>0</v>
      </c>
      <c r="Y123" s="321"/>
      <c r="Z123" s="325">
        <f>IF(Ruimtestaat[[#This Row],[Frequentie weekend]]&gt;0,VALUE(LEFT(Y123,1))*R123,0)</f>
        <v>0</v>
      </c>
      <c r="AA123" s="321">
        <f>IF($Z123&gt;0,VLOOKUP($J123,Ruimtegroepen[],3,FALSE)*VLOOKUP($L123,Vloersoorten[],3,FALSE)*VLOOKUP($Y123,Frequenties[],3,FALSE)*VLOOKUP($A119,Locaties[],3,FALSE),0)</f>
        <v>0</v>
      </c>
      <c r="AB123" s="323">
        <f>Ruimtestaat[[#This Row],[Uitvoeringen weekend]]*Ruimtestaat[[#This Row],[Oppervlak (netto)]]</f>
        <v>0</v>
      </c>
      <c r="AC123" s="326">
        <f>IF(AB123&gt;0,Ruimtestaat[[#This Row],[Prest. (m2 /jaar) weekend]]/Ruimtestaat[[#This Row],[Norm (m2/uur) weekend]],0)</f>
        <v>0</v>
      </c>
      <c r="AD123" s="327">
        <f>Ruimtestaat[[#This Row],[uren / jaar weekend]]*Tariefsopbouw!$D$40</f>
        <v>0</v>
      </c>
      <c r="AE123" s="328">
        <f>Ruimtestaat[[#This Row],[Prest. (m2 /jaar) weekend]]+Ruimtestaat[[#This Row],[Prest. (m2 /jaar) werkdagen]]</f>
        <v>9400</v>
      </c>
      <c r="AF123" s="328">
        <f>Ruimtestaat[[#This Row],[uren / jaar weekend]]+Ruimtestaat[[#This Row],[uren / jaar werkdagen]]</f>
        <v>0</v>
      </c>
      <c r="AG123" s="329">
        <f>Ruimtestaat[[#This Row],[kosten / jaar weekend]]+Ruimtestaat[[#This Row],[kosten / jaar werkdagen]]</f>
        <v>0</v>
      </c>
      <c r="AH123" s="330"/>
      <c r="HL123" s="297"/>
    </row>
    <row r="124" spans="1:220" ht="15" customHeight="1">
      <c r="A124" s="271">
        <v>2</v>
      </c>
      <c r="B124" s="271" t="str">
        <f>VLOOKUP(Ruimtestaat[[#This Row],[Code]],Locaties[#All],2,FALSE)</f>
        <v>Paviljoen Nova</v>
      </c>
      <c r="C124" s="271" t="str">
        <f>VLOOKUP(Ruimtestaat[[#This Row],[Code]],Locaties[#All],4,FALSE)</f>
        <v>Sterrenlaan 16</v>
      </c>
      <c r="D124" s="271" t="str">
        <f>VLOOKUP(Ruimtestaat[[#This Row],[Code]],Locaties[#All],5,FALSE)</f>
        <v>5631 KA</v>
      </c>
      <c r="E124" s="271" t="str">
        <f>VLOOKUP(Ruimtestaat[[#This Row],[Code]],Locaties[#All],6,FALSE)</f>
        <v>Eindhoven</v>
      </c>
      <c r="F124" s="318"/>
      <c r="G124" s="271" t="s">
        <v>668</v>
      </c>
      <c r="H124" s="334" t="s">
        <v>671</v>
      </c>
      <c r="I124" s="228" t="s">
        <v>672</v>
      </c>
      <c r="J124" s="271">
        <v>16</v>
      </c>
      <c r="K124" s="318" t="str">
        <f>VLOOKUP(J124,Ruimtegroepen[],2,FALSE)</f>
        <v>Leslokalen theorie</v>
      </c>
      <c r="L124" s="271" t="s">
        <v>113</v>
      </c>
      <c r="M124" s="271" t="s">
        <v>373</v>
      </c>
      <c r="N124" s="319">
        <v>32</v>
      </c>
      <c r="O124" s="319"/>
      <c r="P124" s="320" t="str">
        <f>LEFT(VLOOKUP(Ruimtestaat[[#This Row],[Ruimte code]],Ruimtegroepen[#All],4,1),2)</f>
        <v xml:space="preserve">L </v>
      </c>
      <c r="Q124" s="320"/>
      <c r="R124" s="271">
        <v>40</v>
      </c>
      <c r="S124" s="271" t="s">
        <v>2</v>
      </c>
      <c r="T124" s="321">
        <f>IF(R124&gt;0,IF(RIGHT(Ruimtestaat[[#This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" s="321">
        <f>IF(T124&gt;0,VLOOKUP($J124,Ruimtegroepen[],3,FALSE)*VLOOKUP($L124,Vloersoorten[],3,FALSE)*VLOOKUP($S124,Frequenties[],3,FALSE)*VLOOKUP($A124,Locaties[],3,FALSE),0)</f>
        <v>0</v>
      </c>
      <c r="V124" s="322">
        <f>Ruimtestaat[[#This Row],[Uitvoeringen werkdagen]]*Ruimtestaat[[#This Row],[Oppervlak (netto)]]</f>
        <v>6400</v>
      </c>
      <c r="W124" s="323">
        <f>IF(U124&gt;0,Ruimtestaat[[#This Row],[Prest. (m2 /jaar) werkdagen]]/Ruimtestaat[[#This Row],[Norm (m2/uur) werkdagen]],0)</f>
        <v>0</v>
      </c>
      <c r="X124" s="324">
        <f>Ruimtestaat[[#This Row],[uren / jaar werkdagen]]*Tariefsopbouw!$E$35</f>
        <v>0</v>
      </c>
      <c r="Y124" s="321"/>
      <c r="Z124" s="325">
        <f>IF(Ruimtestaat[[#This Row],[Frequentie weekend]]&gt;0,VALUE(LEFT(Y124,1))*R124,0)</f>
        <v>0</v>
      </c>
      <c r="AA124" s="321">
        <f>IF($Z124&gt;0,VLOOKUP($J124,Ruimtegroepen[],3,FALSE)*VLOOKUP($L124,Vloersoorten[],3,FALSE)*VLOOKUP($Y124,Frequenties[],3,FALSE)*VLOOKUP($A120,Locaties[],3,FALSE),0)</f>
        <v>0</v>
      </c>
      <c r="AB124" s="323">
        <f>Ruimtestaat[[#This Row],[Uitvoeringen weekend]]*Ruimtestaat[[#This Row],[Oppervlak (netto)]]</f>
        <v>0</v>
      </c>
      <c r="AC124" s="326">
        <f>IF(AB124&gt;0,Ruimtestaat[[#This Row],[Prest. (m2 /jaar) weekend]]/Ruimtestaat[[#This Row],[Norm (m2/uur) weekend]],0)</f>
        <v>0</v>
      </c>
      <c r="AD124" s="327">
        <f>Ruimtestaat[[#This Row],[uren / jaar weekend]]*Tariefsopbouw!$D$40</f>
        <v>0</v>
      </c>
      <c r="AE124" s="328">
        <f>Ruimtestaat[[#This Row],[Prest. (m2 /jaar) weekend]]+Ruimtestaat[[#This Row],[Prest. (m2 /jaar) werkdagen]]</f>
        <v>6400</v>
      </c>
      <c r="AF124" s="328">
        <f>Ruimtestaat[[#This Row],[uren / jaar weekend]]+Ruimtestaat[[#This Row],[uren / jaar werkdagen]]</f>
        <v>0</v>
      </c>
      <c r="AG124" s="329">
        <f>Ruimtestaat[[#This Row],[kosten / jaar weekend]]+Ruimtestaat[[#This Row],[kosten / jaar werkdagen]]</f>
        <v>0</v>
      </c>
      <c r="AH124" s="330"/>
      <c r="HL124" s="297"/>
    </row>
    <row r="125" spans="1:220" ht="15" customHeight="1">
      <c r="A125" s="271">
        <v>2</v>
      </c>
      <c r="B125" s="271" t="str">
        <f>VLOOKUP(Ruimtestaat[[#This Row],[Code]],Locaties[#All],2,FALSE)</f>
        <v>Paviljoen Nova</v>
      </c>
      <c r="C125" s="271" t="str">
        <f>VLOOKUP(Ruimtestaat[[#This Row],[Code]],Locaties[#All],4,FALSE)</f>
        <v>Sterrenlaan 16</v>
      </c>
      <c r="D125" s="271" t="str">
        <f>VLOOKUP(Ruimtestaat[[#This Row],[Code]],Locaties[#All],5,FALSE)</f>
        <v>5631 KA</v>
      </c>
      <c r="E125" s="271" t="str">
        <f>VLOOKUP(Ruimtestaat[[#This Row],[Code]],Locaties[#All],6,FALSE)</f>
        <v>Eindhoven</v>
      </c>
      <c r="F125" s="318"/>
      <c r="G125" s="271" t="s">
        <v>668</v>
      </c>
      <c r="H125" s="334" t="s">
        <v>673</v>
      </c>
      <c r="I125" s="228" t="s">
        <v>674</v>
      </c>
      <c r="J125" s="271">
        <v>16</v>
      </c>
      <c r="K125" s="318" t="str">
        <f>VLOOKUP(J125,Ruimtegroepen[],2,FALSE)</f>
        <v>Leslokalen theorie</v>
      </c>
      <c r="L125" s="271" t="s">
        <v>113</v>
      </c>
      <c r="M125" s="271" t="s">
        <v>373</v>
      </c>
      <c r="N125" s="319">
        <v>32</v>
      </c>
      <c r="O125" s="319"/>
      <c r="P125" s="320" t="str">
        <f>LEFT(VLOOKUP(Ruimtestaat[[#This Row],[Ruimte code]],Ruimtegroepen[#All],4,1),2)</f>
        <v xml:space="preserve">L </v>
      </c>
      <c r="Q125" s="320"/>
      <c r="R125" s="271">
        <v>40</v>
      </c>
      <c r="S125" s="271" t="s">
        <v>2</v>
      </c>
      <c r="T125" s="321">
        <f>IF(R125&gt;0,IF(RIGHT(Ruimtestaat[[#This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5" s="321">
        <f>IF(T125&gt;0,VLOOKUP($J125,Ruimtegroepen[],3,FALSE)*VLOOKUP($L125,Vloersoorten[],3,FALSE)*VLOOKUP($S125,Frequenties[],3,FALSE)*VLOOKUP($A125,Locaties[],3,FALSE),0)</f>
        <v>0</v>
      </c>
      <c r="V125" s="322">
        <f>Ruimtestaat[[#This Row],[Uitvoeringen werkdagen]]*Ruimtestaat[[#This Row],[Oppervlak (netto)]]</f>
        <v>6400</v>
      </c>
      <c r="W125" s="323">
        <f>IF(U125&gt;0,Ruimtestaat[[#This Row],[Prest. (m2 /jaar) werkdagen]]/Ruimtestaat[[#This Row],[Norm (m2/uur) werkdagen]],0)</f>
        <v>0</v>
      </c>
      <c r="X125" s="324">
        <f>Ruimtestaat[[#This Row],[uren / jaar werkdagen]]*Tariefsopbouw!$E$35</f>
        <v>0</v>
      </c>
      <c r="Y125" s="321"/>
      <c r="Z125" s="325">
        <f>IF(Ruimtestaat[[#This Row],[Frequentie weekend]]&gt;0,VALUE(LEFT(Y125,1))*R125,0)</f>
        <v>0</v>
      </c>
      <c r="AA125" s="321">
        <f>IF($Z125&gt;0,VLOOKUP($J125,Ruimtegroepen[],3,FALSE)*VLOOKUP($L125,Vloersoorten[],3,FALSE)*VLOOKUP($Y125,Frequenties[],3,FALSE)*VLOOKUP($A121,Locaties[],3,FALSE),0)</f>
        <v>0</v>
      </c>
      <c r="AB125" s="323">
        <f>Ruimtestaat[[#This Row],[Uitvoeringen weekend]]*Ruimtestaat[[#This Row],[Oppervlak (netto)]]</f>
        <v>0</v>
      </c>
      <c r="AC125" s="326">
        <f>IF(AB125&gt;0,Ruimtestaat[[#This Row],[Prest. (m2 /jaar) weekend]]/Ruimtestaat[[#This Row],[Norm (m2/uur) weekend]],0)</f>
        <v>0</v>
      </c>
      <c r="AD125" s="327">
        <f>Ruimtestaat[[#This Row],[uren / jaar weekend]]*Tariefsopbouw!$D$40</f>
        <v>0</v>
      </c>
      <c r="AE125" s="328">
        <f>Ruimtestaat[[#This Row],[Prest. (m2 /jaar) weekend]]+Ruimtestaat[[#This Row],[Prest. (m2 /jaar) werkdagen]]</f>
        <v>6400</v>
      </c>
      <c r="AF125" s="328">
        <f>Ruimtestaat[[#This Row],[uren / jaar weekend]]+Ruimtestaat[[#This Row],[uren / jaar werkdagen]]</f>
        <v>0</v>
      </c>
      <c r="AG125" s="329">
        <f>Ruimtestaat[[#This Row],[kosten / jaar weekend]]+Ruimtestaat[[#This Row],[kosten / jaar werkdagen]]</f>
        <v>0</v>
      </c>
      <c r="AH125" s="330"/>
      <c r="HL125" s="297"/>
    </row>
    <row r="126" spans="1:220" ht="15" customHeight="1">
      <c r="A126" s="271">
        <v>2</v>
      </c>
      <c r="B126" s="271" t="str">
        <f>VLOOKUP(Ruimtestaat[[#This Row],[Code]],Locaties[#All],2,FALSE)</f>
        <v>Paviljoen Nova</v>
      </c>
      <c r="C126" s="271" t="str">
        <f>VLOOKUP(Ruimtestaat[[#This Row],[Code]],Locaties[#All],4,FALSE)</f>
        <v>Sterrenlaan 16</v>
      </c>
      <c r="D126" s="271" t="str">
        <f>VLOOKUP(Ruimtestaat[[#This Row],[Code]],Locaties[#All],5,FALSE)</f>
        <v>5631 KA</v>
      </c>
      <c r="E126" s="271" t="str">
        <f>VLOOKUP(Ruimtestaat[[#This Row],[Code]],Locaties[#All],6,FALSE)</f>
        <v>Eindhoven</v>
      </c>
      <c r="F126" s="318"/>
      <c r="G126" s="271" t="s">
        <v>668</v>
      </c>
      <c r="H126" s="334" t="s">
        <v>675</v>
      </c>
      <c r="I126" s="228" t="s">
        <v>676</v>
      </c>
      <c r="J126" s="271">
        <v>16</v>
      </c>
      <c r="K126" s="318" t="str">
        <f>VLOOKUP(J126,Ruimtegroepen[],2,FALSE)</f>
        <v>Leslokalen theorie</v>
      </c>
      <c r="L126" s="271" t="s">
        <v>113</v>
      </c>
      <c r="M126" s="271" t="s">
        <v>373</v>
      </c>
      <c r="N126" s="319">
        <v>52</v>
      </c>
      <c r="O126" s="319"/>
      <c r="P126" s="320" t="str">
        <f>LEFT(VLOOKUP(Ruimtestaat[[#This Row],[Ruimte code]],Ruimtegroepen[#All],4,1),2)</f>
        <v xml:space="preserve">L </v>
      </c>
      <c r="Q126" s="320"/>
      <c r="R126" s="271">
        <v>40</v>
      </c>
      <c r="S126" s="271" t="s">
        <v>2</v>
      </c>
      <c r="T126" s="321">
        <f>IF(R126&gt;0,IF(RIGHT(Ruimtestaat[[#This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" s="321">
        <f>IF(T126&gt;0,VLOOKUP($J126,Ruimtegroepen[],3,FALSE)*VLOOKUP($L126,Vloersoorten[],3,FALSE)*VLOOKUP($S126,Frequenties[],3,FALSE)*VLOOKUP($A126,Locaties[],3,FALSE),0)</f>
        <v>0</v>
      </c>
      <c r="V126" s="322">
        <f>Ruimtestaat[[#This Row],[Uitvoeringen werkdagen]]*Ruimtestaat[[#This Row],[Oppervlak (netto)]]</f>
        <v>10400</v>
      </c>
      <c r="W126" s="323">
        <f>IF(U126&gt;0,Ruimtestaat[[#This Row],[Prest. (m2 /jaar) werkdagen]]/Ruimtestaat[[#This Row],[Norm (m2/uur) werkdagen]],0)</f>
        <v>0</v>
      </c>
      <c r="X126" s="324">
        <f>Ruimtestaat[[#This Row],[uren / jaar werkdagen]]*Tariefsopbouw!$E$35</f>
        <v>0</v>
      </c>
      <c r="Y126" s="321"/>
      <c r="Z126" s="325">
        <f>IF(Ruimtestaat[[#This Row],[Frequentie weekend]]&gt;0,VALUE(LEFT(Y126,1))*R126,0)</f>
        <v>0</v>
      </c>
      <c r="AA126" s="321">
        <f>IF($Z126&gt;0,VLOOKUP($J126,Ruimtegroepen[],3,FALSE)*VLOOKUP($L126,Vloersoorten[],3,FALSE)*VLOOKUP($Y126,Frequenties[],3,FALSE)*VLOOKUP($A122,Locaties[],3,FALSE),0)</f>
        <v>0</v>
      </c>
      <c r="AB126" s="323">
        <f>Ruimtestaat[[#This Row],[Uitvoeringen weekend]]*Ruimtestaat[[#This Row],[Oppervlak (netto)]]</f>
        <v>0</v>
      </c>
      <c r="AC126" s="326">
        <f>IF(AB126&gt;0,Ruimtestaat[[#This Row],[Prest. (m2 /jaar) weekend]]/Ruimtestaat[[#This Row],[Norm (m2/uur) weekend]],0)</f>
        <v>0</v>
      </c>
      <c r="AD126" s="327">
        <f>Ruimtestaat[[#This Row],[uren / jaar weekend]]*Tariefsopbouw!$D$40</f>
        <v>0</v>
      </c>
      <c r="AE126" s="328">
        <f>Ruimtestaat[[#This Row],[Prest. (m2 /jaar) weekend]]+Ruimtestaat[[#This Row],[Prest. (m2 /jaar) werkdagen]]</f>
        <v>10400</v>
      </c>
      <c r="AF126" s="328">
        <f>Ruimtestaat[[#This Row],[uren / jaar weekend]]+Ruimtestaat[[#This Row],[uren / jaar werkdagen]]</f>
        <v>0</v>
      </c>
      <c r="AG126" s="329">
        <f>Ruimtestaat[[#This Row],[kosten / jaar weekend]]+Ruimtestaat[[#This Row],[kosten / jaar werkdagen]]</f>
        <v>0</v>
      </c>
      <c r="AH126" s="330"/>
      <c r="HL126" s="297"/>
    </row>
    <row r="127" spans="1:220" ht="15" customHeight="1">
      <c r="A127" s="271">
        <v>2</v>
      </c>
      <c r="B127" s="271" t="str">
        <f>VLOOKUP(Ruimtestaat[[#This Row],[Code]],Locaties[#All],2,FALSE)</f>
        <v>Paviljoen Nova</v>
      </c>
      <c r="C127" s="271" t="str">
        <f>VLOOKUP(Ruimtestaat[[#This Row],[Code]],Locaties[#All],4,FALSE)</f>
        <v>Sterrenlaan 16</v>
      </c>
      <c r="D127" s="271" t="str">
        <f>VLOOKUP(Ruimtestaat[[#This Row],[Code]],Locaties[#All],5,FALSE)</f>
        <v>5631 KA</v>
      </c>
      <c r="E127" s="271" t="str">
        <f>VLOOKUP(Ruimtestaat[[#This Row],[Code]],Locaties[#All],6,FALSE)</f>
        <v>Eindhoven</v>
      </c>
      <c r="F127" s="318"/>
      <c r="G127" s="271" t="s">
        <v>668</v>
      </c>
      <c r="H127" s="334" t="s">
        <v>677</v>
      </c>
      <c r="I127" s="228" t="s">
        <v>678</v>
      </c>
      <c r="J127" s="271">
        <v>16</v>
      </c>
      <c r="K127" s="318" t="str">
        <f>VLOOKUP(J127,Ruimtegroepen[],2,FALSE)</f>
        <v>Leslokalen theorie</v>
      </c>
      <c r="L127" s="271" t="s">
        <v>113</v>
      </c>
      <c r="M127" s="271" t="s">
        <v>373</v>
      </c>
      <c r="N127" s="319">
        <v>57</v>
      </c>
      <c r="O127" s="319"/>
      <c r="P127" s="320" t="str">
        <f>LEFT(VLOOKUP(Ruimtestaat[[#This Row],[Ruimte code]],Ruimtegroepen[#All],4,1),2)</f>
        <v xml:space="preserve">L </v>
      </c>
      <c r="Q127" s="320"/>
      <c r="R127" s="271">
        <v>40</v>
      </c>
      <c r="S127" s="271" t="s">
        <v>2</v>
      </c>
      <c r="T127" s="321">
        <f>IF(R127&gt;0,IF(RIGHT(Ruimtestaat[[#This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7" s="321">
        <f>IF(T127&gt;0,VLOOKUP($J127,Ruimtegroepen[],3,FALSE)*VLOOKUP($L127,Vloersoorten[],3,FALSE)*VLOOKUP($S127,Frequenties[],3,FALSE)*VLOOKUP($A127,Locaties[],3,FALSE),0)</f>
        <v>0</v>
      </c>
      <c r="V127" s="322">
        <f>Ruimtestaat[[#This Row],[Uitvoeringen werkdagen]]*Ruimtestaat[[#This Row],[Oppervlak (netto)]]</f>
        <v>11400</v>
      </c>
      <c r="W127" s="323">
        <f>IF(U127&gt;0,Ruimtestaat[[#This Row],[Prest. (m2 /jaar) werkdagen]]/Ruimtestaat[[#This Row],[Norm (m2/uur) werkdagen]],0)</f>
        <v>0</v>
      </c>
      <c r="X127" s="324">
        <f>Ruimtestaat[[#This Row],[uren / jaar werkdagen]]*Tariefsopbouw!$E$35</f>
        <v>0</v>
      </c>
      <c r="Y127" s="321"/>
      <c r="Z127" s="325">
        <f>IF(Ruimtestaat[[#This Row],[Frequentie weekend]]&gt;0,VALUE(LEFT(Y127,1))*R127,0)</f>
        <v>0</v>
      </c>
      <c r="AA127" s="321">
        <f>IF($Z127&gt;0,VLOOKUP($J127,Ruimtegroepen[],3,FALSE)*VLOOKUP($L127,Vloersoorten[],3,FALSE)*VLOOKUP($Y127,Frequenties[],3,FALSE)*VLOOKUP($A98,Locaties[],3,FALSE),0)</f>
        <v>0</v>
      </c>
      <c r="AB127" s="323">
        <f>Ruimtestaat[[#This Row],[Uitvoeringen weekend]]*Ruimtestaat[[#This Row],[Oppervlak (netto)]]</f>
        <v>0</v>
      </c>
      <c r="AC127" s="326">
        <f>IF(AB127&gt;0,Ruimtestaat[[#This Row],[Prest. (m2 /jaar) weekend]]/Ruimtestaat[[#This Row],[Norm (m2/uur) weekend]],0)</f>
        <v>0</v>
      </c>
      <c r="AD127" s="327">
        <f>Ruimtestaat[[#This Row],[uren / jaar weekend]]*Tariefsopbouw!$D$40</f>
        <v>0</v>
      </c>
      <c r="AE127" s="328">
        <f>Ruimtestaat[[#This Row],[Prest. (m2 /jaar) weekend]]+Ruimtestaat[[#This Row],[Prest. (m2 /jaar) werkdagen]]</f>
        <v>11400</v>
      </c>
      <c r="AF127" s="328">
        <f>Ruimtestaat[[#This Row],[uren / jaar weekend]]+Ruimtestaat[[#This Row],[uren / jaar werkdagen]]</f>
        <v>0</v>
      </c>
      <c r="AG127" s="329">
        <f>Ruimtestaat[[#This Row],[kosten / jaar weekend]]+Ruimtestaat[[#This Row],[kosten / jaar werkdagen]]</f>
        <v>0</v>
      </c>
      <c r="AH127" s="330"/>
      <c r="HL127" s="297"/>
    </row>
    <row r="128" spans="1:220" ht="15" customHeight="1">
      <c r="A128" s="271">
        <v>2</v>
      </c>
      <c r="B128" s="271" t="str">
        <f>VLOOKUP(Ruimtestaat[[#This Row],[Code]],Locaties[#All],2,FALSE)</f>
        <v>Paviljoen Nova</v>
      </c>
      <c r="C128" s="271" t="str">
        <f>VLOOKUP(Ruimtestaat[[#This Row],[Code]],Locaties[#All],4,FALSE)</f>
        <v>Sterrenlaan 16</v>
      </c>
      <c r="D128" s="271" t="str">
        <f>VLOOKUP(Ruimtestaat[[#This Row],[Code]],Locaties[#All],5,FALSE)</f>
        <v>5631 KA</v>
      </c>
      <c r="E128" s="271" t="str">
        <f>VLOOKUP(Ruimtestaat[[#This Row],[Code]],Locaties[#All],6,FALSE)</f>
        <v>Eindhoven</v>
      </c>
      <c r="F128" s="318"/>
      <c r="G128" s="271" t="s">
        <v>668</v>
      </c>
      <c r="H128" s="334" t="s">
        <v>679</v>
      </c>
      <c r="I128" s="228" t="s">
        <v>680</v>
      </c>
      <c r="J128" s="271">
        <v>10</v>
      </c>
      <c r="K128" s="318" t="str">
        <f>VLOOKUP(J128,Ruimtegroepen[],2,FALSE)</f>
        <v>Trappenhuizen/lift</v>
      </c>
      <c r="L128" s="271" t="s">
        <v>114</v>
      </c>
      <c r="M128" s="271" t="s">
        <v>705</v>
      </c>
      <c r="N128" s="319">
        <v>9</v>
      </c>
      <c r="O128" s="319"/>
      <c r="P128" s="320" t="str">
        <f>LEFT(VLOOKUP(Ruimtestaat[[#This Row],[Ruimte code]],Ruimtegroepen[#All],4,1),2)</f>
        <v xml:space="preserve">V </v>
      </c>
      <c r="Q128" s="320"/>
      <c r="R128" s="271">
        <v>40</v>
      </c>
      <c r="S128" s="271" t="s">
        <v>2</v>
      </c>
      <c r="T128" s="321">
        <f>IF(R128&gt;0,IF(RIGHT(Ruimtestaat[[#This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8" s="321">
        <f>IF(T128&gt;0,VLOOKUP($J128,Ruimtegroepen[],3,FALSE)*VLOOKUP($L128,Vloersoorten[],3,FALSE)*VLOOKUP($S128,Frequenties[],3,FALSE)*VLOOKUP($A128,Locaties[],3,FALSE),0)</f>
        <v>0</v>
      </c>
      <c r="V128" s="322">
        <f>Ruimtestaat[[#This Row],[Uitvoeringen werkdagen]]*Ruimtestaat[[#This Row],[Oppervlak (netto)]]</f>
        <v>1800</v>
      </c>
      <c r="W128" s="323">
        <f>IF(U128&gt;0,Ruimtestaat[[#This Row],[Prest. (m2 /jaar) werkdagen]]/Ruimtestaat[[#This Row],[Norm (m2/uur) werkdagen]],0)</f>
        <v>0</v>
      </c>
      <c r="X128" s="324">
        <f>Ruimtestaat[[#This Row],[uren / jaar werkdagen]]*Tariefsopbouw!$E$35</f>
        <v>0</v>
      </c>
      <c r="Y128" s="321"/>
      <c r="Z128" s="325">
        <f>IF(Ruimtestaat[[#This Row],[Frequentie weekend]]&gt;0,VALUE(LEFT(Y128,1))*R128,0)</f>
        <v>0</v>
      </c>
      <c r="AA128" s="321">
        <f>IF($Z128&gt;0,VLOOKUP($J128,Ruimtegroepen[],3,FALSE)*VLOOKUP($L128,Vloersoorten[],3,FALSE)*VLOOKUP($Y128,Frequenties[],3,FALSE)*VLOOKUP($A99,Locaties[],3,FALSE),0)</f>
        <v>0</v>
      </c>
      <c r="AB128" s="323">
        <f>Ruimtestaat[[#This Row],[Uitvoeringen weekend]]*Ruimtestaat[[#This Row],[Oppervlak (netto)]]</f>
        <v>0</v>
      </c>
      <c r="AC128" s="326">
        <f>IF(AB128&gt;0,Ruimtestaat[[#This Row],[Prest. (m2 /jaar) weekend]]/Ruimtestaat[[#This Row],[Norm (m2/uur) weekend]],0)</f>
        <v>0</v>
      </c>
      <c r="AD128" s="327">
        <f>Ruimtestaat[[#This Row],[uren / jaar weekend]]*Tariefsopbouw!$D$40</f>
        <v>0</v>
      </c>
      <c r="AE128" s="328">
        <f>Ruimtestaat[[#This Row],[Prest. (m2 /jaar) weekend]]+Ruimtestaat[[#This Row],[Prest. (m2 /jaar) werkdagen]]</f>
        <v>1800</v>
      </c>
      <c r="AF128" s="328">
        <f>Ruimtestaat[[#This Row],[uren / jaar weekend]]+Ruimtestaat[[#This Row],[uren / jaar werkdagen]]</f>
        <v>0</v>
      </c>
      <c r="AG128" s="329">
        <f>Ruimtestaat[[#This Row],[kosten / jaar weekend]]+Ruimtestaat[[#This Row],[kosten / jaar werkdagen]]</f>
        <v>0</v>
      </c>
      <c r="AH128" s="330"/>
      <c r="HL128" s="297"/>
    </row>
    <row r="129" spans="1:220" ht="15" customHeight="1">
      <c r="A129" s="271">
        <v>2</v>
      </c>
      <c r="B129" s="271" t="str">
        <f>VLOOKUP(Ruimtestaat[[#This Row],[Code]],Locaties[#All],2,FALSE)</f>
        <v>Paviljoen Nova</v>
      </c>
      <c r="C129" s="271" t="str">
        <f>VLOOKUP(Ruimtestaat[[#This Row],[Code]],Locaties[#All],4,FALSE)</f>
        <v>Sterrenlaan 16</v>
      </c>
      <c r="D129" s="271" t="str">
        <f>VLOOKUP(Ruimtestaat[[#This Row],[Code]],Locaties[#All],5,FALSE)</f>
        <v>5631 KA</v>
      </c>
      <c r="E129" s="271" t="str">
        <f>VLOOKUP(Ruimtestaat[[#This Row],[Code]],Locaties[#All],6,FALSE)</f>
        <v>Eindhoven</v>
      </c>
      <c r="F129" s="318"/>
      <c r="G129" s="271" t="s">
        <v>668</v>
      </c>
      <c r="H129" s="334" t="s">
        <v>681</v>
      </c>
      <c r="I129" s="228" t="s">
        <v>636</v>
      </c>
      <c r="J129" s="271">
        <v>4</v>
      </c>
      <c r="K129" s="318" t="str">
        <f>VLOOKUP(J129,Ruimtegroepen[],2,FALSE)</f>
        <v>Vergader/spreekkamers</v>
      </c>
      <c r="L129" s="271" t="s">
        <v>113</v>
      </c>
      <c r="M129" s="271" t="s">
        <v>373</v>
      </c>
      <c r="N129" s="319">
        <v>9</v>
      </c>
      <c r="O129" s="319"/>
      <c r="P129" s="320" t="str">
        <f>LEFT(VLOOKUP(Ruimtestaat[[#This Row],[Ruimte code]],Ruimtegroepen[#All],4,1),2)</f>
        <v xml:space="preserve">B </v>
      </c>
      <c r="Q129" s="320"/>
      <c r="R129" s="271">
        <v>40</v>
      </c>
      <c r="S129" s="271" t="s">
        <v>18</v>
      </c>
      <c r="T129" s="321">
        <f>IF(R129&gt;0,IF(RIGHT(Ruimtestaat[[#This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29" s="321">
        <f>IF(T129&gt;0,VLOOKUP($J129,Ruimtegroepen[],3,FALSE)*VLOOKUP($L129,Vloersoorten[],3,FALSE)*VLOOKUP($S129,Frequenties[],3,FALSE)*VLOOKUP($A129,Locaties[],3,FALSE),0)</f>
        <v>0</v>
      </c>
      <c r="V129" s="322">
        <f>Ruimtestaat[[#This Row],[Uitvoeringen werkdagen]]*Ruimtestaat[[#This Row],[Oppervlak (netto)]]</f>
        <v>1080</v>
      </c>
      <c r="W129" s="323">
        <f>IF(U129&gt;0,Ruimtestaat[[#This Row],[Prest. (m2 /jaar) werkdagen]]/Ruimtestaat[[#This Row],[Norm (m2/uur) werkdagen]],0)</f>
        <v>0</v>
      </c>
      <c r="X129" s="324">
        <f>Ruimtestaat[[#This Row],[uren / jaar werkdagen]]*Tariefsopbouw!$E$35</f>
        <v>0</v>
      </c>
      <c r="Y129" s="321"/>
      <c r="Z129" s="325">
        <f>IF(Ruimtestaat[[#This Row],[Frequentie weekend]]&gt;0,VALUE(LEFT(Y129,1))*R129,0)</f>
        <v>0</v>
      </c>
      <c r="AA129" s="321">
        <f>IF($Z129&gt;0,VLOOKUP($J129,Ruimtegroepen[],3,FALSE)*VLOOKUP($L129,Vloersoorten[],3,FALSE)*VLOOKUP($Y129,Frequenties[],3,FALSE)*VLOOKUP($A100,Locaties[],3,FALSE),0)</f>
        <v>0</v>
      </c>
      <c r="AB129" s="323">
        <f>Ruimtestaat[[#This Row],[Uitvoeringen weekend]]*Ruimtestaat[[#This Row],[Oppervlak (netto)]]</f>
        <v>0</v>
      </c>
      <c r="AC129" s="326">
        <f>IF(AB129&gt;0,Ruimtestaat[[#This Row],[Prest. (m2 /jaar) weekend]]/Ruimtestaat[[#This Row],[Norm (m2/uur) weekend]],0)</f>
        <v>0</v>
      </c>
      <c r="AD129" s="327">
        <f>Ruimtestaat[[#This Row],[uren / jaar weekend]]*Tariefsopbouw!$D$40</f>
        <v>0</v>
      </c>
      <c r="AE129" s="328">
        <f>Ruimtestaat[[#This Row],[Prest. (m2 /jaar) weekend]]+Ruimtestaat[[#This Row],[Prest. (m2 /jaar) werkdagen]]</f>
        <v>1080</v>
      </c>
      <c r="AF129" s="328">
        <f>Ruimtestaat[[#This Row],[uren / jaar weekend]]+Ruimtestaat[[#This Row],[uren / jaar werkdagen]]</f>
        <v>0</v>
      </c>
      <c r="AG129" s="329">
        <f>Ruimtestaat[[#This Row],[kosten / jaar weekend]]+Ruimtestaat[[#This Row],[kosten / jaar werkdagen]]</f>
        <v>0</v>
      </c>
      <c r="AH129" s="330"/>
      <c r="HL129" s="297"/>
    </row>
    <row r="130" spans="1:220" ht="15" customHeight="1">
      <c r="A130" s="271">
        <v>2</v>
      </c>
      <c r="B130" s="271" t="str">
        <f>VLOOKUP(Ruimtestaat[[#This Row],[Code]],Locaties[#All],2,FALSE)</f>
        <v>Paviljoen Nova</v>
      </c>
      <c r="C130" s="271" t="str">
        <f>VLOOKUP(Ruimtestaat[[#This Row],[Code]],Locaties[#All],4,FALSE)</f>
        <v>Sterrenlaan 16</v>
      </c>
      <c r="D130" s="271" t="str">
        <f>VLOOKUP(Ruimtestaat[[#This Row],[Code]],Locaties[#All],5,FALSE)</f>
        <v>5631 KA</v>
      </c>
      <c r="E130" s="271" t="str">
        <f>VLOOKUP(Ruimtestaat[[#This Row],[Code]],Locaties[#All],6,FALSE)</f>
        <v>Eindhoven</v>
      </c>
      <c r="F130" s="318"/>
      <c r="G130" s="271" t="s">
        <v>668</v>
      </c>
      <c r="H130" s="334" t="s">
        <v>682</v>
      </c>
      <c r="I130" s="228" t="s">
        <v>683</v>
      </c>
      <c r="J130" s="271">
        <v>5</v>
      </c>
      <c r="K130" s="318" t="str">
        <f>VLOOKUP(J130,Ruimtegroepen[],2,FALSE)</f>
        <v>Sanitair</v>
      </c>
      <c r="L130" s="271" t="s">
        <v>114</v>
      </c>
      <c r="M130" s="271" t="s">
        <v>706</v>
      </c>
      <c r="N130" s="319">
        <v>7</v>
      </c>
      <c r="O130" s="319"/>
      <c r="P130" s="320" t="str">
        <f>LEFT(VLOOKUP(Ruimtestaat[[#This Row],[Ruimte code]],Ruimtegroepen[#All],4,1),2)</f>
        <v xml:space="preserve">S </v>
      </c>
      <c r="Q130" s="320"/>
      <c r="R130" s="271">
        <v>42</v>
      </c>
      <c r="S130" s="271" t="s">
        <v>2</v>
      </c>
      <c r="T130" s="321">
        <f>IF(R130&gt;0,IF(RIGHT(Ruimtestaat[[#This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130" s="321">
        <f>IF(T130&gt;0,VLOOKUP($J130,Ruimtegroepen[],3,FALSE)*VLOOKUP($L130,Vloersoorten[],3,FALSE)*VLOOKUP($S130,Frequenties[],3,FALSE)*VLOOKUP($A130,Locaties[],3,FALSE),0)</f>
        <v>0</v>
      </c>
      <c r="V130" s="322">
        <f>Ruimtestaat[[#This Row],[Uitvoeringen werkdagen]]*Ruimtestaat[[#This Row],[Oppervlak (netto)]]</f>
        <v>1470</v>
      </c>
      <c r="W130" s="323">
        <f>IF(U130&gt;0,Ruimtestaat[[#This Row],[Prest. (m2 /jaar) werkdagen]]/Ruimtestaat[[#This Row],[Norm (m2/uur) werkdagen]],0)</f>
        <v>0</v>
      </c>
      <c r="X130" s="324">
        <f>Ruimtestaat[[#This Row],[uren / jaar werkdagen]]*Tariefsopbouw!$E$35</f>
        <v>0</v>
      </c>
      <c r="Y130" s="321"/>
      <c r="Z130" s="325">
        <f>IF(Ruimtestaat[[#This Row],[Frequentie weekend]]&gt;0,VALUE(LEFT(Y130,1))*R130,0)</f>
        <v>0</v>
      </c>
      <c r="AA130" s="321">
        <f>IF($Z130&gt;0,VLOOKUP($J130,Ruimtegroepen[],3,FALSE)*VLOOKUP($L130,Vloersoorten[],3,FALSE)*VLOOKUP($Y130,Frequenties[],3,FALSE)*VLOOKUP($A101,Locaties[],3,FALSE),0)</f>
        <v>0</v>
      </c>
      <c r="AB130" s="323">
        <f>Ruimtestaat[[#This Row],[Uitvoeringen weekend]]*Ruimtestaat[[#This Row],[Oppervlak (netto)]]</f>
        <v>0</v>
      </c>
      <c r="AC130" s="326">
        <f>IF(AB130&gt;0,Ruimtestaat[[#This Row],[Prest. (m2 /jaar) weekend]]/Ruimtestaat[[#This Row],[Norm (m2/uur) weekend]],0)</f>
        <v>0</v>
      </c>
      <c r="AD130" s="327">
        <f>Ruimtestaat[[#This Row],[uren / jaar weekend]]*Tariefsopbouw!$D$40</f>
        <v>0</v>
      </c>
      <c r="AE130" s="328">
        <f>Ruimtestaat[[#This Row],[Prest. (m2 /jaar) weekend]]+Ruimtestaat[[#This Row],[Prest. (m2 /jaar) werkdagen]]</f>
        <v>1470</v>
      </c>
      <c r="AF130" s="328">
        <f>Ruimtestaat[[#This Row],[uren / jaar weekend]]+Ruimtestaat[[#This Row],[uren / jaar werkdagen]]</f>
        <v>0</v>
      </c>
      <c r="AG130" s="329">
        <f>Ruimtestaat[[#This Row],[kosten / jaar weekend]]+Ruimtestaat[[#This Row],[kosten / jaar werkdagen]]</f>
        <v>0</v>
      </c>
      <c r="AH130" s="330"/>
      <c r="HL130" s="297"/>
    </row>
    <row r="131" spans="1:220" ht="15" customHeight="1">
      <c r="A131" s="271">
        <v>2</v>
      </c>
      <c r="B131" s="271" t="str">
        <f>VLOOKUP(Ruimtestaat[[#This Row],[Code]],Locaties[#All],2,FALSE)</f>
        <v>Paviljoen Nova</v>
      </c>
      <c r="C131" s="271" t="str">
        <f>VLOOKUP(Ruimtestaat[[#This Row],[Code]],Locaties[#All],4,FALSE)</f>
        <v>Sterrenlaan 16</v>
      </c>
      <c r="D131" s="271" t="str">
        <f>VLOOKUP(Ruimtestaat[[#This Row],[Code]],Locaties[#All],5,FALSE)</f>
        <v>5631 KA</v>
      </c>
      <c r="E131" s="271" t="str">
        <f>VLOOKUP(Ruimtestaat[[#This Row],[Code]],Locaties[#All],6,FALSE)</f>
        <v>Eindhoven</v>
      </c>
      <c r="F131" s="318"/>
      <c r="G131" s="271" t="s">
        <v>668</v>
      </c>
      <c r="H131" s="334" t="s">
        <v>684</v>
      </c>
      <c r="I131" s="228" t="s">
        <v>685</v>
      </c>
      <c r="J131" s="271">
        <v>5</v>
      </c>
      <c r="K131" s="318" t="str">
        <f>VLOOKUP(J131,Ruimtegroepen[],2,FALSE)</f>
        <v>Sanitair</v>
      </c>
      <c r="L131" s="271" t="s">
        <v>114</v>
      </c>
      <c r="M131" s="271" t="s">
        <v>706</v>
      </c>
      <c r="N131" s="319">
        <v>6</v>
      </c>
      <c r="O131" s="319"/>
      <c r="P131" s="320" t="str">
        <f>LEFT(VLOOKUP(Ruimtestaat[[#This Row],[Ruimte code]],Ruimtegroepen[#All],4,1),2)</f>
        <v xml:space="preserve">S </v>
      </c>
      <c r="Q131" s="320"/>
      <c r="R131" s="271">
        <v>42</v>
      </c>
      <c r="S131" s="271" t="s">
        <v>2</v>
      </c>
      <c r="T131" s="321">
        <f>IF(R131&gt;0,IF(RIGHT(Ruimtestaat[[#This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131" s="321">
        <f>IF(T131&gt;0,VLOOKUP($J131,Ruimtegroepen[],3,FALSE)*VLOOKUP($L131,Vloersoorten[],3,FALSE)*VLOOKUP($S131,Frequenties[],3,FALSE)*VLOOKUP($A131,Locaties[],3,FALSE),0)</f>
        <v>0</v>
      </c>
      <c r="V131" s="322">
        <f>Ruimtestaat[[#This Row],[Uitvoeringen werkdagen]]*Ruimtestaat[[#This Row],[Oppervlak (netto)]]</f>
        <v>1260</v>
      </c>
      <c r="W131" s="323">
        <f>IF(U131&gt;0,Ruimtestaat[[#This Row],[Prest. (m2 /jaar) werkdagen]]/Ruimtestaat[[#This Row],[Norm (m2/uur) werkdagen]],0)</f>
        <v>0</v>
      </c>
      <c r="X131" s="324">
        <f>Ruimtestaat[[#This Row],[uren / jaar werkdagen]]*Tariefsopbouw!$E$35</f>
        <v>0</v>
      </c>
      <c r="Y131" s="321"/>
      <c r="Z131" s="325">
        <f>IF(Ruimtestaat[[#This Row],[Frequentie weekend]]&gt;0,VALUE(LEFT(Y131,1))*R131,0)</f>
        <v>0</v>
      </c>
      <c r="AA131" s="321">
        <f>IF($Z131&gt;0,VLOOKUP($J131,Ruimtegroepen[],3,FALSE)*VLOOKUP($L131,Vloersoorten[],3,FALSE)*VLOOKUP($Y131,Frequenties[],3,FALSE)*VLOOKUP($A102,Locaties[],3,FALSE),0)</f>
        <v>0</v>
      </c>
      <c r="AB131" s="323">
        <f>Ruimtestaat[[#This Row],[Uitvoeringen weekend]]*Ruimtestaat[[#This Row],[Oppervlak (netto)]]</f>
        <v>0</v>
      </c>
      <c r="AC131" s="326">
        <f>IF(AB131&gt;0,Ruimtestaat[[#This Row],[Prest. (m2 /jaar) weekend]]/Ruimtestaat[[#This Row],[Norm (m2/uur) weekend]],0)</f>
        <v>0</v>
      </c>
      <c r="AD131" s="327">
        <f>Ruimtestaat[[#This Row],[uren / jaar weekend]]*Tariefsopbouw!$D$40</f>
        <v>0</v>
      </c>
      <c r="AE131" s="328">
        <f>Ruimtestaat[[#This Row],[Prest. (m2 /jaar) weekend]]+Ruimtestaat[[#This Row],[Prest. (m2 /jaar) werkdagen]]</f>
        <v>1260</v>
      </c>
      <c r="AF131" s="328">
        <f>Ruimtestaat[[#This Row],[uren / jaar weekend]]+Ruimtestaat[[#This Row],[uren / jaar werkdagen]]</f>
        <v>0</v>
      </c>
      <c r="AG131" s="329">
        <f>Ruimtestaat[[#This Row],[kosten / jaar weekend]]+Ruimtestaat[[#This Row],[kosten / jaar werkdagen]]</f>
        <v>0</v>
      </c>
      <c r="AH131" s="330"/>
      <c r="HL131" s="297"/>
    </row>
    <row r="132" spans="1:220" ht="15" customHeight="1">
      <c r="A132" s="271">
        <v>2</v>
      </c>
      <c r="B132" s="271" t="str">
        <f>VLOOKUP(Ruimtestaat[[#This Row],[Code]],Locaties[#All],2,FALSE)</f>
        <v>Paviljoen Nova</v>
      </c>
      <c r="C132" s="271" t="str">
        <f>VLOOKUP(Ruimtestaat[[#This Row],[Code]],Locaties[#All],4,FALSE)</f>
        <v>Sterrenlaan 16</v>
      </c>
      <c r="D132" s="271" t="str">
        <f>VLOOKUP(Ruimtestaat[[#This Row],[Code]],Locaties[#All],5,FALSE)</f>
        <v>5631 KA</v>
      </c>
      <c r="E132" s="271" t="str">
        <f>VLOOKUP(Ruimtestaat[[#This Row],[Code]],Locaties[#All],6,FALSE)</f>
        <v>Eindhoven</v>
      </c>
      <c r="F132" s="318"/>
      <c r="G132" s="271" t="s">
        <v>668</v>
      </c>
      <c r="H132" s="334" t="s">
        <v>686</v>
      </c>
      <c r="I132" s="228" t="s">
        <v>687</v>
      </c>
      <c r="J132" s="271">
        <v>16</v>
      </c>
      <c r="K132" s="318" t="str">
        <f>VLOOKUP(J132,Ruimtegroepen[],2,FALSE)</f>
        <v>Leslokalen theorie</v>
      </c>
      <c r="L132" s="271" t="s">
        <v>113</v>
      </c>
      <c r="M132" s="271" t="s">
        <v>373</v>
      </c>
      <c r="N132" s="319">
        <v>52</v>
      </c>
      <c r="O132" s="319"/>
      <c r="P132" s="320" t="str">
        <f>LEFT(VLOOKUP(Ruimtestaat[[#This Row],[Ruimte code]],Ruimtegroepen[#All],4,1),2)</f>
        <v xml:space="preserve">L </v>
      </c>
      <c r="Q132" s="320"/>
      <c r="R132" s="271">
        <v>40</v>
      </c>
      <c r="S132" s="271" t="s">
        <v>2</v>
      </c>
      <c r="T132" s="321">
        <f>IF(R132&gt;0,IF(RIGHT(Ruimtestaat[[#This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" s="321">
        <f>IF(T132&gt;0,VLOOKUP($J132,Ruimtegroepen[],3,FALSE)*VLOOKUP($L132,Vloersoorten[],3,FALSE)*VLOOKUP($S132,Frequenties[],3,FALSE)*VLOOKUP($A132,Locaties[],3,FALSE),0)</f>
        <v>0</v>
      </c>
      <c r="V132" s="322">
        <f>Ruimtestaat[[#This Row],[Uitvoeringen werkdagen]]*Ruimtestaat[[#This Row],[Oppervlak (netto)]]</f>
        <v>10400</v>
      </c>
      <c r="W132" s="323">
        <f>IF(U132&gt;0,Ruimtestaat[[#This Row],[Prest. (m2 /jaar) werkdagen]]/Ruimtestaat[[#This Row],[Norm (m2/uur) werkdagen]],0)</f>
        <v>0</v>
      </c>
      <c r="X132" s="324">
        <f>Ruimtestaat[[#This Row],[uren / jaar werkdagen]]*Tariefsopbouw!$E$35</f>
        <v>0</v>
      </c>
      <c r="Y132" s="321"/>
      <c r="Z132" s="325">
        <f>IF(Ruimtestaat[[#This Row],[Frequentie weekend]]&gt;0,VALUE(LEFT(Y132,1))*R132,0)</f>
        <v>0</v>
      </c>
      <c r="AA132" s="321">
        <f>IF($Z132&gt;0,VLOOKUP($J132,Ruimtegroepen[],3,FALSE)*VLOOKUP($L132,Vloersoorten[],3,FALSE)*VLOOKUP($Y132,Frequenties[],3,FALSE)*VLOOKUP($A103,Locaties[],3,FALSE),0)</f>
        <v>0</v>
      </c>
      <c r="AB132" s="323">
        <f>Ruimtestaat[[#This Row],[Uitvoeringen weekend]]*Ruimtestaat[[#This Row],[Oppervlak (netto)]]</f>
        <v>0</v>
      </c>
      <c r="AC132" s="326">
        <f>IF(AB132&gt;0,Ruimtestaat[[#This Row],[Prest. (m2 /jaar) weekend]]/Ruimtestaat[[#This Row],[Norm (m2/uur) weekend]],0)</f>
        <v>0</v>
      </c>
      <c r="AD132" s="327">
        <f>Ruimtestaat[[#This Row],[uren / jaar weekend]]*Tariefsopbouw!$D$40</f>
        <v>0</v>
      </c>
      <c r="AE132" s="328">
        <f>Ruimtestaat[[#This Row],[Prest. (m2 /jaar) weekend]]+Ruimtestaat[[#This Row],[Prest. (m2 /jaar) werkdagen]]</f>
        <v>10400</v>
      </c>
      <c r="AF132" s="328">
        <f>Ruimtestaat[[#This Row],[uren / jaar weekend]]+Ruimtestaat[[#This Row],[uren / jaar werkdagen]]</f>
        <v>0</v>
      </c>
      <c r="AG132" s="329">
        <f>Ruimtestaat[[#This Row],[kosten / jaar weekend]]+Ruimtestaat[[#This Row],[kosten / jaar werkdagen]]</f>
        <v>0</v>
      </c>
      <c r="AH132" s="330"/>
      <c r="HL132" s="297"/>
    </row>
    <row r="133" spans="1:220" ht="15" customHeight="1">
      <c r="A133" s="271">
        <v>2</v>
      </c>
      <c r="B133" s="271" t="str">
        <f>VLOOKUP(Ruimtestaat[[#This Row],[Code]],Locaties[#All],2,FALSE)</f>
        <v>Paviljoen Nova</v>
      </c>
      <c r="C133" s="271" t="str">
        <f>VLOOKUP(Ruimtestaat[[#This Row],[Code]],Locaties[#All],4,FALSE)</f>
        <v>Sterrenlaan 16</v>
      </c>
      <c r="D133" s="271" t="str">
        <f>VLOOKUP(Ruimtestaat[[#This Row],[Code]],Locaties[#All],5,FALSE)</f>
        <v>5631 KA</v>
      </c>
      <c r="E133" s="271" t="str">
        <f>VLOOKUP(Ruimtestaat[[#This Row],[Code]],Locaties[#All],6,FALSE)</f>
        <v>Eindhoven</v>
      </c>
      <c r="F133" s="318"/>
      <c r="G133" s="271" t="s">
        <v>668</v>
      </c>
      <c r="H133" s="334" t="s">
        <v>688</v>
      </c>
      <c r="I133" s="228" t="s">
        <v>689</v>
      </c>
      <c r="J133" s="271">
        <v>16</v>
      </c>
      <c r="K133" s="318" t="str">
        <f>VLOOKUP(J133,Ruimtegroepen[],2,FALSE)</f>
        <v>Leslokalen theorie</v>
      </c>
      <c r="L133" s="271" t="s">
        <v>113</v>
      </c>
      <c r="M133" s="271" t="s">
        <v>373</v>
      </c>
      <c r="N133" s="319">
        <v>53</v>
      </c>
      <c r="O133" s="319"/>
      <c r="P133" s="320" t="str">
        <f>LEFT(VLOOKUP(Ruimtestaat[[#This Row],[Ruimte code]],Ruimtegroepen[#All],4,1),2)</f>
        <v xml:space="preserve">L </v>
      </c>
      <c r="Q133" s="320"/>
      <c r="R133" s="271">
        <v>40</v>
      </c>
      <c r="S133" s="271" t="s">
        <v>2</v>
      </c>
      <c r="T133" s="321">
        <f>IF(R133&gt;0,IF(RIGHT(Ruimtestaat[[#This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3" s="321">
        <f>IF(T133&gt;0,VLOOKUP($J133,Ruimtegroepen[],3,FALSE)*VLOOKUP($L133,Vloersoorten[],3,FALSE)*VLOOKUP($S133,Frequenties[],3,FALSE)*VLOOKUP($A133,Locaties[],3,FALSE),0)</f>
        <v>0</v>
      </c>
      <c r="V133" s="322">
        <f>Ruimtestaat[[#This Row],[Uitvoeringen werkdagen]]*Ruimtestaat[[#This Row],[Oppervlak (netto)]]</f>
        <v>10600</v>
      </c>
      <c r="W133" s="323">
        <f>IF(U133&gt;0,Ruimtestaat[[#This Row],[Prest. (m2 /jaar) werkdagen]]/Ruimtestaat[[#This Row],[Norm (m2/uur) werkdagen]],0)</f>
        <v>0</v>
      </c>
      <c r="X133" s="324">
        <f>Ruimtestaat[[#This Row],[uren / jaar werkdagen]]*Tariefsopbouw!$E$35</f>
        <v>0</v>
      </c>
      <c r="Y133" s="321"/>
      <c r="Z133" s="325">
        <f>IF(Ruimtestaat[[#This Row],[Frequentie weekend]]&gt;0,VALUE(LEFT(Y133,1))*R133,0)</f>
        <v>0</v>
      </c>
      <c r="AA133" s="321">
        <f>IF($Z133&gt;0,VLOOKUP($J133,Ruimtegroepen[],3,FALSE)*VLOOKUP($L133,Vloersoorten[],3,FALSE)*VLOOKUP($Y133,Frequenties[],3,FALSE)*VLOOKUP($A104,Locaties[],3,FALSE),0)</f>
        <v>0</v>
      </c>
      <c r="AB133" s="323">
        <f>Ruimtestaat[[#This Row],[Uitvoeringen weekend]]*Ruimtestaat[[#This Row],[Oppervlak (netto)]]</f>
        <v>0</v>
      </c>
      <c r="AC133" s="326">
        <f>IF(AB133&gt;0,Ruimtestaat[[#This Row],[Prest. (m2 /jaar) weekend]]/Ruimtestaat[[#This Row],[Norm (m2/uur) weekend]],0)</f>
        <v>0</v>
      </c>
      <c r="AD133" s="327">
        <f>Ruimtestaat[[#This Row],[uren / jaar weekend]]*Tariefsopbouw!$D$40</f>
        <v>0</v>
      </c>
      <c r="AE133" s="328">
        <f>Ruimtestaat[[#This Row],[Prest. (m2 /jaar) weekend]]+Ruimtestaat[[#This Row],[Prest. (m2 /jaar) werkdagen]]</f>
        <v>10600</v>
      </c>
      <c r="AF133" s="328">
        <f>Ruimtestaat[[#This Row],[uren / jaar weekend]]+Ruimtestaat[[#This Row],[uren / jaar werkdagen]]</f>
        <v>0</v>
      </c>
      <c r="AG133" s="329">
        <f>Ruimtestaat[[#This Row],[kosten / jaar weekend]]+Ruimtestaat[[#This Row],[kosten / jaar werkdagen]]</f>
        <v>0</v>
      </c>
      <c r="AH133" s="330"/>
      <c r="HL133" s="297"/>
    </row>
    <row r="134" spans="1:220" ht="15" customHeight="1">
      <c r="A134" s="271">
        <v>2</v>
      </c>
      <c r="B134" s="271" t="str">
        <f>VLOOKUP(Ruimtestaat[[#This Row],[Code]],Locaties[#All],2,FALSE)</f>
        <v>Paviljoen Nova</v>
      </c>
      <c r="C134" s="271" t="str">
        <f>VLOOKUP(Ruimtestaat[[#This Row],[Code]],Locaties[#All],4,FALSE)</f>
        <v>Sterrenlaan 16</v>
      </c>
      <c r="D134" s="271" t="str">
        <f>VLOOKUP(Ruimtestaat[[#This Row],[Code]],Locaties[#All],5,FALSE)</f>
        <v>5631 KA</v>
      </c>
      <c r="E134" s="271" t="str">
        <f>VLOOKUP(Ruimtestaat[[#This Row],[Code]],Locaties[#All],6,FALSE)</f>
        <v>Eindhoven</v>
      </c>
      <c r="F134" s="318"/>
      <c r="G134" s="271" t="s">
        <v>668</v>
      </c>
      <c r="H134" s="334" t="s">
        <v>690</v>
      </c>
      <c r="I134" s="228" t="s">
        <v>691</v>
      </c>
      <c r="J134" s="271">
        <v>8</v>
      </c>
      <c r="K134" s="318" t="str">
        <f>VLOOKUP(J134,Ruimtegroepen[],2,FALSE)</f>
        <v>Mediatheek / OLC</v>
      </c>
      <c r="L134" s="271" t="s">
        <v>113</v>
      </c>
      <c r="M134" s="271" t="s">
        <v>373</v>
      </c>
      <c r="N134" s="319">
        <v>94</v>
      </c>
      <c r="O134" s="319"/>
      <c r="P134" s="320" t="str">
        <f>LEFT(VLOOKUP(Ruimtestaat[[#This Row],[Ruimte code]],Ruimtegroepen[#All],4,1),2)</f>
        <v xml:space="preserve">L </v>
      </c>
      <c r="Q134" s="320"/>
      <c r="R134" s="271">
        <v>40</v>
      </c>
      <c r="S134" s="271" t="s">
        <v>2</v>
      </c>
      <c r="T134" s="321">
        <f>IF(R134&gt;0,IF(RIGHT(Ruimtestaat[[#This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" s="321">
        <f>IF(T134&gt;0,VLOOKUP($J134,Ruimtegroepen[],3,FALSE)*VLOOKUP($L134,Vloersoorten[],3,FALSE)*VLOOKUP($S134,Frequenties[],3,FALSE)*VLOOKUP($A134,Locaties[],3,FALSE),0)</f>
        <v>0</v>
      </c>
      <c r="V134" s="322">
        <f>Ruimtestaat[[#This Row],[Uitvoeringen werkdagen]]*Ruimtestaat[[#This Row],[Oppervlak (netto)]]</f>
        <v>18800</v>
      </c>
      <c r="W134" s="323">
        <f>IF(U134&gt;0,Ruimtestaat[[#This Row],[Prest. (m2 /jaar) werkdagen]]/Ruimtestaat[[#This Row],[Norm (m2/uur) werkdagen]],0)</f>
        <v>0</v>
      </c>
      <c r="X134" s="324">
        <f>Ruimtestaat[[#This Row],[uren / jaar werkdagen]]*Tariefsopbouw!$E$35</f>
        <v>0</v>
      </c>
      <c r="Y134" s="321"/>
      <c r="Z134" s="325">
        <f>IF(Ruimtestaat[[#This Row],[Frequentie weekend]]&gt;0,VALUE(LEFT(Y134,1))*R134,0)</f>
        <v>0</v>
      </c>
      <c r="AA134" s="321">
        <f>IF($Z134&gt;0,VLOOKUP($J134,Ruimtegroepen[],3,FALSE)*VLOOKUP($L134,Vloersoorten[],3,FALSE)*VLOOKUP($Y134,Frequenties[],3,FALSE)*VLOOKUP($A105,Locaties[],3,FALSE),0)</f>
        <v>0</v>
      </c>
      <c r="AB134" s="323">
        <f>Ruimtestaat[[#This Row],[Uitvoeringen weekend]]*Ruimtestaat[[#This Row],[Oppervlak (netto)]]</f>
        <v>0</v>
      </c>
      <c r="AC134" s="326">
        <f>IF(AB134&gt;0,Ruimtestaat[[#This Row],[Prest. (m2 /jaar) weekend]]/Ruimtestaat[[#This Row],[Norm (m2/uur) weekend]],0)</f>
        <v>0</v>
      </c>
      <c r="AD134" s="327">
        <f>Ruimtestaat[[#This Row],[uren / jaar weekend]]*Tariefsopbouw!$D$40</f>
        <v>0</v>
      </c>
      <c r="AE134" s="328">
        <f>Ruimtestaat[[#This Row],[Prest. (m2 /jaar) weekend]]+Ruimtestaat[[#This Row],[Prest. (m2 /jaar) werkdagen]]</f>
        <v>18800</v>
      </c>
      <c r="AF134" s="328">
        <f>Ruimtestaat[[#This Row],[uren / jaar weekend]]+Ruimtestaat[[#This Row],[uren / jaar werkdagen]]</f>
        <v>0</v>
      </c>
      <c r="AG134" s="329">
        <f>Ruimtestaat[[#This Row],[kosten / jaar weekend]]+Ruimtestaat[[#This Row],[kosten / jaar werkdagen]]</f>
        <v>0</v>
      </c>
      <c r="AH134" s="330"/>
      <c r="HL134" s="297"/>
    </row>
    <row r="135" spans="1:220" ht="15" customHeight="1">
      <c r="A135" s="271">
        <v>2</v>
      </c>
      <c r="B135" s="271" t="str">
        <f>VLOOKUP(Ruimtestaat[[#This Row],[Code]],Locaties[#All],2,FALSE)</f>
        <v>Paviljoen Nova</v>
      </c>
      <c r="C135" s="271" t="str">
        <f>VLOOKUP(Ruimtestaat[[#This Row],[Code]],Locaties[#All],4,FALSE)</f>
        <v>Sterrenlaan 16</v>
      </c>
      <c r="D135" s="271" t="str">
        <f>VLOOKUP(Ruimtestaat[[#This Row],[Code]],Locaties[#All],5,FALSE)</f>
        <v>5631 KA</v>
      </c>
      <c r="E135" s="271" t="str">
        <f>VLOOKUP(Ruimtestaat[[#This Row],[Code]],Locaties[#All],6,FALSE)</f>
        <v>Eindhoven</v>
      </c>
      <c r="F135" s="318"/>
      <c r="G135" s="271" t="s">
        <v>668</v>
      </c>
      <c r="H135" s="334" t="s">
        <v>692</v>
      </c>
      <c r="I135" s="228" t="s">
        <v>660</v>
      </c>
      <c r="J135" s="271">
        <v>6</v>
      </c>
      <c r="K135" s="318" t="str">
        <f>VLOOKUP(J135,Ruimtegroepen[],2,FALSE)</f>
        <v>Gangen/hallen</v>
      </c>
      <c r="L135" s="271" t="s">
        <v>113</v>
      </c>
      <c r="M135" s="271" t="s">
        <v>373</v>
      </c>
      <c r="N135" s="319">
        <v>67</v>
      </c>
      <c r="O135" s="319"/>
      <c r="P135" s="320" t="str">
        <f>LEFT(VLOOKUP(Ruimtestaat[[#This Row],[Ruimte code]],Ruimtegroepen[#All],4,1),2)</f>
        <v xml:space="preserve">V </v>
      </c>
      <c r="Q135" s="320"/>
      <c r="R135" s="271">
        <v>40</v>
      </c>
      <c r="S135" s="271" t="s">
        <v>2</v>
      </c>
      <c r="T135" s="321">
        <f>IF(R135&gt;0,IF(RIGHT(Ruimtestaat[[#This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5" s="321">
        <f>IF(T135&gt;0,VLOOKUP($J135,Ruimtegroepen[],3,FALSE)*VLOOKUP($L135,Vloersoorten[],3,FALSE)*VLOOKUP($S135,Frequenties[],3,FALSE)*VLOOKUP($A135,Locaties[],3,FALSE),0)</f>
        <v>0</v>
      </c>
      <c r="V135" s="322">
        <f>Ruimtestaat[[#This Row],[Uitvoeringen werkdagen]]*Ruimtestaat[[#This Row],[Oppervlak (netto)]]</f>
        <v>13400</v>
      </c>
      <c r="W135" s="323">
        <f>IF(U135&gt;0,Ruimtestaat[[#This Row],[Prest. (m2 /jaar) werkdagen]]/Ruimtestaat[[#This Row],[Norm (m2/uur) werkdagen]],0)</f>
        <v>0</v>
      </c>
      <c r="X135" s="324">
        <f>Ruimtestaat[[#This Row],[uren / jaar werkdagen]]*Tariefsopbouw!$E$35</f>
        <v>0</v>
      </c>
      <c r="Y135" s="321"/>
      <c r="Z135" s="325">
        <f>IF(Ruimtestaat[[#This Row],[Frequentie weekend]]&gt;0,VALUE(LEFT(Y135,1))*R135,0)</f>
        <v>0</v>
      </c>
      <c r="AA135" s="321">
        <f>IF($Z135&gt;0,VLOOKUP($J135,Ruimtegroepen[],3,FALSE)*VLOOKUP($L135,Vloersoorten[],3,FALSE)*VLOOKUP($Y135,Frequenties[],3,FALSE)*VLOOKUP($A106,Locaties[],3,FALSE),0)</f>
        <v>0</v>
      </c>
      <c r="AB135" s="323">
        <f>Ruimtestaat[[#This Row],[Uitvoeringen weekend]]*Ruimtestaat[[#This Row],[Oppervlak (netto)]]</f>
        <v>0</v>
      </c>
      <c r="AC135" s="326">
        <f>IF(AB135&gt;0,Ruimtestaat[[#This Row],[Prest. (m2 /jaar) weekend]]/Ruimtestaat[[#This Row],[Norm (m2/uur) weekend]],0)</f>
        <v>0</v>
      </c>
      <c r="AD135" s="327">
        <f>Ruimtestaat[[#This Row],[uren / jaar weekend]]*Tariefsopbouw!$D$40</f>
        <v>0</v>
      </c>
      <c r="AE135" s="328">
        <f>Ruimtestaat[[#This Row],[Prest. (m2 /jaar) weekend]]+Ruimtestaat[[#This Row],[Prest. (m2 /jaar) werkdagen]]</f>
        <v>13400</v>
      </c>
      <c r="AF135" s="328">
        <f>Ruimtestaat[[#This Row],[uren / jaar weekend]]+Ruimtestaat[[#This Row],[uren / jaar werkdagen]]</f>
        <v>0</v>
      </c>
      <c r="AG135" s="329">
        <f>Ruimtestaat[[#This Row],[kosten / jaar weekend]]+Ruimtestaat[[#This Row],[kosten / jaar werkdagen]]</f>
        <v>0</v>
      </c>
      <c r="AH135" s="330"/>
      <c r="HL135" s="297"/>
    </row>
    <row r="136" spans="1:220" ht="15" customHeight="1">
      <c r="A136" s="271">
        <v>2</v>
      </c>
      <c r="B136" s="271" t="str">
        <f>VLOOKUP(Ruimtestaat[[#This Row],[Code]],Locaties[#All],2,FALSE)</f>
        <v>Paviljoen Nova</v>
      </c>
      <c r="C136" s="271" t="str">
        <f>VLOOKUP(Ruimtestaat[[#This Row],[Code]],Locaties[#All],4,FALSE)</f>
        <v>Sterrenlaan 16</v>
      </c>
      <c r="D136" s="271" t="str">
        <f>VLOOKUP(Ruimtestaat[[#This Row],[Code]],Locaties[#All],5,FALSE)</f>
        <v>5631 KA</v>
      </c>
      <c r="E136" s="271" t="str">
        <f>VLOOKUP(Ruimtestaat[[#This Row],[Code]],Locaties[#All],6,FALSE)</f>
        <v>Eindhoven</v>
      </c>
      <c r="F136" s="318"/>
      <c r="G136" s="271" t="s">
        <v>668</v>
      </c>
      <c r="H136" s="334" t="s">
        <v>693</v>
      </c>
      <c r="I136" s="228" t="s">
        <v>694</v>
      </c>
      <c r="J136" s="271">
        <v>20</v>
      </c>
      <c r="K136" s="318" t="str">
        <f>VLOOKUP(J136,Ruimtegroepen[],2,FALSE)</f>
        <v>Niet in onderhoud</v>
      </c>
      <c r="L136" s="271" t="s">
        <v>113</v>
      </c>
      <c r="M136" s="271" t="s">
        <v>373</v>
      </c>
      <c r="N136" s="319"/>
      <c r="O136" s="319">
        <v>8</v>
      </c>
      <c r="P136" s="320" t="str">
        <f>LEFT(VLOOKUP(Ruimtestaat[[#This Row],[Ruimte code]],Ruimtegroepen[#All],4,1),2)</f>
        <v/>
      </c>
      <c r="Q136" s="320"/>
      <c r="R136" s="271"/>
      <c r="S136" s="271"/>
      <c r="T136" s="321">
        <f>IF(R136&gt;0,IF(RIGHT(Ruimtestaat[[#This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6" s="321">
        <f>IF(T136&gt;0,VLOOKUP($J136,Ruimtegroepen[],3,FALSE)*VLOOKUP($L136,Vloersoorten[],3,FALSE)*VLOOKUP($S136,Frequenties[],3,FALSE)*VLOOKUP($A136,Locaties[],3,FALSE),0)</f>
        <v>0</v>
      </c>
      <c r="V136" s="322">
        <f>Ruimtestaat[[#This Row],[Uitvoeringen werkdagen]]*Ruimtestaat[[#This Row],[Oppervlak (netto)]]</f>
        <v>0</v>
      </c>
      <c r="W136" s="323">
        <f>IF(U136&gt;0,Ruimtestaat[[#This Row],[Prest. (m2 /jaar) werkdagen]]/Ruimtestaat[[#This Row],[Norm (m2/uur) werkdagen]],0)</f>
        <v>0</v>
      </c>
      <c r="X136" s="324">
        <f>Ruimtestaat[[#This Row],[uren / jaar werkdagen]]*Tariefsopbouw!$E$35</f>
        <v>0</v>
      </c>
      <c r="Y136" s="321"/>
      <c r="Z136" s="325">
        <f>IF(Ruimtestaat[[#This Row],[Frequentie weekend]]&gt;0,VALUE(LEFT(Y136,1))*R136,0)</f>
        <v>0</v>
      </c>
      <c r="AA136" s="321">
        <f>IF($Z136&gt;0,VLOOKUP($J136,Ruimtegroepen[],3,FALSE)*VLOOKUP($L136,Vloersoorten[],3,FALSE)*VLOOKUP($Y136,Frequenties[],3,FALSE)*VLOOKUP($A107,Locaties[],3,FALSE),0)</f>
        <v>0</v>
      </c>
      <c r="AB136" s="323">
        <f>Ruimtestaat[[#This Row],[Uitvoeringen weekend]]*Ruimtestaat[[#This Row],[Oppervlak (netto)]]</f>
        <v>0</v>
      </c>
      <c r="AC136" s="326">
        <f>IF(AB136&gt;0,Ruimtestaat[[#This Row],[Prest. (m2 /jaar) weekend]]/Ruimtestaat[[#This Row],[Norm (m2/uur) weekend]],0)</f>
        <v>0</v>
      </c>
      <c r="AD136" s="327">
        <f>Ruimtestaat[[#This Row],[uren / jaar weekend]]*Tariefsopbouw!$D$40</f>
        <v>0</v>
      </c>
      <c r="AE136" s="328">
        <f>Ruimtestaat[[#This Row],[Prest. (m2 /jaar) weekend]]+Ruimtestaat[[#This Row],[Prest. (m2 /jaar) werkdagen]]</f>
        <v>0</v>
      </c>
      <c r="AF136" s="328">
        <f>Ruimtestaat[[#This Row],[uren / jaar weekend]]+Ruimtestaat[[#This Row],[uren / jaar werkdagen]]</f>
        <v>0</v>
      </c>
      <c r="AG136" s="329">
        <f>Ruimtestaat[[#This Row],[kosten / jaar weekend]]+Ruimtestaat[[#This Row],[kosten / jaar werkdagen]]</f>
        <v>0</v>
      </c>
      <c r="AH136" s="330"/>
      <c r="HL136" s="297"/>
    </row>
    <row r="137" spans="1:220" ht="15" customHeight="1">
      <c r="A137" s="271">
        <v>2</v>
      </c>
      <c r="B137" s="271" t="str">
        <f>VLOOKUP(Ruimtestaat[[#This Row],[Code]],Locaties[#All],2,FALSE)</f>
        <v>Paviljoen Nova</v>
      </c>
      <c r="C137" s="271" t="str">
        <f>VLOOKUP(Ruimtestaat[[#This Row],[Code]],Locaties[#All],4,FALSE)</f>
        <v>Sterrenlaan 16</v>
      </c>
      <c r="D137" s="271" t="str">
        <f>VLOOKUP(Ruimtestaat[[#This Row],[Code]],Locaties[#All],5,FALSE)</f>
        <v>5631 KA</v>
      </c>
      <c r="E137" s="271" t="str">
        <f>VLOOKUP(Ruimtestaat[[#This Row],[Code]],Locaties[#All],6,FALSE)</f>
        <v>Eindhoven</v>
      </c>
      <c r="F137" s="318"/>
      <c r="G137" s="271" t="s">
        <v>668</v>
      </c>
      <c r="H137" s="334" t="s">
        <v>695</v>
      </c>
      <c r="I137" s="228" t="s">
        <v>696</v>
      </c>
      <c r="J137" s="271">
        <v>20</v>
      </c>
      <c r="K137" s="318" t="str">
        <f>VLOOKUP(J137,Ruimtegroepen[],2,FALSE)</f>
        <v>Niet in onderhoud</v>
      </c>
      <c r="L137" s="271" t="s">
        <v>113</v>
      </c>
      <c r="M137" s="271" t="s">
        <v>373</v>
      </c>
      <c r="N137" s="319"/>
      <c r="O137" s="319">
        <v>15</v>
      </c>
      <c r="P137" s="320" t="str">
        <f>LEFT(VLOOKUP(Ruimtestaat[[#This Row],[Ruimte code]],Ruimtegroepen[#All],4,1),2)</f>
        <v/>
      </c>
      <c r="Q137" s="320"/>
      <c r="R137" s="271"/>
      <c r="S137" s="271"/>
      <c r="T137" s="321">
        <f>IF(R137&gt;0,IF(RIGHT(Ruimtestaat[[#This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7" s="321">
        <f>IF(T137&gt;0,VLOOKUP($J137,Ruimtegroepen[],3,FALSE)*VLOOKUP($L137,Vloersoorten[],3,FALSE)*VLOOKUP($S137,Frequenties[],3,FALSE)*VLOOKUP($A137,Locaties[],3,FALSE),0)</f>
        <v>0</v>
      </c>
      <c r="V137" s="322">
        <f>Ruimtestaat[[#This Row],[Uitvoeringen werkdagen]]*Ruimtestaat[[#This Row],[Oppervlak (netto)]]</f>
        <v>0</v>
      </c>
      <c r="W137" s="323">
        <f>IF(U137&gt;0,Ruimtestaat[[#This Row],[Prest. (m2 /jaar) werkdagen]]/Ruimtestaat[[#This Row],[Norm (m2/uur) werkdagen]],0)</f>
        <v>0</v>
      </c>
      <c r="X137" s="324">
        <f>Ruimtestaat[[#This Row],[uren / jaar werkdagen]]*Tariefsopbouw!$E$35</f>
        <v>0</v>
      </c>
      <c r="Y137" s="321"/>
      <c r="Z137" s="325">
        <f>IF(Ruimtestaat[[#This Row],[Frequentie weekend]]&gt;0,VALUE(LEFT(Y137,1))*R137,0)</f>
        <v>0</v>
      </c>
      <c r="AA137" s="321">
        <f>IF($Z137&gt;0,VLOOKUP($J137,Ruimtegroepen[],3,FALSE)*VLOOKUP($L137,Vloersoorten[],3,FALSE)*VLOOKUP($Y137,Frequenties[],3,FALSE)*VLOOKUP($A108,Locaties[],3,FALSE),0)</f>
        <v>0</v>
      </c>
      <c r="AB137" s="323">
        <f>Ruimtestaat[[#This Row],[Uitvoeringen weekend]]*Ruimtestaat[[#This Row],[Oppervlak (netto)]]</f>
        <v>0</v>
      </c>
      <c r="AC137" s="326">
        <f>IF(AB137&gt;0,Ruimtestaat[[#This Row],[Prest. (m2 /jaar) weekend]]/Ruimtestaat[[#This Row],[Norm (m2/uur) weekend]],0)</f>
        <v>0</v>
      </c>
      <c r="AD137" s="327">
        <f>Ruimtestaat[[#This Row],[uren / jaar weekend]]*Tariefsopbouw!$D$40</f>
        <v>0</v>
      </c>
      <c r="AE137" s="328">
        <f>Ruimtestaat[[#This Row],[Prest. (m2 /jaar) weekend]]+Ruimtestaat[[#This Row],[Prest. (m2 /jaar) werkdagen]]</f>
        <v>0</v>
      </c>
      <c r="AF137" s="328">
        <f>Ruimtestaat[[#This Row],[uren / jaar weekend]]+Ruimtestaat[[#This Row],[uren / jaar werkdagen]]</f>
        <v>0</v>
      </c>
      <c r="AG137" s="329">
        <f>Ruimtestaat[[#This Row],[kosten / jaar weekend]]+Ruimtestaat[[#This Row],[kosten / jaar werkdagen]]</f>
        <v>0</v>
      </c>
      <c r="AH137" s="330"/>
      <c r="HL137" s="297"/>
    </row>
  </sheetData>
  <sheetProtection algorithmName="SHA-512" hashValue="pVWZG34T2RtUfL1dUjFRnJ2+cLV2zZrdu7ZtVDbnpzmY/ZRw7GW+S235YcseArJEGC/mqRxUWFpMhSTnYWLgag==" saltValue="FQ+7GwU0hgz+ucDHI0Y4aw==" spinCount="100000" sheet="1" objects="1" scenarios="1" sort="0" autoFilter="0"/>
  <sortState xmlns:xlrd2="http://schemas.microsoft.com/office/spreadsheetml/2017/richdata2" ref="B7:T1018">
    <sortCondition ref="B7:B1018"/>
    <sortCondition ref="F7:F1018"/>
  </sortState>
  <mergeCells count="5">
    <mergeCell ref="A1:Q1"/>
    <mergeCell ref="R1:AG1"/>
    <mergeCell ref="S3:X3"/>
    <mergeCell ref="Y3:AD3"/>
    <mergeCell ref="AE3:AG3"/>
  </mergeCells>
  <phoneticPr fontId="7" type="noConversion"/>
  <pageMargins left="0.23622047244094491" right="0.23622047244094491" top="0.74803149606299213" bottom="0.74803149606299213" header="0.31496062992125984" footer="0.31496062992125984"/>
  <pageSetup paperSize="8" scale="34" fitToHeight="0" orientation="landscape" r:id="rId1"/>
  <headerFooter alignWithMargins="0">
    <oddFooter>&amp;L&amp;P&amp;Cparaaf Inschrijver&amp;R&amp;D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I33"/>
  <sheetViews>
    <sheetView showGridLines="0" view="pageBreakPreview" zoomScaleNormal="100" zoomScaleSheetLayoutView="100" workbookViewId="0">
      <selection activeCellId="3" sqref="A19:XFD1048576 D9:XFD18 A9:B18 A1:XFD8"/>
    </sheetView>
  </sheetViews>
  <sheetFormatPr defaultColWidth="9.140625" defaultRowHeight="15" customHeight="1"/>
  <cols>
    <col min="1" max="1" width="9.7109375" style="20" customWidth="1"/>
    <col min="2" max="2" width="56.28515625" style="20" customWidth="1"/>
    <col min="3" max="3" width="14.85546875" style="22" customWidth="1"/>
    <col min="4" max="4" width="66.85546875" style="20" customWidth="1"/>
    <col min="5" max="5" width="17.7109375" style="20" bestFit="1" customWidth="1"/>
    <col min="6" max="6" width="17.7109375" style="67" bestFit="1" customWidth="1"/>
    <col min="7" max="7" width="17.7109375" style="20" bestFit="1" customWidth="1"/>
    <col min="8" max="8" width="20.5703125" style="20" customWidth="1"/>
    <col min="9" max="9" width="17.7109375" style="20" bestFit="1" customWidth="1"/>
    <col min="10" max="10" width="5.140625" style="20" customWidth="1"/>
    <col min="11" max="16384" width="9.140625" style="20"/>
  </cols>
  <sheetData>
    <row r="1" spans="1:9" s="19" customFormat="1" ht="26.25" customHeight="1">
      <c r="A1" s="181" t="s">
        <v>168</v>
      </c>
      <c r="B1" s="181"/>
      <c r="C1" s="181"/>
      <c r="D1" s="181"/>
      <c r="E1" s="181"/>
      <c r="F1" s="181"/>
      <c r="G1" s="181"/>
      <c r="H1" s="181"/>
    </row>
    <row r="2" spans="1:9" s="19" customFormat="1" ht="15" customHeight="1">
      <c r="A2" s="182" t="s">
        <v>214</v>
      </c>
      <c r="B2" s="183"/>
      <c r="C2" s="183"/>
      <c r="D2" s="183"/>
      <c r="E2" s="183"/>
      <c r="F2" s="183"/>
      <c r="G2" s="183"/>
      <c r="H2" s="183"/>
    </row>
    <row r="3" spans="1:9" ht="15" customHeight="1">
      <c r="B3" s="22"/>
      <c r="C3" s="20"/>
    </row>
    <row r="4" spans="1:9" ht="15" customHeight="1">
      <c r="A4" s="20" t="s">
        <v>251</v>
      </c>
      <c r="B4" s="68"/>
      <c r="C4" s="68"/>
      <c r="D4" s="68"/>
      <c r="E4" s="68"/>
      <c r="F4" s="69"/>
      <c r="G4" s="70"/>
    </row>
    <row r="5" spans="1:9" ht="15" customHeight="1">
      <c r="A5" s="20" t="s">
        <v>245</v>
      </c>
      <c r="B5" s="68"/>
      <c r="C5" s="68"/>
      <c r="D5" s="68"/>
      <c r="E5" s="68"/>
      <c r="F5" s="69"/>
      <c r="G5" s="70"/>
    </row>
    <row r="6" spans="1:9" ht="15" customHeight="1">
      <c r="A6" s="20" t="s">
        <v>238</v>
      </c>
      <c r="B6" s="66"/>
      <c r="C6" s="71"/>
      <c r="D6" s="71"/>
      <c r="E6" s="71"/>
      <c r="F6" s="72"/>
    </row>
    <row r="7" spans="1:9" ht="15" customHeight="1">
      <c r="B7" s="66"/>
      <c r="C7" s="66"/>
      <c r="D7" s="73"/>
      <c r="E7" s="73"/>
      <c r="F7" s="74"/>
      <c r="G7" s="71"/>
    </row>
    <row r="8" spans="1:9" s="21" customFormat="1" ht="26.25" customHeight="1">
      <c r="A8" s="75" t="s">
        <v>213</v>
      </c>
      <c r="B8" s="75" t="s">
        <v>155</v>
      </c>
      <c r="C8" s="75" t="s">
        <v>154</v>
      </c>
      <c r="D8" s="76" t="s">
        <v>386</v>
      </c>
      <c r="E8" s="76" t="s">
        <v>258</v>
      </c>
      <c r="F8" s="76" t="s">
        <v>458</v>
      </c>
      <c r="G8" s="76" t="s">
        <v>464</v>
      </c>
      <c r="H8" s="76" t="s">
        <v>463</v>
      </c>
      <c r="I8" s="76" t="s">
        <v>709</v>
      </c>
    </row>
    <row r="9" spans="1:9" ht="15" customHeight="1">
      <c r="A9" s="77">
        <v>1</v>
      </c>
      <c r="B9" s="78" t="s">
        <v>162</v>
      </c>
      <c r="C9" s="338">
        <v>0</v>
      </c>
      <c r="D9" s="90" t="s">
        <v>156</v>
      </c>
      <c r="E9" s="80" t="e">
        <f>InvulVloer[[#This Row],[Prijs]]*Tariefsopbouw!$I$37+InvulVloer[[#This Row],[Prijs]]</f>
        <v>#DIV/0!</v>
      </c>
      <c r="F9" s="103" t="e">
        <f>InvulVloer[[#This Row],[2028]]*Tariefsopbouw!$K$37+InvulVloer[[#This Row],[2028]]</f>
        <v>#DIV/0!</v>
      </c>
      <c r="G9" s="103" t="e">
        <f>InvulVloer[[#This Row],[2029]]*Tariefsopbouw!$M$37+InvulVloer[[#This Row],[2029]]</f>
        <v>#DIV/0!</v>
      </c>
      <c r="H9" s="103" t="e">
        <f>InvulVloer[[#This Row],[2030]]*Tariefsopbouw!$O$37+InvulVloer[[#This Row],[2030]]</f>
        <v>#DIV/0!</v>
      </c>
      <c r="I9" s="103" t="e">
        <f>InvulVloer[[#This Row],[2031]]*Tariefsopbouw!$Q$37+InvulVloer[[#This Row],[2031]]</f>
        <v>#DIV/0!</v>
      </c>
    </row>
    <row r="10" spans="1:9" ht="15" customHeight="1">
      <c r="A10" s="81">
        <v>2</v>
      </c>
      <c r="B10" s="82" t="s">
        <v>163</v>
      </c>
      <c r="C10" s="338">
        <v>0</v>
      </c>
      <c r="D10" s="90" t="s">
        <v>157</v>
      </c>
      <c r="E10" s="80" t="e">
        <f>InvulVloer[[#This Row],[Prijs]]*Tariefsopbouw!$I$37+InvulVloer[[#This Row],[Prijs]]</f>
        <v>#DIV/0!</v>
      </c>
      <c r="F10" s="80" t="e">
        <f>InvulVloer[[#This Row],[2028]]*Tariefsopbouw!$K$37+InvulVloer[[#This Row],[2028]]</f>
        <v>#DIV/0!</v>
      </c>
      <c r="G10" s="80" t="e">
        <f>InvulVloer[[#This Row],[2029]]*Tariefsopbouw!$M$37+InvulVloer[[#This Row],[2029]]</f>
        <v>#DIV/0!</v>
      </c>
      <c r="H10" s="80" t="e">
        <f>InvulVloer[[#This Row],[2030]]*Tariefsopbouw!$O$37+InvulVloer[[#This Row],[2030]]</f>
        <v>#DIV/0!</v>
      </c>
      <c r="I10" s="80" t="e">
        <f>InvulVloer[[#This Row],[2031]]*Tariefsopbouw!$Q$37+InvulVloer[[#This Row],[2031]]</f>
        <v>#DIV/0!</v>
      </c>
    </row>
    <row r="11" spans="1:9" ht="15" customHeight="1">
      <c r="A11" s="77">
        <v>3</v>
      </c>
      <c r="B11" s="78" t="s">
        <v>164</v>
      </c>
      <c r="C11" s="338">
        <v>0</v>
      </c>
      <c r="D11" s="90" t="s">
        <v>157</v>
      </c>
      <c r="E11" s="80" t="e">
        <f>InvulVloer[[#This Row],[Prijs]]*Tariefsopbouw!$I$37+InvulVloer[[#This Row],[Prijs]]</f>
        <v>#DIV/0!</v>
      </c>
      <c r="F11" s="80" t="e">
        <f>InvulVloer[[#This Row],[2028]]*Tariefsopbouw!$K$37+InvulVloer[[#This Row],[2028]]</f>
        <v>#DIV/0!</v>
      </c>
      <c r="G11" s="80" t="e">
        <f>InvulVloer[[#This Row],[2029]]*Tariefsopbouw!$M$37+InvulVloer[[#This Row],[2029]]</f>
        <v>#DIV/0!</v>
      </c>
      <c r="H11" s="80" t="e">
        <f>InvulVloer[[#This Row],[2030]]*Tariefsopbouw!$O$37+InvulVloer[[#This Row],[2030]]</f>
        <v>#DIV/0!</v>
      </c>
      <c r="I11" s="80" t="e">
        <f>InvulVloer[[#This Row],[2031]]*Tariefsopbouw!$Q$37+InvulVloer[[#This Row],[2031]]</f>
        <v>#DIV/0!</v>
      </c>
    </row>
    <row r="12" spans="1:9" ht="15" customHeight="1">
      <c r="A12" s="81">
        <v>4</v>
      </c>
      <c r="B12" s="82" t="s">
        <v>158</v>
      </c>
      <c r="C12" s="338">
        <v>0</v>
      </c>
      <c r="D12" s="90" t="s">
        <v>156</v>
      </c>
      <c r="E12" s="80" t="e">
        <f>InvulVloer[[#This Row],[Prijs]]*Tariefsopbouw!$I$37+InvulVloer[[#This Row],[Prijs]]</f>
        <v>#DIV/0!</v>
      </c>
      <c r="F12" s="80" t="e">
        <f>InvulVloer[[#This Row],[2028]]*Tariefsopbouw!$K$37+InvulVloer[[#This Row],[2028]]</f>
        <v>#DIV/0!</v>
      </c>
      <c r="G12" s="80" t="e">
        <f>InvulVloer[[#This Row],[2029]]*Tariefsopbouw!$M$37+InvulVloer[[#This Row],[2029]]</f>
        <v>#DIV/0!</v>
      </c>
      <c r="H12" s="80" t="e">
        <f>InvulVloer[[#This Row],[2030]]*Tariefsopbouw!$O$37+InvulVloer[[#This Row],[2030]]</f>
        <v>#DIV/0!</v>
      </c>
      <c r="I12" s="80" t="e">
        <f>InvulVloer[[#This Row],[2031]]*Tariefsopbouw!$Q$37+InvulVloer[[#This Row],[2031]]</f>
        <v>#DIV/0!</v>
      </c>
    </row>
    <row r="13" spans="1:9" ht="15" customHeight="1">
      <c r="A13" s="77">
        <v>5</v>
      </c>
      <c r="B13" s="78" t="s">
        <v>159</v>
      </c>
      <c r="C13" s="338">
        <v>0</v>
      </c>
      <c r="D13" s="90" t="s">
        <v>156</v>
      </c>
      <c r="E13" s="80" t="e">
        <f>InvulVloer[[#This Row],[Prijs]]*Tariefsopbouw!$I$37+InvulVloer[[#This Row],[Prijs]]</f>
        <v>#DIV/0!</v>
      </c>
      <c r="F13" s="80" t="e">
        <f>InvulVloer[[#This Row],[2028]]*Tariefsopbouw!$K$37+InvulVloer[[#This Row],[2028]]</f>
        <v>#DIV/0!</v>
      </c>
      <c r="G13" s="80" t="e">
        <f>InvulVloer[[#This Row],[2029]]*Tariefsopbouw!$M$37+InvulVloer[[#This Row],[2029]]</f>
        <v>#DIV/0!</v>
      </c>
      <c r="H13" s="80" t="e">
        <f>InvulVloer[[#This Row],[2030]]*Tariefsopbouw!$O$37+InvulVloer[[#This Row],[2030]]</f>
        <v>#DIV/0!</v>
      </c>
      <c r="I13" s="80" t="e">
        <f>InvulVloer[[#This Row],[2031]]*Tariefsopbouw!$Q$37+InvulVloer[[#This Row],[2031]]</f>
        <v>#DIV/0!</v>
      </c>
    </row>
    <row r="14" spans="1:9" ht="15" customHeight="1">
      <c r="A14" s="81">
        <v>6</v>
      </c>
      <c r="B14" s="82" t="s">
        <v>165</v>
      </c>
      <c r="C14" s="338">
        <v>0</v>
      </c>
      <c r="D14" s="90" t="s">
        <v>156</v>
      </c>
      <c r="E14" s="80" t="e">
        <f>InvulVloer[[#This Row],[Prijs]]*Tariefsopbouw!$I$37+InvulVloer[[#This Row],[Prijs]]</f>
        <v>#DIV/0!</v>
      </c>
      <c r="F14" s="80" t="e">
        <f>InvulVloer[[#This Row],[2028]]*Tariefsopbouw!$K$37+InvulVloer[[#This Row],[2028]]</f>
        <v>#DIV/0!</v>
      </c>
      <c r="G14" s="80" t="e">
        <f>InvulVloer[[#This Row],[2029]]*Tariefsopbouw!$M$37+InvulVloer[[#This Row],[2029]]</f>
        <v>#DIV/0!</v>
      </c>
      <c r="H14" s="80" t="e">
        <f>InvulVloer[[#This Row],[2030]]*Tariefsopbouw!$O$37+InvulVloer[[#This Row],[2030]]</f>
        <v>#DIV/0!</v>
      </c>
      <c r="I14" s="80" t="e">
        <f>InvulVloer[[#This Row],[2031]]*Tariefsopbouw!$Q$37+InvulVloer[[#This Row],[2031]]</f>
        <v>#DIV/0!</v>
      </c>
    </row>
    <row r="15" spans="1:9" ht="15" customHeight="1">
      <c r="A15" s="77">
        <v>7</v>
      </c>
      <c r="B15" s="79" t="s">
        <v>167</v>
      </c>
      <c r="C15" s="338">
        <v>0</v>
      </c>
      <c r="D15" s="90" t="s">
        <v>156</v>
      </c>
      <c r="E15" s="80" t="e">
        <f>InvulVloer[[#This Row],[Prijs]]*Tariefsopbouw!$I$37+InvulVloer[[#This Row],[Prijs]]</f>
        <v>#DIV/0!</v>
      </c>
      <c r="F15" s="80" t="e">
        <f>InvulVloer[[#This Row],[2028]]*Tariefsopbouw!$K$37+InvulVloer[[#This Row],[2028]]</f>
        <v>#DIV/0!</v>
      </c>
      <c r="G15" s="80" t="e">
        <f>InvulVloer[[#This Row],[2029]]*Tariefsopbouw!$M$37+InvulVloer[[#This Row],[2029]]</f>
        <v>#DIV/0!</v>
      </c>
      <c r="H15" s="80" t="e">
        <f>InvulVloer[[#This Row],[2030]]*Tariefsopbouw!$O$37+InvulVloer[[#This Row],[2030]]</f>
        <v>#DIV/0!</v>
      </c>
      <c r="I15" s="80" t="e">
        <f>InvulVloer[[#This Row],[2031]]*Tariefsopbouw!$Q$37+InvulVloer[[#This Row],[2031]]</f>
        <v>#DIV/0!</v>
      </c>
    </row>
    <row r="16" spans="1:9" ht="15" customHeight="1">
      <c r="A16" s="81">
        <v>8</v>
      </c>
      <c r="B16" s="83" t="s">
        <v>199</v>
      </c>
      <c r="C16" s="338">
        <v>0</v>
      </c>
      <c r="D16" s="90" t="s">
        <v>156</v>
      </c>
      <c r="E16" s="80" t="e">
        <f>InvulVloer[[#This Row],[Prijs]]*Tariefsopbouw!$I$37+InvulVloer[[#This Row],[Prijs]]</f>
        <v>#DIV/0!</v>
      </c>
      <c r="F16" s="80" t="e">
        <f>InvulVloer[[#This Row],[2028]]*Tariefsopbouw!$K$37+InvulVloer[[#This Row],[2028]]</f>
        <v>#DIV/0!</v>
      </c>
      <c r="G16" s="80" t="e">
        <f>InvulVloer[[#This Row],[2029]]*Tariefsopbouw!$M$37+InvulVloer[[#This Row],[2029]]</f>
        <v>#DIV/0!</v>
      </c>
      <c r="H16" s="80" t="e">
        <f>InvulVloer[[#This Row],[2030]]*Tariefsopbouw!$O$37+InvulVloer[[#This Row],[2030]]</f>
        <v>#DIV/0!</v>
      </c>
      <c r="I16" s="80" t="e">
        <f>InvulVloer[[#This Row],[2031]]*Tariefsopbouw!$Q$37+InvulVloer[[#This Row],[2031]]</f>
        <v>#DIV/0!</v>
      </c>
    </row>
    <row r="17" spans="1:9" ht="15" customHeight="1">
      <c r="A17" s="77">
        <v>9</v>
      </c>
      <c r="B17" s="84" t="s">
        <v>200</v>
      </c>
      <c r="C17" s="338">
        <v>0</v>
      </c>
      <c r="D17" s="90" t="s">
        <v>156</v>
      </c>
      <c r="E17" s="104" t="e">
        <f>InvulVloer[[#This Row],[Prijs]]*Tariefsopbouw!$I$37+InvulVloer[[#This Row],[Prijs]]</f>
        <v>#DIV/0!</v>
      </c>
      <c r="F17" s="105" t="e">
        <f>InvulVloer[[#This Row],[2028]]*Tariefsopbouw!$K$37+InvulVloer[[#This Row],[2028]]</f>
        <v>#DIV/0!</v>
      </c>
      <c r="G17" s="104" t="e">
        <f>InvulVloer[[#This Row],[2029]]*Tariefsopbouw!$M$37+InvulVloer[[#This Row],[2029]]</f>
        <v>#DIV/0!</v>
      </c>
      <c r="H17" s="104" t="e">
        <f>InvulVloer[[#This Row],[2030]]*Tariefsopbouw!$O$37+InvulVloer[[#This Row],[2030]]</f>
        <v>#DIV/0!</v>
      </c>
      <c r="I17" s="104" t="e">
        <f>InvulVloer[[#This Row],[2031]]*Tariefsopbouw!$Q$37+InvulVloer[[#This Row],[2031]]</f>
        <v>#DIV/0!</v>
      </c>
    </row>
    <row r="18" spans="1:9" ht="15" customHeight="1">
      <c r="A18" s="81">
        <v>10</v>
      </c>
      <c r="B18" s="65" t="s">
        <v>469</v>
      </c>
      <c r="C18" s="338">
        <v>0</v>
      </c>
      <c r="D18" s="90" t="s">
        <v>156</v>
      </c>
      <c r="E18" s="102" t="e">
        <f>InvulVloer[[#This Row],[Prijs]]*Tariefsopbouw!$I$37+InvulVloer[[#This Row],[Prijs]]</f>
        <v>#DIV/0!</v>
      </c>
      <c r="F18" s="105" t="e">
        <f>InvulVloer[[#This Row],[2028]]*Tariefsopbouw!$K$37+InvulVloer[[#This Row],[2028]]</f>
        <v>#DIV/0!</v>
      </c>
      <c r="G18" s="106" t="e">
        <f>InvulVloer[[#This Row],[2029]]*Tariefsopbouw!$M$37+InvulVloer[[#This Row],[2029]]</f>
        <v>#DIV/0!</v>
      </c>
      <c r="H18" s="106" t="e">
        <f>InvulVloer[[#This Row],[2030]]*Tariefsopbouw!$O$37+InvulVloer[[#This Row],[2030]]</f>
        <v>#DIV/0!</v>
      </c>
      <c r="I18" s="104" t="e">
        <f>InvulVloer[[#This Row],[2031]]*Tariefsopbouw!$Q$37+InvulVloer[[#This Row],[2031]]</f>
        <v>#DIV/0!</v>
      </c>
    </row>
    <row r="19" spans="1:9" ht="15" customHeight="1">
      <c r="C19" s="68"/>
      <c r="D19" s="68"/>
    </row>
    <row r="20" spans="1:9" s="88" customFormat="1" ht="26.25" customHeight="1">
      <c r="A20" s="75" t="s">
        <v>212</v>
      </c>
      <c r="B20" s="75" t="s">
        <v>151</v>
      </c>
      <c r="C20" s="76" t="s">
        <v>213</v>
      </c>
      <c r="D20" s="85" t="s">
        <v>155</v>
      </c>
      <c r="E20" s="85" t="s">
        <v>160</v>
      </c>
      <c r="F20" s="86" t="s">
        <v>161</v>
      </c>
      <c r="G20" s="85" t="s">
        <v>166</v>
      </c>
      <c r="H20" s="87" t="s">
        <v>152</v>
      </c>
    </row>
    <row r="21" spans="1:9" ht="15" customHeight="1">
      <c r="A21" s="89">
        <v>1</v>
      </c>
      <c r="B21" s="90" t="str">
        <f>VLOOKUP(OverzichtVloer[[#This Row],[Code Locatie]],Locaties[],2,0)</f>
        <v>Hoofdgebouw</v>
      </c>
      <c r="C21" s="89">
        <v>1</v>
      </c>
      <c r="D21" s="107" t="str">
        <f>IF(Vloeronderhoud!$C21&gt;0,VLOOKUP(Vloeronderhoud!$C21,$A$8:$B$18,2,FALSE),"")</f>
        <v>Sprayen/opblokken</v>
      </c>
      <c r="E21" s="92" t="s">
        <v>113</v>
      </c>
      <c r="F21" s="93">
        <f>SUMIFS('Ruimtestaat'!$N:$N,'Ruimtestaat'!L:L,Vloeronderhoud!E21,'Ruimtestaat'!A:A,Vloeronderhoud!A21)</f>
        <v>2575</v>
      </c>
      <c r="G21" s="92">
        <v>1</v>
      </c>
      <c r="H21" s="94">
        <f>VLOOKUP(OverzichtVloer[[#This Row],[Code Taak]],InvulVloer[],3,3)*F21*G21</f>
        <v>0</v>
      </c>
    </row>
    <row r="22" spans="1:9" ht="15.75" customHeight="1">
      <c r="A22" s="89">
        <v>1</v>
      </c>
      <c r="B22" s="90" t="str">
        <f>VLOOKUP(OverzichtVloer[[#This Row],[Code Locatie]],Locaties[],2,0)</f>
        <v>Hoofdgebouw</v>
      </c>
      <c r="C22" s="89">
        <v>2</v>
      </c>
      <c r="D22" s="107" t="str">
        <f>IF(Vloeronderhoud!$C22&gt;0,VLOOKUP(Vloeronderhoud!$C22,$A$8:$B$18,2,FALSE),"")</f>
        <v>Topstrippen en conserveren</v>
      </c>
      <c r="E22" s="92" t="s">
        <v>113</v>
      </c>
      <c r="F22" s="93">
        <f>SUMIFS('Ruimtestaat'!$N:$N,'Ruimtestaat'!L:L,Vloeronderhoud!E22,'Ruimtestaat'!A:A,Vloeronderhoud!A22)</f>
        <v>2575</v>
      </c>
      <c r="G22" s="92">
        <v>1</v>
      </c>
      <c r="H22" s="94">
        <f>VLOOKUP(OverzichtVloer[[#This Row],[Code Taak]],InvulVloer[],3,3)*F22*G22</f>
        <v>0</v>
      </c>
    </row>
    <row r="23" spans="1:9" ht="15" customHeight="1">
      <c r="A23" s="89">
        <v>1</v>
      </c>
      <c r="B23" s="90" t="str">
        <f>VLOOKUP(OverzichtVloer[[#This Row],[Code Locatie]],Locaties[],2,0)</f>
        <v>Hoofdgebouw</v>
      </c>
      <c r="C23" s="89">
        <v>3</v>
      </c>
      <c r="D23" s="107" t="str">
        <f>IF(Vloeronderhoud!$C23&gt;0,VLOOKUP(Vloeronderhoud!$C23,$A$8:$B$18,2,FALSE),"")</f>
        <v>Diepstrippen, sealen en conserveren</v>
      </c>
      <c r="E23" s="92" t="s">
        <v>113</v>
      </c>
      <c r="F23" s="93">
        <f>SUMIFS('Ruimtestaat'!$N:$N,'Ruimtestaat'!L:L,Vloeronderhoud!E23,'Ruimtestaat'!A:A,Vloeronderhoud!A23)</f>
        <v>2575</v>
      </c>
      <c r="G23" s="92">
        <v>0.25</v>
      </c>
      <c r="H23" s="94">
        <f>VLOOKUP(OverzichtVloer[[#This Row],[Code Taak]],InvulVloer[],3,3)*F23*G23</f>
        <v>0</v>
      </c>
    </row>
    <row r="24" spans="1:9" ht="15" customHeight="1">
      <c r="A24" s="89">
        <v>1</v>
      </c>
      <c r="B24" s="90" t="str">
        <f>VLOOKUP(OverzichtVloer[[#This Row],[Code Locatie]],Locaties[],2,0)</f>
        <v>Hoofdgebouw</v>
      </c>
      <c r="C24" s="89">
        <v>4</v>
      </c>
      <c r="D24" s="107" t="str">
        <f>IF(Vloeronderhoud!$C24&gt;0,VLOOKUP(Vloeronderhoud!$C24,$A$8:$B$18,2,FALSE),"")</f>
        <v>Tapijtreinigen, sproei-extractiemethode</v>
      </c>
      <c r="E24" s="92" t="s">
        <v>112</v>
      </c>
      <c r="F24" s="93">
        <f>SUMIFS('Ruimtestaat'!$N:$N,'Ruimtestaat'!L:L,Vloeronderhoud!E24,'Ruimtestaat'!A:A,Vloeronderhoud!A24)</f>
        <v>64</v>
      </c>
      <c r="G24" s="92">
        <v>1</v>
      </c>
      <c r="H24" s="94">
        <f>VLOOKUP(OverzichtVloer[[#This Row],[Code Taak]],InvulVloer[],3,3)*F24*G24</f>
        <v>0</v>
      </c>
    </row>
    <row r="25" spans="1:9" ht="15" customHeight="1">
      <c r="A25" s="89">
        <v>1</v>
      </c>
      <c r="B25" s="90" t="str">
        <f>VLOOKUP(OverzichtVloer[[#This Row],[Code Locatie]],Locaties[],2,0)</f>
        <v>Hoofdgebouw</v>
      </c>
      <c r="C25" s="89">
        <v>6</v>
      </c>
      <c r="D25" s="107" t="str">
        <f>IF(Vloeronderhoud!$C25&gt;0,VLOOKUP(Vloeronderhoud!$C25,$A$8:$B$18,2,FALSE),"")</f>
        <v>Schuren en lakken houten vloer</v>
      </c>
      <c r="E25" s="92" t="s">
        <v>698</v>
      </c>
      <c r="F25" s="93">
        <f>SUMIFS('Ruimtestaat'!$N:$N,'Ruimtestaat'!L:L,Vloeronderhoud!E25,'Ruimtestaat'!A:A,Vloeronderhoud!A25)</f>
        <v>484</v>
      </c>
      <c r="G25" s="92">
        <v>1</v>
      </c>
      <c r="H25" s="94">
        <f>VLOOKUP(OverzichtVloer[[#This Row],[Code Taak]],InvulVloer[],3,3)*F25*G25</f>
        <v>0</v>
      </c>
    </row>
    <row r="26" spans="1:9" ht="15" customHeight="1">
      <c r="A26" s="89">
        <v>1</v>
      </c>
      <c r="B26" s="90" t="str">
        <f>VLOOKUP(OverzichtVloer[[#This Row],[Code Locatie]],Locaties[],2,0)</f>
        <v>Hoofdgebouw</v>
      </c>
      <c r="C26" s="89">
        <v>8</v>
      </c>
      <c r="D26" s="107" t="str">
        <f>IF(Vloeronderhoud!$C26&gt;0,VLOOKUP(Vloeronderhoud!$C26,$A$8:$B$18,2,FALSE),"")</f>
        <v>Machinaal schrobben en droogzuigen</v>
      </c>
      <c r="E26" s="92" t="s">
        <v>114</v>
      </c>
      <c r="F26" s="93">
        <f>SUMIFS('Ruimtestaat'!$N:$N,'Ruimtestaat'!L:L,Vloeronderhoud!E26,'Ruimtestaat'!A:A,Vloeronderhoud!A26)</f>
        <v>239</v>
      </c>
      <c r="G26" s="92">
        <v>1</v>
      </c>
      <c r="H26" s="94">
        <f>VLOOKUP(OverzichtVloer[[#This Row],[Code Taak]],InvulVloer[],3,3)*F26*G26</f>
        <v>0</v>
      </c>
    </row>
    <row r="27" spans="1:9" ht="15" customHeight="1">
      <c r="A27" s="89">
        <v>2</v>
      </c>
      <c r="B27" s="90" t="str">
        <f>VLOOKUP(OverzichtVloer[[#This Row],[Code Locatie]],Locaties[],2,0)</f>
        <v>Paviljoen Nova</v>
      </c>
      <c r="C27" s="89">
        <v>1</v>
      </c>
      <c r="D27" s="107" t="str">
        <f>IF(Vloeronderhoud!$C27&gt;0,VLOOKUP(Vloeronderhoud!$C27,$A$8:$B$18,2,FALSE),"")</f>
        <v>Sprayen/opblokken</v>
      </c>
      <c r="E27" s="92" t="s">
        <v>113</v>
      </c>
      <c r="F27" s="93">
        <f>SUMIFS('Ruimtestaat'!$N:$N,'Ruimtestaat'!L:L,Vloeronderhoud!E27,'Ruimtestaat'!A:A,Vloeronderhoud!A27)</f>
        <v>1006</v>
      </c>
      <c r="G27" s="92">
        <v>1</v>
      </c>
      <c r="H27" s="94">
        <f>VLOOKUP(OverzichtVloer[[#This Row],[Code Taak]],InvulVloer[],3,3)*F27*G27</f>
        <v>0</v>
      </c>
    </row>
    <row r="28" spans="1:9" ht="15" customHeight="1">
      <c r="A28" s="89">
        <v>2</v>
      </c>
      <c r="B28" s="90" t="str">
        <f>VLOOKUP(OverzichtVloer[[#This Row],[Code Locatie]],Locaties[],2,0)</f>
        <v>Paviljoen Nova</v>
      </c>
      <c r="C28" s="89">
        <v>2</v>
      </c>
      <c r="D28" s="107" t="str">
        <f>IF(Vloeronderhoud!$C28&gt;0,VLOOKUP(Vloeronderhoud!$C28,$A$8:$B$18,2,FALSE),"")</f>
        <v>Topstrippen en conserveren</v>
      </c>
      <c r="E28" s="92" t="s">
        <v>113</v>
      </c>
      <c r="F28" s="93">
        <f>SUMIFS('Ruimtestaat'!$N:$N,'Ruimtestaat'!L:L,Vloeronderhoud!E28,'Ruimtestaat'!A:A,Vloeronderhoud!A28)</f>
        <v>1006</v>
      </c>
      <c r="G28" s="92">
        <v>1</v>
      </c>
      <c r="H28" s="94">
        <f>VLOOKUP(OverzichtVloer[[#This Row],[Code Taak]],InvulVloer[],3,3)*F28*G28</f>
        <v>0</v>
      </c>
    </row>
    <row r="29" spans="1:9" ht="15" customHeight="1">
      <c r="A29" s="89">
        <v>2</v>
      </c>
      <c r="B29" s="90" t="str">
        <f>VLOOKUP(OverzichtVloer[[#This Row],[Code Locatie]],Locaties[],2,0)</f>
        <v>Paviljoen Nova</v>
      </c>
      <c r="C29" s="89">
        <v>3</v>
      </c>
      <c r="D29" s="107" t="str">
        <f>IF(Vloeronderhoud!$C29&gt;0,VLOOKUP(Vloeronderhoud!$C29,$A$8:$B$18,2,FALSE),"")</f>
        <v>Diepstrippen, sealen en conserveren</v>
      </c>
      <c r="E29" s="92" t="s">
        <v>113</v>
      </c>
      <c r="F29" s="93">
        <f>SUMIFS('Ruimtestaat'!$N:$N,'Ruimtestaat'!L:L,Vloeronderhoud!E29,'Ruimtestaat'!A:A,Vloeronderhoud!A29)</f>
        <v>1006</v>
      </c>
      <c r="G29" s="92">
        <v>0.25</v>
      </c>
      <c r="H29" s="94">
        <f>VLOOKUP(OverzichtVloer[[#This Row],[Code Taak]],InvulVloer[],3,3)*F29*G29</f>
        <v>0</v>
      </c>
    </row>
    <row r="30" spans="1:9" ht="15" customHeight="1">
      <c r="A30" s="89">
        <v>2</v>
      </c>
      <c r="B30" s="90" t="str">
        <f>VLOOKUP(OverzichtVloer[[#This Row],[Code Locatie]],Locaties[],2,0)</f>
        <v>Paviljoen Nova</v>
      </c>
      <c r="C30" s="89">
        <v>4</v>
      </c>
      <c r="D30" s="107" t="str">
        <f>IF(Vloeronderhoud!$C30&gt;0,VLOOKUP(Vloeronderhoud!$C30,$A$8:$B$18,2,FALSE),"")</f>
        <v>Tapijtreinigen, sproei-extractiemethode</v>
      </c>
      <c r="E30" s="92" t="s">
        <v>112</v>
      </c>
      <c r="F30" s="93">
        <f>SUMIFS('Ruimtestaat'!$N:$N,'Ruimtestaat'!L:L,Vloeronderhoud!E30,'Ruimtestaat'!A:A,Vloeronderhoud!A30)</f>
        <v>9</v>
      </c>
      <c r="G30" s="92">
        <v>1</v>
      </c>
      <c r="H30" s="94">
        <f>VLOOKUP(OverzichtVloer[[#This Row],[Code Taak]],InvulVloer[],3,3)*F30*G30</f>
        <v>0</v>
      </c>
    </row>
    <row r="31" spans="1:9" ht="15" customHeight="1">
      <c r="A31" s="89">
        <v>2</v>
      </c>
      <c r="B31" s="90" t="str">
        <f>VLOOKUP(OverzichtVloer[[#This Row],[Code Locatie]],Locaties[],2,0)</f>
        <v>Paviljoen Nova</v>
      </c>
      <c r="C31" s="89">
        <v>8</v>
      </c>
      <c r="D31" s="107" t="str">
        <f>IF(Vloeronderhoud!$C31&gt;0,VLOOKUP(Vloeronderhoud!$C31,$A$8:$B$18,2,FALSE),"")</f>
        <v>Machinaal schrobben en droogzuigen</v>
      </c>
      <c r="E31" s="92" t="s">
        <v>114</v>
      </c>
      <c r="F31" s="93">
        <f>SUMIFS('Ruimtestaat'!$N:$N,'Ruimtestaat'!L:L,Vloeronderhoud!E31,'Ruimtestaat'!A:A,Vloeronderhoud!A31)</f>
        <v>49</v>
      </c>
      <c r="G31" s="92">
        <v>1</v>
      </c>
      <c r="H31" s="94">
        <f>VLOOKUP(OverzichtVloer[[#This Row],[Code Taak]],InvulVloer[],3,3)*F31*G31</f>
        <v>0</v>
      </c>
    </row>
    <row r="32" spans="1:9" ht="15" customHeight="1">
      <c r="A32" s="95"/>
      <c r="B32" s="96" t="s">
        <v>33</v>
      </c>
      <c r="C32" s="95"/>
      <c r="D32" s="97"/>
      <c r="E32" s="95"/>
      <c r="F32" s="98"/>
      <c r="G32" s="95"/>
      <c r="H32" s="99">
        <f>SUBTOTAL(109,OverzichtVloer[Kosten/jaar excl. BTW])</f>
        <v>0</v>
      </c>
    </row>
    <row r="33" spans="1:8" ht="15" customHeight="1">
      <c r="A33" s="100"/>
      <c r="C33" s="68"/>
      <c r="D33" s="68"/>
      <c r="E33" s="68"/>
      <c r="F33" s="74"/>
      <c r="G33" s="101"/>
      <c r="H33" s="70"/>
    </row>
  </sheetData>
  <sheetProtection algorithmName="SHA-512" hashValue="adE1RYHafIC+GsmTAnUyfmg2mqll5FZ1qp54OOZkdyR66+7spQZ1A4iAOKD4pBGTvOPKLmZzyvYyalCX8V64Sw==" saltValue="Eyrf/cYxH8IwzjHqX1wbiA==" spinCount="100000" sheet="1" objects="1" scenarios="1" sort="0" autoFilter="0"/>
  <mergeCells count="2">
    <mergeCell ref="A1:H1"/>
    <mergeCell ref="A2:H2"/>
  </mergeCells>
  <pageMargins left="0.70866141732283472" right="0.70866141732283472" top="0.35433070866141736" bottom="0.47244094488188981" header="0.31496062992125984" footer="0.31496062992125984"/>
  <pageSetup paperSize="9" scale="54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D610-5BBF-4E6C-AB32-FE2F2C9AEFBC}">
  <sheetPr>
    <tabColor theme="0" tint="-0.14999847407452621"/>
  </sheetPr>
  <dimension ref="A1:I88"/>
  <sheetViews>
    <sheetView view="pageBreakPreview" zoomScaleNormal="100" zoomScaleSheetLayoutView="100" workbookViewId="0">
      <selection activeCellId="11" sqref="A34:XFD1048576 F32:XFD33 D32:D33 A32:B33 A29:XFD31 F27:XFD28 D27:D28 A27:B28 A22:XFD26 D9:XFD21 A9:B21 A1:XFD8"/>
    </sheetView>
  </sheetViews>
  <sheetFormatPr defaultColWidth="9.140625" defaultRowHeight="12"/>
  <cols>
    <col min="1" max="1" width="11.5703125" style="22" customWidth="1"/>
    <col min="2" max="2" width="47.42578125" style="20" bestFit="1" customWidth="1"/>
    <col min="3" max="3" width="12.5703125" style="20" customWidth="1"/>
    <col min="4" max="4" width="52.140625" style="22" bestFit="1" customWidth="1"/>
    <col min="5" max="5" width="19" style="20" customWidth="1"/>
    <col min="6" max="6" width="17.7109375" style="20" bestFit="1" customWidth="1"/>
    <col min="7" max="7" width="18" style="20" customWidth="1"/>
    <col min="8" max="8" width="17.5703125" style="20" customWidth="1"/>
    <col min="9" max="9" width="17.7109375" style="20" bestFit="1" customWidth="1"/>
    <col min="10" max="16384" width="9.140625" style="20"/>
  </cols>
  <sheetData>
    <row r="1" spans="1:9" s="19" customFormat="1" ht="26.25" customHeight="1">
      <c r="A1" s="190" t="s">
        <v>388</v>
      </c>
      <c r="B1" s="190"/>
      <c r="C1" s="190"/>
      <c r="D1" s="190"/>
      <c r="E1" s="190"/>
      <c r="F1" s="190"/>
      <c r="G1" s="190"/>
      <c r="H1" s="108"/>
    </row>
    <row r="2" spans="1:9" s="19" customFormat="1" ht="15" customHeight="1">
      <c r="A2" s="188" t="s">
        <v>214</v>
      </c>
      <c r="B2" s="192"/>
      <c r="C2" s="192"/>
      <c r="D2" s="192"/>
      <c r="E2" s="192"/>
      <c r="F2" s="192"/>
      <c r="G2" s="192"/>
      <c r="H2" s="193"/>
    </row>
    <row r="3" spans="1:9" ht="15" customHeight="1">
      <c r="B3" s="22"/>
      <c r="D3" s="109"/>
      <c r="E3" s="110"/>
    </row>
    <row r="4" spans="1:9" ht="15" customHeight="1">
      <c r="A4" s="20" t="s">
        <v>179</v>
      </c>
      <c r="B4" s="22"/>
      <c r="D4" s="109"/>
      <c r="E4" s="109"/>
    </row>
    <row r="5" spans="1:9" ht="15" customHeight="1">
      <c r="A5" s="20" t="s">
        <v>245</v>
      </c>
      <c r="B5" s="22"/>
      <c r="D5" s="20"/>
    </row>
    <row r="6" spans="1:9" ht="15" customHeight="1">
      <c r="A6" s="20" t="s">
        <v>198</v>
      </c>
      <c r="B6" s="66"/>
      <c r="C6" s="66"/>
      <c r="D6" s="73"/>
      <c r="E6" s="73"/>
      <c r="F6" s="71"/>
      <c r="G6" s="71"/>
    </row>
    <row r="7" spans="1:9" ht="15" customHeight="1">
      <c r="A7" s="20"/>
      <c r="B7" s="66"/>
      <c r="C7" s="66"/>
      <c r="D7" s="73"/>
      <c r="E7" s="191" t="s">
        <v>252</v>
      </c>
      <c r="F7" s="191"/>
      <c r="G7" s="191"/>
      <c r="H7" s="191"/>
      <c r="I7" s="191"/>
    </row>
    <row r="8" spans="1:9" s="21" customFormat="1" ht="26.25" customHeight="1">
      <c r="A8" s="76" t="s">
        <v>389</v>
      </c>
      <c r="B8" s="111" t="s">
        <v>390</v>
      </c>
      <c r="C8" s="75" t="s">
        <v>178</v>
      </c>
      <c r="D8" s="76" t="s">
        <v>153</v>
      </c>
      <c r="E8" s="76" t="s">
        <v>258</v>
      </c>
      <c r="F8" s="76" t="s">
        <v>458</v>
      </c>
      <c r="G8" s="76" t="s">
        <v>464</v>
      </c>
      <c r="H8" s="76" t="s">
        <v>463</v>
      </c>
      <c r="I8" s="76" t="s">
        <v>709</v>
      </c>
    </row>
    <row r="9" spans="1:9" ht="15" customHeight="1">
      <c r="A9" s="89">
        <v>1</v>
      </c>
      <c r="B9" s="112" t="s">
        <v>391</v>
      </c>
      <c r="C9" s="338">
        <v>0</v>
      </c>
      <c r="D9" s="90" t="s">
        <v>392</v>
      </c>
      <c r="E9" s="80" t="e">
        <f>(InvulGlas[[#This Row],[Prijs excl. BTW]]*Tariefsopbouw!$I$37)+InvulGlas[[#This Row],[Prijs excl. BTW]]</f>
        <v>#DIV/0!</v>
      </c>
      <c r="F9" s="80" t="e">
        <f>(InvulGlas[[#This Row],[2028]]*Tariefsopbouw!$K$37)+InvulGlas[[#This Row],[2028]]</f>
        <v>#DIV/0!</v>
      </c>
      <c r="G9" s="80" t="e">
        <f>(InvulGlas[[#This Row],[2029]]*Tariefsopbouw!$M$37)+InvulGlas[[#This Row],[2029]]</f>
        <v>#DIV/0!</v>
      </c>
      <c r="H9" s="80" t="e">
        <f>(InvulGlas[[#This Row],[2030]]*Tariefsopbouw!$O$37)+InvulGlas[[#This Row],[2030]]</f>
        <v>#DIV/0!</v>
      </c>
      <c r="I9" s="80" t="e">
        <f>(InvulGlas[[#This Row],[2031]]*Tariefsopbouw!$Q$37)+InvulGlas[[#This Row],[2031]]</f>
        <v>#DIV/0!</v>
      </c>
    </row>
    <row r="10" spans="1:9" ht="15" customHeight="1">
      <c r="A10" s="89">
        <v>2</v>
      </c>
      <c r="B10" s="112" t="s">
        <v>393</v>
      </c>
      <c r="C10" s="338">
        <v>0</v>
      </c>
      <c r="D10" s="90" t="s">
        <v>392</v>
      </c>
      <c r="E10" s="80" t="e">
        <f>(InvulGlas[[#This Row],[Prijs excl. BTW]]*Tariefsopbouw!$I$37)+InvulGlas[[#This Row],[Prijs excl. BTW]]</f>
        <v>#DIV/0!</v>
      </c>
      <c r="F10" s="80" t="e">
        <f>(InvulGlas[[#This Row],[2028]]*Tariefsopbouw!$K$37)+InvulGlas[[#This Row],[2028]]</f>
        <v>#DIV/0!</v>
      </c>
      <c r="G10" s="80" t="e">
        <f>(InvulGlas[[#This Row],[2029]]*Tariefsopbouw!$M$37)+InvulGlas[[#This Row],[2029]]</f>
        <v>#DIV/0!</v>
      </c>
      <c r="H10" s="80" t="e">
        <f>(InvulGlas[[#This Row],[2030]]*Tariefsopbouw!$O$37)+InvulGlas[[#This Row],[2030]]</f>
        <v>#DIV/0!</v>
      </c>
      <c r="I10" s="80" t="e">
        <f>(InvulGlas[[#This Row],[2031]]*Tariefsopbouw!$Q$37)+InvulGlas[[#This Row],[2031]]</f>
        <v>#DIV/0!</v>
      </c>
    </row>
    <row r="11" spans="1:9" ht="15" customHeight="1">
      <c r="A11" s="89">
        <v>3</v>
      </c>
      <c r="B11" s="112" t="s">
        <v>394</v>
      </c>
      <c r="C11" s="338">
        <v>0</v>
      </c>
      <c r="D11" s="90" t="s">
        <v>392</v>
      </c>
      <c r="E11" s="80" t="e">
        <f>(InvulGlas[[#This Row],[Prijs excl. BTW]]*Tariefsopbouw!$I$37)+InvulGlas[[#This Row],[Prijs excl. BTW]]</f>
        <v>#DIV/0!</v>
      </c>
      <c r="F11" s="80" t="e">
        <f>(InvulGlas[[#This Row],[2028]]*Tariefsopbouw!$K$37)+InvulGlas[[#This Row],[2028]]</f>
        <v>#DIV/0!</v>
      </c>
      <c r="G11" s="80" t="e">
        <f>(InvulGlas[[#This Row],[2029]]*Tariefsopbouw!$M$37)+InvulGlas[[#This Row],[2029]]</f>
        <v>#DIV/0!</v>
      </c>
      <c r="H11" s="80" t="e">
        <f>(InvulGlas[[#This Row],[2030]]*Tariefsopbouw!$O$37)+InvulGlas[[#This Row],[2030]]</f>
        <v>#DIV/0!</v>
      </c>
      <c r="I11" s="80" t="e">
        <f>(InvulGlas[[#This Row],[2031]]*Tariefsopbouw!$Q$37)+InvulGlas[[#This Row],[2031]]</f>
        <v>#DIV/0!</v>
      </c>
    </row>
    <row r="12" spans="1:9" ht="15" customHeight="1">
      <c r="A12" s="89">
        <v>4</v>
      </c>
      <c r="B12" s="112" t="s">
        <v>395</v>
      </c>
      <c r="C12" s="338">
        <v>0</v>
      </c>
      <c r="D12" s="90" t="s">
        <v>392</v>
      </c>
      <c r="E12" s="80" t="e">
        <f>(InvulGlas[[#This Row],[Prijs excl. BTW]]*Tariefsopbouw!$I$37)+InvulGlas[[#This Row],[Prijs excl. BTW]]</f>
        <v>#DIV/0!</v>
      </c>
      <c r="F12" s="80" t="e">
        <f>(InvulGlas[[#This Row],[2028]]*Tariefsopbouw!$K$37)+InvulGlas[[#This Row],[2028]]</f>
        <v>#DIV/0!</v>
      </c>
      <c r="G12" s="80" t="e">
        <f>(InvulGlas[[#This Row],[2029]]*Tariefsopbouw!$M$37)+InvulGlas[[#This Row],[2029]]</f>
        <v>#DIV/0!</v>
      </c>
      <c r="H12" s="80" t="e">
        <f>(InvulGlas[[#This Row],[2030]]*Tariefsopbouw!$O$37)+InvulGlas[[#This Row],[2030]]</f>
        <v>#DIV/0!</v>
      </c>
      <c r="I12" s="80" t="e">
        <f>(InvulGlas[[#This Row],[2031]]*Tariefsopbouw!$Q$37)+InvulGlas[[#This Row],[2031]]</f>
        <v>#DIV/0!</v>
      </c>
    </row>
    <row r="13" spans="1:9" ht="15" customHeight="1">
      <c r="A13" s="89">
        <v>5</v>
      </c>
      <c r="B13" s="112" t="s">
        <v>396</v>
      </c>
      <c r="C13" s="338">
        <v>0</v>
      </c>
      <c r="D13" s="90" t="s">
        <v>392</v>
      </c>
      <c r="E13" s="80" t="e">
        <f>(InvulGlas[[#This Row],[Prijs excl. BTW]]*Tariefsopbouw!$I$37)+InvulGlas[[#This Row],[Prijs excl. BTW]]</f>
        <v>#DIV/0!</v>
      </c>
      <c r="F13" s="80" t="e">
        <f>(InvulGlas[[#This Row],[2028]]*Tariefsopbouw!$K$37)+InvulGlas[[#This Row],[2028]]</f>
        <v>#DIV/0!</v>
      </c>
      <c r="G13" s="80" t="e">
        <f>(InvulGlas[[#This Row],[2029]]*Tariefsopbouw!$M$37)+InvulGlas[[#This Row],[2029]]</f>
        <v>#DIV/0!</v>
      </c>
      <c r="H13" s="80" t="e">
        <f>(InvulGlas[[#This Row],[2030]]*Tariefsopbouw!$O$37)+InvulGlas[[#This Row],[2030]]</f>
        <v>#DIV/0!</v>
      </c>
      <c r="I13" s="80" t="e">
        <f>(InvulGlas[[#This Row],[2031]]*Tariefsopbouw!$Q$37)+InvulGlas[[#This Row],[2031]]</f>
        <v>#DIV/0!</v>
      </c>
    </row>
    <row r="14" spans="1:9" ht="15" customHeight="1">
      <c r="A14" s="89">
        <v>6</v>
      </c>
      <c r="B14" s="112" t="s">
        <v>397</v>
      </c>
      <c r="C14" s="338">
        <v>0</v>
      </c>
      <c r="D14" s="90" t="s">
        <v>392</v>
      </c>
      <c r="E14" s="80" t="e">
        <f>(InvulGlas[[#This Row],[Prijs excl. BTW]]*Tariefsopbouw!$I$37)+InvulGlas[[#This Row],[Prijs excl. BTW]]</f>
        <v>#DIV/0!</v>
      </c>
      <c r="F14" s="80" t="e">
        <f>(InvulGlas[[#This Row],[2028]]*Tariefsopbouw!$K$37)+InvulGlas[[#This Row],[2028]]</f>
        <v>#DIV/0!</v>
      </c>
      <c r="G14" s="80" t="e">
        <f>(InvulGlas[[#This Row],[2029]]*Tariefsopbouw!$M$37)+InvulGlas[[#This Row],[2029]]</f>
        <v>#DIV/0!</v>
      </c>
      <c r="H14" s="80" t="e">
        <f>(InvulGlas[[#This Row],[2030]]*Tariefsopbouw!$O$37)+InvulGlas[[#This Row],[2030]]</f>
        <v>#DIV/0!</v>
      </c>
      <c r="I14" s="80" t="e">
        <f>(InvulGlas[[#This Row],[2031]]*Tariefsopbouw!$Q$37)+InvulGlas[[#This Row],[2031]]</f>
        <v>#DIV/0!</v>
      </c>
    </row>
    <row r="15" spans="1:9" ht="15" customHeight="1">
      <c r="A15" s="89">
        <v>7</v>
      </c>
      <c r="B15" s="112" t="s">
        <v>398</v>
      </c>
      <c r="C15" s="338">
        <v>0</v>
      </c>
      <c r="D15" s="90" t="s">
        <v>392</v>
      </c>
      <c r="E15" s="80" t="e">
        <f>(InvulGlas[[#This Row],[Prijs excl. BTW]]*Tariefsopbouw!$I$37)+InvulGlas[[#This Row],[Prijs excl. BTW]]</f>
        <v>#DIV/0!</v>
      </c>
      <c r="F15" s="80" t="e">
        <f>(InvulGlas[[#This Row],[2028]]*Tariefsopbouw!$K$37)+InvulGlas[[#This Row],[2028]]</f>
        <v>#DIV/0!</v>
      </c>
      <c r="G15" s="80" t="e">
        <f>(InvulGlas[[#This Row],[2029]]*Tariefsopbouw!$M$37)+InvulGlas[[#This Row],[2029]]</f>
        <v>#DIV/0!</v>
      </c>
      <c r="H15" s="80" t="e">
        <f>(InvulGlas[[#This Row],[2030]]*Tariefsopbouw!$O$37)+InvulGlas[[#This Row],[2030]]</f>
        <v>#DIV/0!</v>
      </c>
      <c r="I15" s="80" t="e">
        <f>(InvulGlas[[#This Row],[2031]]*Tariefsopbouw!$Q$37)+InvulGlas[[#This Row],[2031]]</f>
        <v>#DIV/0!</v>
      </c>
    </row>
    <row r="16" spans="1:9" ht="15" customHeight="1">
      <c r="A16" s="89">
        <v>8</v>
      </c>
      <c r="B16" s="112" t="s">
        <v>399</v>
      </c>
      <c r="C16" s="338">
        <v>0</v>
      </c>
      <c r="D16" s="90" t="s">
        <v>392</v>
      </c>
      <c r="E16" s="80" t="e">
        <f>(InvulGlas[[#This Row],[Prijs excl. BTW]]*Tariefsopbouw!$I$37)+InvulGlas[[#This Row],[Prijs excl. BTW]]</f>
        <v>#DIV/0!</v>
      </c>
      <c r="F16" s="80" t="e">
        <f>(InvulGlas[[#This Row],[2028]]*Tariefsopbouw!$K$37)+InvulGlas[[#This Row],[2028]]</f>
        <v>#DIV/0!</v>
      </c>
      <c r="G16" s="80" t="e">
        <f>(InvulGlas[[#This Row],[2029]]*Tariefsopbouw!$M$37)+InvulGlas[[#This Row],[2029]]</f>
        <v>#DIV/0!</v>
      </c>
      <c r="H16" s="80" t="e">
        <f>(InvulGlas[[#This Row],[2030]]*Tariefsopbouw!$O$37)+InvulGlas[[#This Row],[2030]]</f>
        <v>#DIV/0!</v>
      </c>
      <c r="I16" s="80" t="e">
        <f>(InvulGlas[[#This Row],[2031]]*Tariefsopbouw!$Q$37)+InvulGlas[[#This Row],[2031]]</f>
        <v>#DIV/0!</v>
      </c>
    </row>
    <row r="17" spans="1:9" ht="15" customHeight="1">
      <c r="A17" s="89">
        <v>9</v>
      </c>
      <c r="B17" s="112" t="s">
        <v>400</v>
      </c>
      <c r="C17" s="338">
        <v>0</v>
      </c>
      <c r="D17" s="90" t="s">
        <v>392</v>
      </c>
      <c r="E17" s="80" t="e">
        <f>(InvulGlas[[#This Row],[Prijs excl. BTW]]*Tariefsopbouw!$I$37)+InvulGlas[[#This Row],[Prijs excl. BTW]]</f>
        <v>#DIV/0!</v>
      </c>
      <c r="F17" s="80" t="e">
        <f>(InvulGlas[[#This Row],[2028]]*Tariefsopbouw!$K$37)+InvulGlas[[#This Row],[2028]]</f>
        <v>#DIV/0!</v>
      </c>
      <c r="G17" s="80" t="e">
        <f>(InvulGlas[[#This Row],[2029]]*Tariefsopbouw!$M$37)+InvulGlas[[#This Row],[2029]]</f>
        <v>#DIV/0!</v>
      </c>
      <c r="H17" s="80" t="e">
        <f>(InvulGlas[[#This Row],[2030]]*Tariefsopbouw!$O$37)+InvulGlas[[#This Row],[2030]]</f>
        <v>#DIV/0!</v>
      </c>
      <c r="I17" s="80" t="e">
        <f>(InvulGlas[[#This Row],[2031]]*Tariefsopbouw!$Q$37)+InvulGlas[[#This Row],[2031]]</f>
        <v>#DIV/0!</v>
      </c>
    </row>
    <row r="18" spans="1:9" ht="15" customHeight="1">
      <c r="A18" s="89" t="s">
        <v>401</v>
      </c>
      <c r="B18" s="112" t="s">
        <v>402</v>
      </c>
      <c r="C18" s="338">
        <v>0</v>
      </c>
      <c r="D18" s="90" t="s">
        <v>49</v>
      </c>
      <c r="E18" s="80" t="e">
        <f>(InvulGlas[[#This Row],[Prijs excl. BTW]]*Tariefsopbouw!$I$37)+InvulGlas[[#This Row],[Prijs excl. BTW]]</f>
        <v>#DIV/0!</v>
      </c>
      <c r="F18" s="80" t="e">
        <f>(InvulGlas[[#This Row],[2028]]*Tariefsopbouw!$K$37)+InvulGlas[[#This Row],[2028]]</f>
        <v>#DIV/0!</v>
      </c>
      <c r="G18" s="80" t="e">
        <f>(InvulGlas[[#This Row],[2029]]*Tariefsopbouw!$M$37)+InvulGlas[[#This Row],[2029]]</f>
        <v>#DIV/0!</v>
      </c>
      <c r="H18" s="80" t="e">
        <f>(InvulGlas[[#This Row],[2030]]*Tariefsopbouw!$O$37)+InvulGlas[[#This Row],[2030]]</f>
        <v>#DIV/0!</v>
      </c>
      <c r="I18" s="80" t="e">
        <f>(InvulGlas[[#This Row],[2031]]*Tariefsopbouw!$Q$37)+InvulGlas[[#This Row],[2031]]</f>
        <v>#DIV/0!</v>
      </c>
    </row>
    <row r="19" spans="1:9" ht="15" customHeight="1">
      <c r="A19" s="89" t="s">
        <v>403</v>
      </c>
      <c r="B19" s="112" t="s">
        <v>404</v>
      </c>
      <c r="C19" s="338">
        <v>0</v>
      </c>
      <c r="D19" s="90" t="s">
        <v>49</v>
      </c>
      <c r="E19" s="80" t="e">
        <f>(InvulGlas[[#This Row],[Prijs excl. BTW]]*Tariefsopbouw!$I$37)+InvulGlas[[#This Row],[Prijs excl. BTW]]</f>
        <v>#DIV/0!</v>
      </c>
      <c r="F19" s="80" t="e">
        <f>(InvulGlas[[#This Row],[2028]]*Tariefsopbouw!$K$37)+InvulGlas[[#This Row],[2028]]</f>
        <v>#DIV/0!</v>
      </c>
      <c r="G19" s="80" t="e">
        <f>(InvulGlas[[#This Row],[2029]]*Tariefsopbouw!$M$37)+InvulGlas[[#This Row],[2029]]</f>
        <v>#DIV/0!</v>
      </c>
      <c r="H19" s="80" t="e">
        <f>(InvulGlas[[#This Row],[2030]]*Tariefsopbouw!$O$37)+InvulGlas[[#This Row],[2030]]</f>
        <v>#DIV/0!</v>
      </c>
      <c r="I19" s="80" t="e">
        <f>(InvulGlas[[#This Row],[2031]]*Tariefsopbouw!$Q$37)+InvulGlas[[#This Row],[2031]]</f>
        <v>#DIV/0!</v>
      </c>
    </row>
    <row r="20" spans="1:9" ht="15" customHeight="1">
      <c r="A20" s="89" t="s">
        <v>405</v>
      </c>
      <c r="B20" s="112" t="s">
        <v>406</v>
      </c>
      <c r="C20" s="338">
        <v>0</v>
      </c>
      <c r="D20" s="90" t="s">
        <v>49</v>
      </c>
      <c r="E20" s="80" t="e">
        <f>(InvulGlas[[#This Row],[Prijs excl. BTW]]*Tariefsopbouw!$I$37)+InvulGlas[[#This Row],[Prijs excl. BTW]]</f>
        <v>#DIV/0!</v>
      </c>
      <c r="F20" s="80" t="e">
        <f>(InvulGlas[[#This Row],[2028]]*Tariefsopbouw!$K$37)+InvulGlas[[#This Row],[2028]]</f>
        <v>#DIV/0!</v>
      </c>
      <c r="G20" s="80" t="e">
        <f>(InvulGlas[[#This Row],[2029]]*Tariefsopbouw!$M$37)+InvulGlas[[#This Row],[2029]]</f>
        <v>#DIV/0!</v>
      </c>
      <c r="H20" s="80" t="e">
        <f>(InvulGlas[[#This Row],[2030]]*Tariefsopbouw!$O$37)+InvulGlas[[#This Row],[2030]]</f>
        <v>#DIV/0!</v>
      </c>
      <c r="I20" s="80" t="e">
        <f>(InvulGlas[[#This Row],[2031]]*Tariefsopbouw!$Q$37)+InvulGlas[[#This Row],[2031]]</f>
        <v>#DIV/0!</v>
      </c>
    </row>
    <row r="21" spans="1:9" ht="15" customHeight="1">
      <c r="A21" s="89" t="s">
        <v>407</v>
      </c>
      <c r="B21" s="112" t="s">
        <v>408</v>
      </c>
      <c r="C21" s="338">
        <v>0</v>
      </c>
      <c r="D21" s="90" t="s">
        <v>49</v>
      </c>
      <c r="E21" s="102" t="e">
        <f>(InvulGlas[[#This Row],[Prijs excl. BTW]]*Tariefsopbouw!$I$37)+InvulGlas[[#This Row],[Prijs excl. BTW]]</f>
        <v>#DIV/0!</v>
      </c>
      <c r="F21" s="102" t="e">
        <f>(InvulGlas[[#This Row],[2028]]*Tariefsopbouw!$K$37)+InvulGlas[[#This Row],[2028]]</f>
        <v>#DIV/0!</v>
      </c>
      <c r="G21" s="102" t="e">
        <f>(InvulGlas[[#This Row],[2029]]*Tariefsopbouw!$M$37)+InvulGlas[[#This Row],[2029]]</f>
        <v>#DIV/0!</v>
      </c>
      <c r="H21" s="80" t="e">
        <f>(InvulGlas[[#This Row],[2030]]*Tariefsopbouw!$O$37)+InvulGlas[[#This Row],[2030]]</f>
        <v>#DIV/0!</v>
      </c>
      <c r="I21" s="102" t="e">
        <f>(InvulGlas[[#This Row],[2031]]*Tariefsopbouw!$Q$37)+InvulGlas[[#This Row],[2031]]</f>
        <v>#DIV/0!</v>
      </c>
    </row>
    <row r="22" spans="1:9" ht="15" customHeight="1">
      <c r="C22" s="68"/>
      <c r="D22" s="68"/>
    </row>
    <row r="23" spans="1:9" s="118" customFormat="1" ht="26.25" customHeight="1">
      <c r="A23" s="113" t="s">
        <v>212</v>
      </c>
      <c r="B23" s="113" t="s">
        <v>151</v>
      </c>
      <c r="C23" s="113" t="s">
        <v>389</v>
      </c>
      <c r="D23" s="114" t="s">
        <v>390</v>
      </c>
      <c r="E23" s="114" t="s">
        <v>409</v>
      </c>
      <c r="F23" s="114" t="s">
        <v>410</v>
      </c>
      <c r="G23" s="115" t="s">
        <v>152</v>
      </c>
      <c r="H23" s="116" t="s">
        <v>411</v>
      </c>
      <c r="I23" s="117" t="s">
        <v>459</v>
      </c>
    </row>
    <row r="24" spans="1:9" ht="15" customHeight="1">
      <c r="A24" s="89">
        <v>1</v>
      </c>
      <c r="B24" s="65" t="str">
        <f>VLOOKUP(OverzichtGlas[[#This Row],[Code Locatie]],Samenvattingschoonmaak[[#All],[Code Locatie]:[Locatie]],2,FALSE)</f>
        <v>Hoofdgebouw</v>
      </c>
      <c r="C24" s="89">
        <v>1</v>
      </c>
      <c r="D24" s="91" t="str">
        <f>IF(Glasbewassing!$C24&gt;0,VLOOKUP(Glasbewassing!$C24,$A$8:$B$21,2,FALSE),"Hier vult u de inzet van eventuele hoogwerkers in")</f>
        <v>Gevelglas binnenzijde</v>
      </c>
      <c r="E24" s="22">
        <v>251</v>
      </c>
      <c r="F24" s="92">
        <v>2</v>
      </c>
      <c r="G24" s="94">
        <f>IF(C24&gt;0,VLOOKUP(OverzichtGlas[[#This Row],[Code taak]],InvulGlas[],3,0)*E24*F24,0)</f>
        <v>0</v>
      </c>
      <c r="H24" s="94">
        <f>OverzichtGlas[[#This Row],[Kosten/jaar excl. BTW]]*1.21</f>
        <v>0</v>
      </c>
      <c r="I24" s="89"/>
    </row>
    <row r="25" spans="1:9" ht="15" customHeight="1">
      <c r="A25" s="89">
        <v>1</v>
      </c>
      <c r="B25" s="65" t="str">
        <f>VLOOKUP(OverzichtGlas[[#This Row],[Code Locatie]],Samenvattingschoonmaak[[#All],[Code Locatie]:[Locatie]],2,FALSE)</f>
        <v>Hoofdgebouw</v>
      </c>
      <c r="C25" s="89">
        <v>2</v>
      </c>
      <c r="D25" s="91" t="str">
        <f>IF(Glasbewassing!$C25&gt;0,VLOOKUP(Glasbewassing!$C25,$A$8:$B$21,2,FALSE),"Hier vult u de inzet van eventuele hoogwerkers in")</f>
        <v>Gevelglas buitenzijde</v>
      </c>
      <c r="E25" s="22">
        <v>251</v>
      </c>
      <c r="F25" s="92">
        <v>2</v>
      </c>
      <c r="G25" s="94">
        <f>IF(C25&gt;0,VLOOKUP(OverzichtGlas[[#This Row],[Code taak]],InvulGlas[],3,0)*E25*F25,0)</f>
        <v>0</v>
      </c>
      <c r="H25" s="94">
        <f>OverzichtGlas[[#This Row],[Kosten/jaar excl. BTW]]*1.21</f>
        <v>0</v>
      </c>
      <c r="I25" s="89"/>
    </row>
    <row r="26" spans="1:9" ht="15" customHeight="1">
      <c r="A26" s="89">
        <v>1</v>
      </c>
      <c r="B26" s="65" t="str">
        <f>VLOOKUP(OverzichtGlas[[#This Row],[Code Locatie]],Samenvattingschoonmaak[[#All],[Code Locatie]:[Locatie]],2,FALSE)</f>
        <v>Hoofdgebouw</v>
      </c>
      <c r="C26" s="89">
        <v>3</v>
      </c>
      <c r="D26" s="91" t="str">
        <f>IF(Glasbewassing!$C26&gt;0,VLOOKUP(Glasbewassing!$C26,$A$8:$B$21,2,FALSE),"Hier vult u de inzet van eventuele hoogwerkers in")</f>
        <v>Separatieglas (enkel gemeten, dubbel te wassen)</v>
      </c>
      <c r="E26" s="22">
        <v>175</v>
      </c>
      <c r="F26" s="92">
        <v>2</v>
      </c>
      <c r="G26" s="94">
        <f>IF(C26&gt;0,VLOOKUP(OverzichtGlas[[#This Row],[Code taak]],InvulGlas[],3,0)*E26*F26,0)</f>
        <v>0</v>
      </c>
      <c r="H26" s="94">
        <f>OverzichtGlas[[#This Row],[Kosten/jaar excl. BTW]]*1.21</f>
        <v>0</v>
      </c>
      <c r="I26" s="89"/>
    </row>
    <row r="27" spans="1:9" ht="15" customHeight="1">
      <c r="A27" s="89">
        <v>1</v>
      </c>
      <c r="B27" s="65" t="str">
        <f>VLOOKUP(OverzichtGlas[[#This Row],[Code Locatie]],Samenvattingschoonmaak[[#All],[Code Locatie]:[Locatie]],2,FALSE)</f>
        <v>Hoofdgebouw</v>
      </c>
      <c r="C27" s="339"/>
      <c r="D27" s="91" t="str">
        <f>IF(Glasbewassing!$C27&gt;0,VLOOKUP(Glasbewassing!$C27,$A$8:$B$21,2,FALSE),"Hier vult u de inzet van eventuele hoogwerkers in")</f>
        <v>Hier vult u de inzet van eventuele hoogwerkers in</v>
      </c>
      <c r="E27" s="339"/>
      <c r="F27" s="92">
        <v>2</v>
      </c>
      <c r="G27" s="94">
        <f>IF(C27&gt;0,VLOOKUP(OverzichtGlas[[#This Row],[Code taak]],InvulGlas[],3,0)*E27*F27,0)</f>
        <v>0</v>
      </c>
      <c r="H27" s="94">
        <f>OverzichtGlas[[#This Row],[Kosten/jaar excl. BTW]]*1.21</f>
        <v>0</v>
      </c>
      <c r="I27" s="89"/>
    </row>
    <row r="28" spans="1:9" ht="15" customHeight="1">
      <c r="A28" s="89">
        <v>1</v>
      </c>
      <c r="B28" s="65" t="str">
        <f>VLOOKUP(OverzichtGlas[[#This Row],[Code Locatie]],Samenvattingschoonmaak[[#All],[Code Locatie]:[Locatie]],2,FALSE)</f>
        <v>Hoofdgebouw</v>
      </c>
      <c r="C28" s="339"/>
      <c r="D28" s="91" t="str">
        <f>IF(Glasbewassing!$C28&gt;0,VLOOKUP(Glasbewassing!$C28,$A$8:$B$21,2,FALSE),"Hier vult u de inzet van eventuele hoogwerkers in")</f>
        <v>Hier vult u de inzet van eventuele hoogwerkers in</v>
      </c>
      <c r="E28" s="339"/>
      <c r="F28" s="92">
        <v>2</v>
      </c>
      <c r="G28" s="94">
        <f>IF(C28&gt;0,VLOOKUP(OverzichtGlas[[#This Row],[Code taak]],InvulGlas[],3,0)*E28*F28,0)</f>
        <v>0</v>
      </c>
      <c r="H28" s="94">
        <f>OverzichtGlas[[#This Row],[Kosten/jaar excl. BTW]]*1.21</f>
        <v>0</v>
      </c>
      <c r="I28" s="89"/>
    </row>
    <row r="29" spans="1:9" ht="15" customHeight="1">
      <c r="A29" s="89">
        <v>2</v>
      </c>
      <c r="B29" s="65" t="str">
        <f>VLOOKUP(OverzichtGlas[[#This Row],[Code Locatie]],Samenvattingschoonmaak[[#All],[Code Locatie]:[Locatie]],2,FALSE)</f>
        <v>Paviljoen Nova</v>
      </c>
      <c r="C29" s="89">
        <v>1</v>
      </c>
      <c r="D29" s="91" t="str">
        <f>IF(Glasbewassing!$C29&gt;0,VLOOKUP(Glasbewassing!$C29,$A$8:$B$21,2,FALSE),"Hier vult u de inzet van eventuele hoogwerkers in")</f>
        <v>Gevelglas binnenzijde</v>
      </c>
      <c r="E29" s="179">
        <v>295</v>
      </c>
      <c r="F29" s="92">
        <v>2</v>
      </c>
      <c r="G29" s="94">
        <f>IF(C29&gt;0,VLOOKUP(OverzichtGlas[[#This Row],[Code taak]],InvulGlas[],3,0)*E29*F29,0)</f>
        <v>0</v>
      </c>
      <c r="H29" s="94">
        <f>OverzichtGlas[[#This Row],[Kosten/jaar excl. BTW]]*1.21</f>
        <v>0</v>
      </c>
      <c r="I29" s="89"/>
    </row>
    <row r="30" spans="1:9" ht="15" customHeight="1">
      <c r="A30" s="89">
        <v>2</v>
      </c>
      <c r="B30" s="65" t="str">
        <f>VLOOKUP(OverzichtGlas[[#This Row],[Code Locatie]],Samenvattingschoonmaak[[#All],[Code Locatie]:[Locatie]],2,FALSE)</f>
        <v>Paviljoen Nova</v>
      </c>
      <c r="C30" s="89">
        <v>2</v>
      </c>
      <c r="D30" s="91" t="str">
        <f>IF(Glasbewassing!$C30&gt;0,VLOOKUP(Glasbewassing!$C30,$A$8:$B$21,2,FALSE),"Hier vult u de inzet van eventuele hoogwerkers in")</f>
        <v>Gevelglas buitenzijde</v>
      </c>
      <c r="E30" s="179">
        <v>295</v>
      </c>
      <c r="F30" s="92">
        <v>2</v>
      </c>
      <c r="G30" s="94">
        <f>IF(C30&gt;0,VLOOKUP(OverzichtGlas[[#This Row],[Code taak]],InvulGlas[],3,0)*E30*F30,0)</f>
        <v>0</v>
      </c>
      <c r="H30" s="94">
        <f>OverzichtGlas[[#This Row],[Kosten/jaar excl. BTW]]*1.21</f>
        <v>0</v>
      </c>
      <c r="I30" s="89"/>
    </row>
    <row r="31" spans="1:9" ht="15" customHeight="1">
      <c r="A31" s="89">
        <v>2</v>
      </c>
      <c r="B31" s="65" t="str">
        <f>VLOOKUP(OverzichtGlas[[#This Row],[Code Locatie]],Samenvattingschoonmaak[[#All],[Code Locatie]:[Locatie]],2,FALSE)</f>
        <v>Paviljoen Nova</v>
      </c>
      <c r="C31" s="89">
        <v>3</v>
      </c>
      <c r="D31" s="91" t="str">
        <f>IF(Glasbewassing!$C31&gt;0,VLOOKUP(Glasbewassing!$C31,$A$8:$B$21,2,FALSE),"Hier vult u de inzet van eventuele hoogwerkers in")</f>
        <v>Separatieglas (enkel gemeten, dubbel te wassen)</v>
      </c>
      <c r="E31" s="179">
        <v>26</v>
      </c>
      <c r="F31" s="92">
        <v>2</v>
      </c>
      <c r="G31" s="94">
        <f>IF(C31&gt;0,VLOOKUP(OverzichtGlas[[#This Row],[Code taak]],InvulGlas[],3,0)*E31*F31,0)</f>
        <v>0</v>
      </c>
      <c r="H31" s="94">
        <f>OverzichtGlas[[#This Row],[Kosten/jaar excl. BTW]]*1.21</f>
        <v>0</v>
      </c>
      <c r="I31" s="89"/>
    </row>
    <row r="32" spans="1:9" ht="15" customHeight="1">
      <c r="A32" s="89">
        <v>2</v>
      </c>
      <c r="B32" s="65" t="str">
        <f>VLOOKUP(OverzichtGlas[[#This Row],[Code Locatie]],Samenvattingschoonmaak[[#All],[Code Locatie]:[Locatie]],2,FALSE)</f>
        <v>Paviljoen Nova</v>
      </c>
      <c r="C32" s="339"/>
      <c r="D32" s="91" t="str">
        <f>IF(Glasbewassing!$C32&gt;0,VLOOKUP(Glasbewassing!$C32,$A$8:$B$21,2,FALSE),"Hier vult u de inzet van eventuele hoogwerkers in")</f>
        <v>Hier vult u de inzet van eventuele hoogwerkers in</v>
      </c>
      <c r="E32" s="339"/>
      <c r="F32" s="92">
        <v>2</v>
      </c>
      <c r="G32" s="94">
        <f>IF(C32&gt;0,VLOOKUP(OverzichtGlas[[#This Row],[Code taak]],InvulGlas[],3,0)*E32*F32,0)</f>
        <v>0</v>
      </c>
      <c r="H32" s="94">
        <f>OverzichtGlas[[#This Row],[Kosten/jaar excl. BTW]]*1.21</f>
        <v>0</v>
      </c>
      <c r="I32" s="89"/>
    </row>
    <row r="33" spans="1:9" ht="15" customHeight="1">
      <c r="A33" s="89">
        <v>2</v>
      </c>
      <c r="B33" s="65" t="str">
        <f>VLOOKUP(OverzichtGlas[[#This Row],[Code Locatie]],Samenvattingschoonmaak[[#All],[Code Locatie]:[Locatie]],2,FALSE)</f>
        <v>Paviljoen Nova</v>
      </c>
      <c r="C33" s="339"/>
      <c r="D33" s="91" t="str">
        <f>IF(Glasbewassing!$C33&gt;0,VLOOKUP(Glasbewassing!$C33,$A$8:$B$21,2,FALSE),"Hier vult u de inzet van eventuele hoogwerkers in")</f>
        <v>Hier vult u de inzet van eventuele hoogwerkers in</v>
      </c>
      <c r="E33" s="339"/>
      <c r="F33" s="92">
        <v>2</v>
      </c>
      <c r="G33" s="94">
        <f>IF(C33&gt;0,VLOOKUP(OverzichtGlas[[#This Row],[Code taak]],InvulGlas[],3,0)*E33*F33,0)</f>
        <v>0</v>
      </c>
      <c r="H33" s="94">
        <f>OverzichtGlas[[#This Row],[Kosten/jaar excl. BTW]]*1.21</f>
        <v>0</v>
      </c>
      <c r="I33" s="89"/>
    </row>
    <row r="34" spans="1:9" ht="15" customHeight="1">
      <c r="A34" s="119" t="s">
        <v>33</v>
      </c>
      <c r="B34" s="120"/>
      <c r="C34" s="119"/>
      <c r="D34" s="121"/>
      <c r="E34" s="119"/>
      <c r="F34" s="119"/>
      <c r="G34" s="122">
        <f>SUBTOTAL(109,OverzichtGlas[Kosten/jaar excl. BTW])</f>
        <v>0</v>
      </c>
      <c r="H34" s="122">
        <f>SUBTOTAL(109,OverzichtGlas[Kosten/jaar incl. BTW])</f>
        <v>0</v>
      </c>
      <c r="I34" s="119"/>
    </row>
    <row r="35" spans="1:9" ht="15" customHeight="1">
      <c r="C35" s="22"/>
      <c r="D35" s="20"/>
    </row>
    <row r="36" spans="1:9" ht="15" customHeight="1">
      <c r="C36" s="22"/>
      <c r="D36" s="20"/>
    </row>
    <row r="37" spans="1:9" ht="15" customHeight="1">
      <c r="C37" s="22"/>
      <c r="D37" s="20"/>
    </row>
    <row r="38" spans="1:9" ht="15" customHeight="1">
      <c r="C38" s="22"/>
      <c r="D38" s="20"/>
    </row>
    <row r="39" spans="1:9" ht="15" customHeight="1">
      <c r="C39" s="22"/>
      <c r="D39" s="20"/>
    </row>
    <row r="40" spans="1:9" ht="15" customHeight="1">
      <c r="C40" s="22"/>
      <c r="D40" s="20"/>
    </row>
    <row r="41" spans="1:9" ht="15" customHeight="1">
      <c r="C41" s="22"/>
      <c r="D41" s="20"/>
    </row>
    <row r="42" spans="1:9" ht="15" customHeight="1">
      <c r="C42" s="22"/>
      <c r="D42" s="20"/>
    </row>
    <row r="43" spans="1:9" ht="15" customHeight="1">
      <c r="C43" s="22"/>
      <c r="D43" s="20"/>
    </row>
    <row r="44" spans="1:9" ht="15" customHeight="1">
      <c r="C44" s="22"/>
      <c r="D44" s="20"/>
    </row>
    <row r="45" spans="1:9" ht="15" customHeight="1">
      <c r="C45" s="22"/>
      <c r="D45" s="20"/>
    </row>
    <row r="46" spans="1:9" ht="15" customHeight="1">
      <c r="C46" s="22"/>
      <c r="D46" s="20"/>
    </row>
    <row r="47" spans="1:9" ht="15" customHeight="1">
      <c r="C47" s="22"/>
      <c r="D47" s="20"/>
    </row>
    <row r="48" spans="1:9" ht="15" customHeight="1">
      <c r="C48" s="22"/>
      <c r="D48" s="20"/>
    </row>
    <row r="49" spans="3:4" ht="15" customHeight="1">
      <c r="C49" s="22"/>
      <c r="D49" s="20"/>
    </row>
    <row r="50" spans="3:4" ht="15" customHeight="1">
      <c r="C50" s="22"/>
      <c r="D50" s="20"/>
    </row>
    <row r="51" spans="3:4" ht="15" customHeight="1">
      <c r="C51" s="22"/>
      <c r="D51" s="20"/>
    </row>
    <row r="52" spans="3:4" ht="15" customHeight="1">
      <c r="C52" s="22"/>
      <c r="D52" s="20"/>
    </row>
    <row r="53" spans="3:4" ht="15" customHeight="1">
      <c r="C53" s="22"/>
      <c r="D53" s="20"/>
    </row>
    <row r="54" spans="3:4" ht="15" customHeight="1">
      <c r="C54" s="22"/>
      <c r="D54" s="20"/>
    </row>
    <row r="55" spans="3:4" ht="15" customHeight="1">
      <c r="C55" s="22"/>
      <c r="D55" s="20"/>
    </row>
    <row r="56" spans="3:4" ht="15" customHeight="1">
      <c r="C56" s="22"/>
      <c r="D56" s="20"/>
    </row>
    <row r="57" spans="3:4" ht="15" customHeight="1">
      <c r="C57" s="22"/>
      <c r="D57" s="20"/>
    </row>
    <row r="58" spans="3:4" ht="15" customHeight="1">
      <c r="C58" s="22"/>
      <c r="D58" s="20"/>
    </row>
    <row r="59" spans="3:4" ht="15" customHeight="1">
      <c r="C59" s="22"/>
      <c r="D59" s="20"/>
    </row>
    <row r="60" spans="3:4" ht="15" customHeight="1">
      <c r="C60" s="22"/>
      <c r="D60" s="20"/>
    </row>
    <row r="61" spans="3:4" ht="15" customHeight="1">
      <c r="C61" s="22"/>
      <c r="D61" s="20"/>
    </row>
    <row r="62" spans="3:4" ht="15" customHeight="1">
      <c r="C62" s="22"/>
      <c r="D62" s="20"/>
    </row>
    <row r="63" spans="3:4" ht="15" customHeight="1">
      <c r="C63" s="22"/>
      <c r="D63" s="20"/>
    </row>
    <row r="64" spans="3:4" ht="15" customHeight="1">
      <c r="C64" s="22"/>
      <c r="D64" s="20"/>
    </row>
    <row r="65" spans="3:4" ht="15" customHeight="1">
      <c r="C65" s="22"/>
      <c r="D65" s="20"/>
    </row>
    <row r="66" spans="3:4" ht="15" customHeight="1">
      <c r="C66" s="22"/>
      <c r="D66" s="20"/>
    </row>
    <row r="67" spans="3:4" ht="15" customHeight="1">
      <c r="C67" s="22"/>
      <c r="D67" s="20"/>
    </row>
    <row r="68" spans="3:4" ht="15" customHeight="1">
      <c r="C68" s="22"/>
      <c r="D68" s="20"/>
    </row>
    <row r="69" spans="3:4" ht="15" customHeight="1">
      <c r="C69" s="22"/>
      <c r="D69" s="20"/>
    </row>
    <row r="70" spans="3:4" ht="15" customHeight="1">
      <c r="C70" s="22"/>
      <c r="D70" s="20"/>
    </row>
    <row r="71" spans="3:4" ht="15" customHeight="1">
      <c r="C71" s="22"/>
      <c r="D71" s="20"/>
    </row>
    <row r="72" spans="3:4" ht="15" customHeight="1">
      <c r="C72" s="22"/>
      <c r="D72" s="20"/>
    </row>
    <row r="73" spans="3:4" ht="15" customHeight="1">
      <c r="C73" s="22"/>
      <c r="D73" s="20"/>
    </row>
    <row r="74" spans="3:4" ht="15" customHeight="1">
      <c r="C74" s="22"/>
      <c r="D74" s="20"/>
    </row>
    <row r="75" spans="3:4" ht="15" customHeight="1">
      <c r="C75" s="22"/>
      <c r="D75" s="20"/>
    </row>
    <row r="76" spans="3:4" ht="15" customHeight="1">
      <c r="C76" s="22"/>
      <c r="D76" s="20"/>
    </row>
    <row r="77" spans="3:4" ht="15" customHeight="1">
      <c r="C77" s="22"/>
      <c r="D77" s="20"/>
    </row>
    <row r="78" spans="3:4" ht="15" customHeight="1">
      <c r="C78" s="22"/>
      <c r="D78" s="20"/>
    </row>
    <row r="79" spans="3:4" ht="15" customHeight="1">
      <c r="C79" s="22"/>
      <c r="D79" s="20"/>
    </row>
    <row r="80" spans="3:4" ht="15" customHeight="1">
      <c r="C80" s="22"/>
      <c r="D80" s="20"/>
    </row>
    <row r="81" spans="3:4" ht="15" customHeight="1">
      <c r="C81" s="22"/>
      <c r="D81" s="20"/>
    </row>
    <row r="82" spans="3:4" ht="15" customHeight="1">
      <c r="C82" s="22"/>
      <c r="D82" s="20"/>
    </row>
    <row r="83" spans="3:4" ht="15" customHeight="1">
      <c r="C83" s="22"/>
      <c r="D83" s="20"/>
    </row>
    <row r="84" spans="3:4" ht="15" customHeight="1">
      <c r="C84" s="22"/>
      <c r="D84" s="20"/>
    </row>
    <row r="85" spans="3:4" ht="15" customHeight="1">
      <c r="C85" s="22"/>
      <c r="D85" s="20"/>
    </row>
    <row r="86" spans="3:4" ht="15" customHeight="1">
      <c r="C86" s="22"/>
      <c r="D86" s="20"/>
    </row>
    <row r="87" spans="3:4" ht="15" customHeight="1">
      <c r="C87" s="22"/>
      <c r="D87" s="20"/>
    </row>
    <row r="88" spans="3:4" ht="15" customHeight="1">
      <c r="C88" s="22"/>
      <c r="D88" s="20"/>
    </row>
  </sheetData>
  <sheetProtection algorithmName="SHA-512" hashValue="90LkStoTaIhvRkaDq+vZoWSci1HvJHtGvBqniLFunR4N3L8QLqY9M13l9c9C1j2yoZ2jP2v/bPYOyMS0FL0yUw==" saltValue="HxcU+G8xK6irrusT3mBCEA==" spinCount="100000" sheet="1" objects="1" scenarios="1" sort="0" autoFilter="0"/>
  <mergeCells count="3">
    <mergeCell ref="A1:G1"/>
    <mergeCell ref="E7:I7"/>
    <mergeCell ref="A2:H2"/>
  </mergeCells>
  <pageMargins left="0.7" right="0.7" top="0.75" bottom="0.75" header="0.3" footer="0.3"/>
  <pageSetup paperSize="9" scale="41" orientation="portrait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pageSetUpPr fitToPage="1"/>
  </sheetPr>
  <dimension ref="A1:I82"/>
  <sheetViews>
    <sheetView view="pageBreakPreview" topLeftCell="A18" zoomScaleNormal="100" zoomScaleSheetLayoutView="100" workbookViewId="0">
      <selection activeCell="D29" sqref="D29"/>
    </sheetView>
  </sheetViews>
  <sheetFormatPr defaultColWidth="9.140625" defaultRowHeight="18.75" customHeight="1"/>
  <cols>
    <col min="1" max="1" width="9.140625" style="133"/>
    <col min="2" max="2" width="85.5703125" style="54" bestFit="1" customWidth="1"/>
    <col min="3" max="3" width="23.42578125" style="54" customWidth="1"/>
    <col min="4" max="4" width="15.140625" style="54" customWidth="1"/>
    <col min="5" max="9" width="17.7109375" style="54" bestFit="1" customWidth="1"/>
    <col min="10" max="16384" width="9.140625" style="54"/>
  </cols>
  <sheetData>
    <row r="1" spans="1:9" s="19" customFormat="1" ht="26.25" customHeight="1">
      <c r="A1" s="190" t="s">
        <v>180</v>
      </c>
      <c r="B1" s="190"/>
      <c r="C1" s="190"/>
      <c r="D1" s="190"/>
    </row>
    <row r="2" spans="1:9" s="19" customFormat="1" ht="18.75" customHeight="1">
      <c r="A2" s="203" t="s">
        <v>214</v>
      </c>
      <c r="B2" s="189"/>
      <c r="C2" s="189"/>
      <c r="D2" s="189"/>
    </row>
    <row r="3" spans="1:9" s="27" customFormat="1" ht="18.75" customHeight="1">
      <c r="A3" s="124"/>
    </row>
    <row r="4" spans="1:9" s="27" customFormat="1" ht="18.75" customHeight="1">
      <c r="A4" s="27" t="s">
        <v>179</v>
      </c>
    </row>
    <row r="5" spans="1:9" s="27" customFormat="1" ht="18.75" customHeight="1">
      <c r="A5" s="27" t="s">
        <v>181</v>
      </c>
    </row>
    <row r="6" spans="1:9" s="27" customFormat="1" ht="18.75" customHeight="1">
      <c r="A6" s="27" t="s">
        <v>226</v>
      </c>
    </row>
    <row r="7" spans="1:9" s="27" customFormat="1" ht="18.75" customHeight="1">
      <c r="A7" s="124"/>
    </row>
    <row r="8" spans="1:9" s="45" customFormat="1" ht="26.25" customHeight="1">
      <c r="A8" s="125"/>
      <c r="B8" s="64" t="s">
        <v>182</v>
      </c>
      <c r="C8" s="64" t="s">
        <v>153</v>
      </c>
      <c r="D8" s="51" t="s">
        <v>178</v>
      </c>
      <c r="E8" s="76" t="s">
        <v>258</v>
      </c>
      <c r="F8" s="76" t="s">
        <v>458</v>
      </c>
      <c r="G8" s="76" t="s">
        <v>464</v>
      </c>
      <c r="H8" s="76" t="s">
        <v>463</v>
      </c>
      <c r="I8" s="76" t="s">
        <v>709</v>
      </c>
    </row>
    <row r="9" spans="1:9" ht="18.75" customHeight="1">
      <c r="A9" s="200" t="s">
        <v>197</v>
      </c>
      <c r="B9" s="126" t="s">
        <v>184</v>
      </c>
      <c r="C9" s="126" t="s">
        <v>183</v>
      </c>
      <c r="D9" s="340">
        <v>0</v>
      </c>
      <c r="E9" s="127" t="e">
        <f>InvulRegie[[#This Row],[Prijs excl. BTW]]*Tariefsopbouw!$I$37+InvulRegie[[#This Row],[Prijs excl. BTW]]</f>
        <v>#DIV/0!</v>
      </c>
      <c r="F9" s="128" t="e">
        <f>InvulRegie[[#This Row],[2028]]*Tariefsopbouw!$K$37+InvulRegie[[#This Row],[2028]]</f>
        <v>#DIV/0!</v>
      </c>
      <c r="G9" s="128" t="e">
        <f>InvulRegie[[#This Row],[2029]]*Tariefsopbouw!$M$37+InvulRegie[[#This Row],[2029]]</f>
        <v>#DIV/0!</v>
      </c>
      <c r="H9" s="128" t="e">
        <f>InvulRegie[[#This Row],[2030]]*Tariefsopbouw!$O$37+InvulRegie[[#This Row],[2030]]</f>
        <v>#DIV/0!</v>
      </c>
      <c r="I9" s="128" t="e">
        <f>InvulRegie[[#This Row],[2031]]*Tariefsopbouw!$Q$37+InvulRegie[[#This Row],[2031]]</f>
        <v>#DIV/0!</v>
      </c>
    </row>
    <row r="10" spans="1:9" ht="18.75" customHeight="1">
      <c r="A10" s="201"/>
      <c r="B10" s="126" t="s">
        <v>185</v>
      </c>
      <c r="C10" s="126" t="s">
        <v>183</v>
      </c>
      <c r="D10" s="340">
        <v>0</v>
      </c>
      <c r="E10" s="127" t="e">
        <f>InvulRegie[[#This Row],[Prijs excl. BTW]]*Tariefsopbouw!$I$37+InvulRegie[[#This Row],[Prijs excl. BTW]]</f>
        <v>#DIV/0!</v>
      </c>
      <c r="F10" s="127" t="e">
        <f>InvulRegie[[#This Row],[2028]]*Tariefsopbouw!$K$37+InvulRegie[[#This Row],[2028]]</f>
        <v>#DIV/0!</v>
      </c>
      <c r="G10" s="127" t="e">
        <f>InvulRegie[[#This Row],[2029]]*Tariefsopbouw!$M$37+InvulRegie[[#This Row],[2029]]</f>
        <v>#DIV/0!</v>
      </c>
      <c r="H10" s="127" t="e">
        <f>InvulRegie[[#This Row],[2030]]*Tariefsopbouw!$O$37+InvulRegie[[#This Row],[2030]]</f>
        <v>#DIV/0!</v>
      </c>
      <c r="I10" s="127" t="e">
        <f>InvulRegie[[#This Row],[2031]]*Tariefsopbouw!$Q$37+InvulRegie[[#This Row],[2031]]</f>
        <v>#DIV/0!</v>
      </c>
    </row>
    <row r="11" spans="1:9" ht="18.75" customHeight="1">
      <c r="A11" s="201"/>
      <c r="B11" s="126" t="s">
        <v>186</v>
      </c>
      <c r="C11" s="126" t="s">
        <v>183</v>
      </c>
      <c r="D11" s="340">
        <v>0</v>
      </c>
      <c r="E11" s="127" t="e">
        <f>InvulRegie[[#This Row],[Prijs excl. BTW]]*Tariefsopbouw!$I$37+InvulRegie[[#This Row],[Prijs excl. BTW]]</f>
        <v>#DIV/0!</v>
      </c>
      <c r="F11" s="127" t="e">
        <f>InvulRegie[[#This Row],[2028]]*Tariefsopbouw!$K$37+InvulRegie[[#This Row],[2028]]</f>
        <v>#DIV/0!</v>
      </c>
      <c r="G11" s="127" t="e">
        <f>InvulRegie[[#This Row],[2029]]*Tariefsopbouw!$M$37+InvulRegie[[#This Row],[2029]]</f>
        <v>#DIV/0!</v>
      </c>
      <c r="H11" s="127" t="e">
        <f>InvulRegie[[#This Row],[2030]]*Tariefsopbouw!$O$37+InvulRegie[[#This Row],[2030]]</f>
        <v>#DIV/0!</v>
      </c>
      <c r="I11" s="127" t="e">
        <f>InvulRegie[[#This Row],[2031]]*Tariefsopbouw!$Q$37+InvulRegie[[#This Row],[2031]]</f>
        <v>#DIV/0!</v>
      </c>
    </row>
    <row r="12" spans="1:9" ht="18.75" customHeight="1">
      <c r="A12" s="201"/>
      <c r="B12" s="65" t="s">
        <v>187</v>
      </c>
      <c r="C12" s="126" t="s">
        <v>183</v>
      </c>
      <c r="D12" s="340">
        <v>0</v>
      </c>
      <c r="E12" s="127" t="e">
        <f>InvulRegie[[#This Row],[Prijs excl. BTW]]*Tariefsopbouw!$I$37+InvulRegie[[#This Row],[Prijs excl. BTW]]</f>
        <v>#DIV/0!</v>
      </c>
      <c r="F12" s="127" t="e">
        <f>InvulRegie[[#This Row],[2028]]*Tariefsopbouw!$K$37+InvulRegie[[#This Row],[2028]]</f>
        <v>#DIV/0!</v>
      </c>
      <c r="G12" s="127" t="e">
        <f>InvulRegie[[#This Row],[2029]]*Tariefsopbouw!$M$37+InvulRegie[[#This Row],[2029]]</f>
        <v>#DIV/0!</v>
      </c>
      <c r="H12" s="127" t="e">
        <f>InvulRegie[[#This Row],[2030]]*Tariefsopbouw!$O$37+InvulRegie[[#This Row],[2030]]</f>
        <v>#DIV/0!</v>
      </c>
      <c r="I12" s="127" t="e">
        <f>InvulRegie[[#This Row],[2031]]*Tariefsopbouw!$Q$37+InvulRegie[[#This Row],[2031]]</f>
        <v>#DIV/0!</v>
      </c>
    </row>
    <row r="13" spans="1:9" ht="18.75" customHeight="1">
      <c r="A13" s="201"/>
      <c r="B13" s="65" t="s">
        <v>720</v>
      </c>
      <c r="C13" s="126" t="s">
        <v>183</v>
      </c>
      <c r="D13" s="340">
        <v>0</v>
      </c>
      <c r="E13" s="129" t="e">
        <f>InvulRegie[[#This Row],[Prijs excl. BTW]]*Tariefsopbouw!$I$37+InvulRegie[[#This Row],[Prijs excl. BTW]]</f>
        <v>#DIV/0!</v>
      </c>
      <c r="F13" s="129" t="e">
        <f>InvulRegie[[#This Row],[2028]]*Tariefsopbouw!$K$37+InvulRegie[[#This Row],[2028]]</f>
        <v>#DIV/0!</v>
      </c>
      <c r="G13" s="129" t="e">
        <f>InvulRegie[[#This Row],[2029]]*Tariefsopbouw!$M$37+InvulRegie[[#This Row],[2029]]</f>
        <v>#DIV/0!</v>
      </c>
      <c r="H13" s="129" t="e">
        <f>InvulRegie[[#This Row],[2030]]*Tariefsopbouw!$O$37+InvulRegie[[#This Row],[2030]]</f>
        <v>#DIV/0!</v>
      </c>
      <c r="I13" s="129" t="e">
        <f>InvulRegie[[#This Row],[2031]]*Tariefsopbouw!$Q$37+InvulRegie[[#This Row],[2031]]</f>
        <v>#DIV/0!</v>
      </c>
    </row>
    <row r="14" spans="1:9" ht="18.75" customHeight="1">
      <c r="A14" s="202"/>
      <c r="B14" s="126" t="s">
        <v>193</v>
      </c>
      <c r="C14" s="126" t="s">
        <v>183</v>
      </c>
      <c r="D14" s="340">
        <v>0</v>
      </c>
      <c r="E14" s="129" t="e">
        <f>InvulRegie[[#This Row],[Prijs excl. BTW]]*Tariefsopbouw!$I$37+InvulRegie[[#This Row],[Prijs excl. BTW]]</f>
        <v>#DIV/0!</v>
      </c>
      <c r="F14" s="129" t="e">
        <f>InvulRegie[[#This Row],[2028]]*Tariefsopbouw!$K$37+InvulRegie[[#This Row],[2028]]</f>
        <v>#DIV/0!</v>
      </c>
      <c r="G14" s="129" t="e">
        <f>InvulRegie[[#This Row],[2029]]*Tariefsopbouw!$M$37+InvulRegie[[#This Row],[2029]]</f>
        <v>#DIV/0!</v>
      </c>
      <c r="H14" s="129" t="e">
        <f>InvulRegie[[#This Row],[2030]]*Tariefsopbouw!$O$37+InvulRegie[[#This Row],[2030]]</f>
        <v>#DIV/0!</v>
      </c>
      <c r="I14" s="129" t="e">
        <f>InvulRegie[[#This Row],[2031]]*Tariefsopbouw!$Q$37+InvulRegie[[#This Row],[2031]]</f>
        <v>#DIV/0!</v>
      </c>
    </row>
    <row r="15" spans="1:9" ht="18.75" customHeight="1">
      <c r="A15" s="200" t="s">
        <v>136</v>
      </c>
      <c r="B15" s="126" t="s">
        <v>43</v>
      </c>
      <c r="C15" s="126" t="s">
        <v>44</v>
      </c>
      <c r="D15" s="340">
        <v>0</v>
      </c>
      <c r="E15" s="129" t="e">
        <f>InvulRegie[[#This Row],[Prijs excl. BTW]]*Tariefsopbouw!$I$37+InvulRegie[[#This Row],[Prijs excl. BTW]]</f>
        <v>#DIV/0!</v>
      </c>
      <c r="F15" s="129" t="e">
        <f>InvulRegie[[#This Row],[2028]]*Tariefsopbouw!$K$37+InvulRegie[[#This Row],[2028]]</f>
        <v>#DIV/0!</v>
      </c>
      <c r="G15" s="129" t="e">
        <f>InvulRegie[[#This Row],[2029]]*Tariefsopbouw!$M$37+InvulRegie[[#This Row],[2029]]</f>
        <v>#DIV/0!</v>
      </c>
      <c r="H15" s="129" t="e">
        <f>InvulRegie[[#This Row],[2030]]*Tariefsopbouw!$O$37+InvulRegie[[#This Row],[2030]]</f>
        <v>#DIV/0!</v>
      </c>
      <c r="I15" s="129" t="e">
        <f>InvulRegie[[#This Row],[2031]]*Tariefsopbouw!$Q$37+InvulRegie[[#This Row],[2031]]</f>
        <v>#DIV/0!</v>
      </c>
    </row>
    <row r="16" spans="1:9" ht="18.75" customHeight="1">
      <c r="A16" s="201"/>
      <c r="B16" s="126" t="s">
        <v>45</v>
      </c>
      <c r="C16" s="126" t="s">
        <v>188</v>
      </c>
      <c r="D16" s="340">
        <v>0</v>
      </c>
      <c r="E16" s="129" t="e">
        <f>InvulRegie[[#This Row],[Prijs excl. BTW]]*Tariefsopbouw!$I$37+InvulRegie[[#This Row],[Prijs excl. BTW]]</f>
        <v>#DIV/0!</v>
      </c>
      <c r="F16" s="129" t="e">
        <f>InvulRegie[[#This Row],[2028]]*Tariefsopbouw!$K$37+InvulRegie[[#This Row],[2028]]</f>
        <v>#DIV/0!</v>
      </c>
      <c r="G16" s="129" t="e">
        <f>InvulRegie[[#This Row],[2029]]*Tariefsopbouw!$M$37+InvulRegie[[#This Row],[2029]]</f>
        <v>#DIV/0!</v>
      </c>
      <c r="H16" s="129" t="e">
        <f>InvulRegie[[#This Row],[2030]]*Tariefsopbouw!$O$37+InvulRegie[[#This Row],[2030]]</f>
        <v>#DIV/0!</v>
      </c>
      <c r="I16" s="129" t="e">
        <f>InvulRegie[[#This Row],[2031]]*Tariefsopbouw!$Q$37+InvulRegie[[#This Row],[2031]]</f>
        <v>#DIV/0!</v>
      </c>
    </row>
    <row r="17" spans="1:9" ht="18.75" customHeight="1">
      <c r="A17" s="201"/>
      <c r="B17" s="126" t="s">
        <v>189</v>
      </c>
      <c r="C17" s="126" t="s">
        <v>188</v>
      </c>
      <c r="D17" s="340">
        <v>0</v>
      </c>
      <c r="E17" s="129" t="e">
        <f>InvulRegie[[#This Row],[Prijs excl. BTW]]*Tariefsopbouw!$I$37+InvulRegie[[#This Row],[Prijs excl. BTW]]</f>
        <v>#DIV/0!</v>
      </c>
      <c r="F17" s="129" t="e">
        <f>InvulRegie[[#This Row],[2028]]*Tariefsopbouw!$K$37+InvulRegie[[#This Row],[2028]]</f>
        <v>#DIV/0!</v>
      </c>
      <c r="G17" s="129" t="e">
        <f>InvulRegie[[#This Row],[2029]]*Tariefsopbouw!$M$37+InvulRegie[[#This Row],[2029]]</f>
        <v>#DIV/0!</v>
      </c>
      <c r="H17" s="129" t="e">
        <f>InvulRegie[[#This Row],[2030]]*Tariefsopbouw!$O$37+InvulRegie[[#This Row],[2030]]</f>
        <v>#DIV/0!</v>
      </c>
      <c r="I17" s="129" t="e">
        <f>InvulRegie[[#This Row],[2031]]*Tariefsopbouw!$Q$37+InvulRegie[[#This Row],[2031]]</f>
        <v>#DIV/0!</v>
      </c>
    </row>
    <row r="18" spans="1:9" ht="18.75" customHeight="1">
      <c r="A18" s="201"/>
      <c r="B18" s="126" t="s">
        <v>190</v>
      </c>
      <c r="C18" s="126" t="s">
        <v>46</v>
      </c>
      <c r="D18" s="340">
        <v>0</v>
      </c>
      <c r="E18" s="129" t="e">
        <f>InvulRegie[[#This Row],[Prijs excl. BTW]]*Tariefsopbouw!$I$37+InvulRegie[[#This Row],[Prijs excl. BTW]]</f>
        <v>#DIV/0!</v>
      </c>
      <c r="F18" s="129" t="e">
        <f>InvulRegie[[#This Row],[2028]]*Tariefsopbouw!$K$37+InvulRegie[[#This Row],[2028]]</f>
        <v>#DIV/0!</v>
      </c>
      <c r="G18" s="129" t="e">
        <f>InvulRegie[[#This Row],[2029]]*Tariefsopbouw!$M$37+InvulRegie[[#This Row],[2029]]</f>
        <v>#DIV/0!</v>
      </c>
      <c r="H18" s="129" t="e">
        <f>InvulRegie[[#This Row],[2030]]*Tariefsopbouw!$O$37+InvulRegie[[#This Row],[2030]]</f>
        <v>#DIV/0!</v>
      </c>
      <c r="I18" s="129" t="e">
        <f>InvulRegie[[#This Row],[2031]]*Tariefsopbouw!$Q$37+InvulRegie[[#This Row],[2031]]</f>
        <v>#DIV/0!</v>
      </c>
    </row>
    <row r="19" spans="1:9" ht="18.75" customHeight="1">
      <c r="A19" s="201"/>
      <c r="B19" s="126" t="s">
        <v>249</v>
      </c>
      <c r="C19" s="126" t="s">
        <v>46</v>
      </c>
      <c r="D19" s="340">
        <v>0</v>
      </c>
      <c r="E19" s="129" t="e">
        <f>InvulRegie[[#This Row],[Prijs excl. BTW]]*Tariefsopbouw!$I$37+InvulRegie[[#This Row],[Prijs excl. BTW]]</f>
        <v>#DIV/0!</v>
      </c>
      <c r="F19" s="129" t="e">
        <f>InvulRegie[[#This Row],[2028]]*Tariefsopbouw!$K$37+InvulRegie[[#This Row],[2028]]</f>
        <v>#DIV/0!</v>
      </c>
      <c r="G19" s="129" t="e">
        <f>InvulRegie[[#This Row],[2029]]*Tariefsopbouw!$M$37+InvulRegie[[#This Row],[2029]]</f>
        <v>#DIV/0!</v>
      </c>
      <c r="H19" s="129" t="e">
        <f>InvulRegie[[#This Row],[2030]]*Tariefsopbouw!$O$37+InvulRegie[[#This Row],[2030]]</f>
        <v>#DIV/0!</v>
      </c>
      <c r="I19" s="129" t="e">
        <f>InvulRegie[[#This Row],[2031]]*Tariefsopbouw!$Q$37+InvulRegie[[#This Row],[2031]]</f>
        <v>#DIV/0!</v>
      </c>
    </row>
    <row r="20" spans="1:9" ht="18.75" customHeight="1">
      <c r="A20" s="201"/>
      <c r="B20" s="126" t="s">
        <v>191</v>
      </c>
      <c r="C20" s="126" t="s">
        <v>46</v>
      </c>
      <c r="D20" s="340">
        <v>0</v>
      </c>
      <c r="E20" s="129" t="e">
        <f>InvulRegie[[#This Row],[Prijs excl. BTW]]*Tariefsopbouw!$I$37+InvulRegie[[#This Row],[Prijs excl. BTW]]</f>
        <v>#DIV/0!</v>
      </c>
      <c r="F20" s="129" t="e">
        <f>InvulRegie[[#This Row],[2028]]*Tariefsopbouw!$K$37+InvulRegie[[#This Row],[2028]]</f>
        <v>#DIV/0!</v>
      </c>
      <c r="G20" s="129" t="e">
        <f>InvulRegie[[#This Row],[2029]]*Tariefsopbouw!$M$37+InvulRegie[[#This Row],[2029]]</f>
        <v>#DIV/0!</v>
      </c>
      <c r="H20" s="129" t="e">
        <f>InvulRegie[[#This Row],[2030]]*Tariefsopbouw!$O$37+InvulRegie[[#This Row],[2030]]</f>
        <v>#DIV/0!</v>
      </c>
      <c r="I20" s="129" t="e">
        <f>InvulRegie[[#This Row],[2031]]*Tariefsopbouw!$Q$37+InvulRegie[[#This Row],[2031]]</f>
        <v>#DIV/0!</v>
      </c>
    </row>
    <row r="21" spans="1:9" ht="18.75" customHeight="1">
      <c r="A21" s="202"/>
      <c r="B21" s="126" t="s">
        <v>192</v>
      </c>
      <c r="C21" s="126" t="s">
        <v>46</v>
      </c>
      <c r="D21" s="340">
        <v>0</v>
      </c>
      <c r="E21" s="129" t="e">
        <f>InvulRegie[[#This Row],[Prijs excl. BTW]]*Tariefsopbouw!$I$37+InvulRegie[[#This Row],[Prijs excl. BTW]]</f>
        <v>#DIV/0!</v>
      </c>
      <c r="F21" s="129" t="e">
        <f>InvulRegie[[#This Row],[2028]]*Tariefsopbouw!$K$37+InvulRegie[[#This Row],[2028]]</f>
        <v>#DIV/0!</v>
      </c>
      <c r="G21" s="129" t="e">
        <f>InvulRegie[[#This Row],[2029]]*Tariefsopbouw!$M$37+InvulRegie[[#This Row],[2029]]</f>
        <v>#DIV/0!</v>
      </c>
      <c r="H21" s="129" t="e">
        <f>InvulRegie[[#This Row],[2030]]*Tariefsopbouw!$O$37+InvulRegie[[#This Row],[2030]]</f>
        <v>#DIV/0!</v>
      </c>
      <c r="I21" s="129" t="e">
        <f>InvulRegie[[#This Row],[2031]]*Tariefsopbouw!$Q$37+InvulRegie[[#This Row],[2031]]</f>
        <v>#DIV/0!</v>
      </c>
    </row>
    <row r="22" spans="1:9" ht="18.75" customHeight="1">
      <c r="A22" s="200" t="s">
        <v>195</v>
      </c>
      <c r="B22" s="126" t="s">
        <v>59</v>
      </c>
      <c r="C22" s="126" t="s">
        <v>51</v>
      </c>
      <c r="D22" s="340">
        <v>0</v>
      </c>
      <c r="E22" s="129" t="e">
        <f>InvulRegie[[#This Row],[Prijs excl. BTW]]*Tariefsopbouw!$I$37+InvulRegie[[#This Row],[Prijs excl. BTW]]</f>
        <v>#DIV/0!</v>
      </c>
      <c r="F22" s="129" t="e">
        <f>InvulRegie[[#This Row],[2028]]*Tariefsopbouw!$K$37+InvulRegie[[#This Row],[2028]]</f>
        <v>#DIV/0!</v>
      </c>
      <c r="G22" s="129" t="e">
        <f>InvulRegie[[#This Row],[2029]]*Tariefsopbouw!$M$37+InvulRegie[[#This Row],[2029]]</f>
        <v>#DIV/0!</v>
      </c>
      <c r="H22" s="129" t="e">
        <f>InvulRegie[[#This Row],[2030]]*Tariefsopbouw!$O$37+InvulRegie[[#This Row],[2030]]</f>
        <v>#DIV/0!</v>
      </c>
      <c r="I22" s="129" t="e">
        <f>InvulRegie[[#This Row],[2031]]*Tariefsopbouw!$Q$37+InvulRegie[[#This Row],[2031]]</f>
        <v>#DIV/0!</v>
      </c>
    </row>
    <row r="23" spans="1:9" ht="18.75" customHeight="1">
      <c r="A23" s="202"/>
      <c r="B23" s="126" t="s">
        <v>47</v>
      </c>
      <c r="C23" s="126" t="s">
        <v>470</v>
      </c>
      <c r="D23" s="340">
        <v>0</v>
      </c>
      <c r="E23" s="129" t="e">
        <f>InvulRegie[[#This Row],[Prijs excl. BTW]]*Tariefsopbouw!$I$37+InvulRegie[[#This Row],[Prijs excl. BTW]]</f>
        <v>#DIV/0!</v>
      </c>
      <c r="F23" s="129" t="e">
        <f>InvulRegie[[#This Row],[2028]]*Tariefsopbouw!$K$37+InvulRegie[[#This Row],[2028]]</f>
        <v>#DIV/0!</v>
      </c>
      <c r="G23" s="129" t="e">
        <f>InvulRegie[[#This Row],[2029]]*Tariefsopbouw!$M$37+InvulRegie[[#This Row],[2029]]</f>
        <v>#DIV/0!</v>
      </c>
      <c r="H23" s="129" t="e">
        <f>InvulRegie[[#This Row],[2030]]*Tariefsopbouw!$O$37+InvulRegie[[#This Row],[2030]]</f>
        <v>#DIV/0!</v>
      </c>
      <c r="I23" s="129" t="e">
        <f>InvulRegie[[#This Row],[2031]]*Tariefsopbouw!$Q$37+InvulRegie[[#This Row],[2031]]</f>
        <v>#DIV/0!</v>
      </c>
    </row>
    <row r="24" spans="1:9" ht="18.75" customHeight="1">
      <c r="A24" s="200" t="s">
        <v>205</v>
      </c>
      <c r="B24" s="126" t="s">
        <v>196</v>
      </c>
      <c r="C24" s="126" t="s">
        <v>471</v>
      </c>
      <c r="D24" s="340">
        <v>0</v>
      </c>
      <c r="E24" s="129" t="e">
        <f>InvulRegie[[#This Row],[Prijs excl. BTW]]*Tariefsopbouw!$I$37+InvulRegie[[#This Row],[Prijs excl. BTW]]</f>
        <v>#DIV/0!</v>
      </c>
      <c r="F24" s="129" t="e">
        <f>InvulRegie[[#This Row],[2028]]*Tariefsopbouw!$K$37+InvulRegie[[#This Row],[2028]]</f>
        <v>#DIV/0!</v>
      </c>
      <c r="G24" s="129" t="e">
        <f>InvulRegie[[#This Row],[2029]]*Tariefsopbouw!$M$37+InvulRegie[[#This Row],[2029]]</f>
        <v>#DIV/0!</v>
      </c>
      <c r="H24" s="129" t="e">
        <f>InvulRegie[[#This Row],[2030]]*Tariefsopbouw!$O$37+InvulRegie[[#This Row],[2030]]</f>
        <v>#DIV/0!</v>
      </c>
      <c r="I24" s="129" t="e">
        <f>InvulRegie[[#This Row],[2031]]*Tariefsopbouw!$Q$37+InvulRegie[[#This Row],[2031]]</f>
        <v>#DIV/0!</v>
      </c>
    </row>
    <row r="25" spans="1:9" ht="18.75" customHeight="1">
      <c r="A25" s="201"/>
      <c r="B25" s="126" t="s">
        <v>242</v>
      </c>
      <c r="C25" s="126" t="s">
        <v>471</v>
      </c>
      <c r="D25" s="340">
        <v>0</v>
      </c>
      <c r="E25" s="129" t="e">
        <f>InvulRegie[[#This Row],[Prijs excl. BTW]]*Tariefsopbouw!$I$37+InvulRegie[[#This Row],[Prijs excl. BTW]]</f>
        <v>#DIV/0!</v>
      </c>
      <c r="F25" s="129" t="e">
        <f>InvulRegie[[#This Row],[2028]]*Tariefsopbouw!$K$37+InvulRegie[[#This Row],[2028]]</f>
        <v>#DIV/0!</v>
      </c>
      <c r="G25" s="129" t="e">
        <f>InvulRegie[[#This Row],[2029]]*Tariefsopbouw!$M$37+InvulRegie[[#This Row],[2029]]</f>
        <v>#DIV/0!</v>
      </c>
      <c r="H25" s="129" t="e">
        <f>InvulRegie[[#This Row],[2030]]*Tariefsopbouw!$O$37+InvulRegie[[#This Row],[2030]]</f>
        <v>#DIV/0!</v>
      </c>
      <c r="I25" s="129" t="e">
        <f>InvulRegie[[#This Row],[2031]]*Tariefsopbouw!$Q$37+InvulRegie[[#This Row],[2031]]</f>
        <v>#DIV/0!</v>
      </c>
    </row>
    <row r="26" spans="1:9" ht="18.75" customHeight="1">
      <c r="A26" s="201"/>
      <c r="B26" s="126" t="s">
        <v>244</v>
      </c>
      <c r="C26" s="126" t="s">
        <v>471</v>
      </c>
      <c r="D26" s="340">
        <v>0</v>
      </c>
      <c r="E26" s="129" t="e">
        <f>InvulRegie[[#This Row],[Prijs excl. BTW]]*Tariefsopbouw!$I$37+InvulRegie[[#This Row],[Prijs excl. BTW]]</f>
        <v>#DIV/0!</v>
      </c>
      <c r="F26" s="129" t="e">
        <f>InvulRegie[[#This Row],[2028]]*Tariefsopbouw!$K$37+InvulRegie[[#This Row],[2028]]</f>
        <v>#DIV/0!</v>
      </c>
      <c r="G26" s="129" t="e">
        <f>InvulRegie[[#This Row],[2029]]*Tariefsopbouw!$M$37+InvulRegie[[#This Row],[2029]]</f>
        <v>#DIV/0!</v>
      </c>
      <c r="H26" s="129" t="e">
        <f>InvulRegie[[#This Row],[2030]]*Tariefsopbouw!$O$37+InvulRegie[[#This Row],[2030]]</f>
        <v>#DIV/0!</v>
      </c>
      <c r="I26" s="129" t="e">
        <f>InvulRegie[[#This Row],[2031]]*Tariefsopbouw!$Q$37+InvulRegie[[#This Row],[2031]]</f>
        <v>#DIV/0!</v>
      </c>
    </row>
    <row r="27" spans="1:9" ht="18.75" customHeight="1">
      <c r="A27" s="201"/>
      <c r="B27" s="126" t="s">
        <v>243</v>
      </c>
      <c r="C27" s="126" t="s">
        <v>471</v>
      </c>
      <c r="D27" s="340">
        <v>0</v>
      </c>
      <c r="E27" s="129" t="e">
        <f>InvulRegie[[#This Row],[Prijs excl. BTW]]*Tariefsopbouw!$I$37+InvulRegie[[#This Row],[Prijs excl. BTW]]</f>
        <v>#DIV/0!</v>
      </c>
      <c r="F27" s="129" t="e">
        <f>InvulRegie[[#This Row],[2028]]*Tariefsopbouw!$K$37+InvulRegie[[#This Row],[2028]]</f>
        <v>#DIV/0!</v>
      </c>
      <c r="G27" s="129" t="e">
        <f>InvulRegie[[#This Row],[2029]]*Tariefsopbouw!$M$37+InvulRegie[[#This Row],[2029]]</f>
        <v>#DIV/0!</v>
      </c>
      <c r="H27" s="129" t="e">
        <f>InvulRegie[[#This Row],[2030]]*Tariefsopbouw!$O$37+InvulRegie[[#This Row],[2030]]</f>
        <v>#DIV/0!</v>
      </c>
      <c r="I27" s="129" t="e">
        <f>InvulRegie[[#This Row],[2031]]*Tariefsopbouw!$Q$37+InvulRegie[[#This Row],[2031]]</f>
        <v>#DIV/0!</v>
      </c>
    </row>
    <row r="28" spans="1:9" ht="18.75" customHeight="1">
      <c r="A28" s="202"/>
      <c r="B28" s="126" t="s">
        <v>50</v>
      </c>
      <c r="C28" s="126" t="s">
        <v>471</v>
      </c>
      <c r="D28" s="340">
        <v>0</v>
      </c>
      <c r="E28" s="129" t="e">
        <f>InvulRegie[[#This Row],[Prijs excl. BTW]]*Tariefsopbouw!$I$37+InvulRegie[[#This Row],[Prijs excl. BTW]]</f>
        <v>#DIV/0!</v>
      </c>
      <c r="F28" s="129" t="e">
        <f>InvulRegie[[#This Row],[2028]]*Tariefsopbouw!$K$37+InvulRegie[[#This Row],[2028]]</f>
        <v>#DIV/0!</v>
      </c>
      <c r="G28" s="129" t="e">
        <f>InvulRegie[[#This Row],[2029]]*Tariefsopbouw!$M$37+InvulRegie[[#This Row],[2029]]</f>
        <v>#DIV/0!</v>
      </c>
      <c r="H28" s="129" t="e">
        <f>InvulRegie[[#This Row],[2030]]*Tariefsopbouw!$O$37+InvulRegie[[#This Row],[2030]]</f>
        <v>#DIV/0!</v>
      </c>
      <c r="I28" s="129" t="e">
        <f>InvulRegie[[#This Row],[2031]]*Tariefsopbouw!$Q$37+InvulRegie[[#This Row],[2031]]</f>
        <v>#DIV/0!</v>
      </c>
    </row>
    <row r="29" spans="1:9" ht="18.75" customHeight="1">
      <c r="A29" s="200" t="s">
        <v>206</v>
      </c>
      <c r="B29" s="65" t="s">
        <v>207</v>
      </c>
      <c r="C29" s="126" t="s">
        <v>194</v>
      </c>
      <c r="D29" s="340">
        <v>0</v>
      </c>
      <c r="E29" s="129" t="e">
        <f>InvulRegie[[#This Row],[Prijs excl. BTW]]*Tariefsopbouw!$I$37+InvulRegie[[#This Row],[Prijs excl. BTW]]</f>
        <v>#DIV/0!</v>
      </c>
      <c r="F29" s="130" t="e">
        <f>InvulRegie[[#This Row],[2028]]*Tariefsopbouw!$K$37+InvulRegie[[#This Row],[2028]]</f>
        <v>#DIV/0!</v>
      </c>
      <c r="G29" s="129" t="e">
        <f>InvulRegie[[#This Row],[2029]]*Tariefsopbouw!$M$37+InvulRegie[[#This Row],[2029]]</f>
        <v>#DIV/0!</v>
      </c>
      <c r="H29" s="129" t="e">
        <f>InvulRegie[[#This Row],[2030]]*Tariefsopbouw!$O$37+InvulRegie[[#This Row],[2030]]</f>
        <v>#DIV/0!</v>
      </c>
      <c r="I29" s="129" t="e">
        <f>InvulRegie[[#This Row],[2031]]*Tariefsopbouw!$Q$37+InvulRegie[[#This Row],[2031]]</f>
        <v>#DIV/0!</v>
      </c>
    </row>
    <row r="30" spans="1:9" ht="18.75" customHeight="1">
      <c r="A30" s="201"/>
      <c r="B30" s="65" t="s">
        <v>208</v>
      </c>
      <c r="C30" s="126" t="s">
        <v>194</v>
      </c>
      <c r="D30" s="340">
        <v>0</v>
      </c>
      <c r="E30" s="129" t="e">
        <f>InvulRegie[[#This Row],[Prijs excl. BTW]]*Tariefsopbouw!$I$37+InvulRegie[[#This Row],[Prijs excl. BTW]]</f>
        <v>#DIV/0!</v>
      </c>
      <c r="F30" s="130" t="e">
        <f>InvulRegie[[#This Row],[2028]]*Tariefsopbouw!$K$37+InvulRegie[[#This Row],[2028]]</f>
        <v>#DIV/0!</v>
      </c>
      <c r="G30" s="129" t="e">
        <f>InvulRegie[[#This Row],[2029]]*Tariefsopbouw!$M$37+InvulRegie[[#This Row],[2029]]</f>
        <v>#DIV/0!</v>
      </c>
      <c r="H30" s="129" t="e">
        <f>InvulRegie[[#This Row],[2030]]*Tariefsopbouw!$O$37+InvulRegie[[#This Row],[2030]]</f>
        <v>#DIV/0!</v>
      </c>
      <c r="I30" s="129" t="e">
        <f>InvulRegie[[#This Row],[2031]]*Tariefsopbouw!$Q$37+InvulRegie[[#This Row],[2031]]</f>
        <v>#DIV/0!</v>
      </c>
    </row>
    <row r="31" spans="1:9" ht="18.75" customHeight="1">
      <c r="A31" s="202"/>
      <c r="B31" s="65" t="s">
        <v>209</v>
      </c>
      <c r="C31" s="126" t="s">
        <v>194</v>
      </c>
      <c r="D31" s="340">
        <v>0</v>
      </c>
      <c r="E31" s="129" t="e">
        <f>InvulRegie[[#This Row],[Prijs excl. BTW]]*Tariefsopbouw!$I$37+InvulRegie[[#This Row],[Prijs excl. BTW]]</f>
        <v>#DIV/0!</v>
      </c>
      <c r="F31" s="130" t="e">
        <f>InvulRegie[[#This Row],[2028]]*Tariefsopbouw!$K$37+InvulRegie[[#This Row],[2028]]</f>
        <v>#DIV/0!</v>
      </c>
      <c r="G31" s="129" t="e">
        <f>InvulRegie[[#This Row],[2029]]*Tariefsopbouw!$M$37+InvulRegie[[#This Row],[2029]]</f>
        <v>#DIV/0!</v>
      </c>
      <c r="H31" s="129" t="e">
        <f>InvulRegie[[#This Row],[2030]]*Tariefsopbouw!$O$37+InvulRegie[[#This Row],[2030]]</f>
        <v>#DIV/0!</v>
      </c>
      <c r="I31" s="129" t="e">
        <f>InvulRegie[[#This Row],[2031]]*Tariefsopbouw!$Q$37+InvulRegie[[#This Row],[2031]]</f>
        <v>#DIV/0!</v>
      </c>
    </row>
    <row r="32" spans="1:9" ht="18.75" customHeight="1">
      <c r="A32" s="200" t="s">
        <v>201</v>
      </c>
      <c r="B32" s="126" t="s">
        <v>52</v>
      </c>
      <c r="C32" s="126" t="s">
        <v>51</v>
      </c>
      <c r="D32" s="340">
        <v>0</v>
      </c>
      <c r="E32" s="129" t="e">
        <f>InvulRegie[[#This Row],[Prijs excl. BTW]]*Tariefsopbouw!$I$37+InvulRegie[[#This Row],[Prijs excl. BTW]]</f>
        <v>#DIV/0!</v>
      </c>
      <c r="F32" s="129" t="e">
        <f>InvulRegie[[#This Row],[2028]]*Tariefsopbouw!$K$37+InvulRegie[[#This Row],[2028]]</f>
        <v>#DIV/0!</v>
      </c>
      <c r="G32" s="129" t="e">
        <f>InvulRegie[[#This Row],[2029]]*Tariefsopbouw!$M$37+InvulRegie[[#This Row],[2029]]</f>
        <v>#DIV/0!</v>
      </c>
      <c r="H32" s="129" t="e">
        <f>InvulRegie[[#This Row],[2030]]*Tariefsopbouw!$O$37+InvulRegie[[#This Row],[2030]]</f>
        <v>#DIV/0!</v>
      </c>
      <c r="I32" s="129" t="e">
        <f>InvulRegie[[#This Row],[2031]]*Tariefsopbouw!$Q$37+InvulRegie[[#This Row],[2031]]</f>
        <v>#DIV/0!</v>
      </c>
    </row>
    <row r="33" spans="1:9" ht="18.75" customHeight="1">
      <c r="A33" s="201"/>
      <c r="B33" s="126" t="s">
        <v>53</v>
      </c>
      <c r="C33" s="126" t="s">
        <v>51</v>
      </c>
      <c r="D33" s="340">
        <v>0</v>
      </c>
      <c r="E33" s="129" t="e">
        <f>InvulRegie[[#This Row],[Prijs excl. BTW]]*Tariefsopbouw!$I$37+InvulRegie[[#This Row],[Prijs excl. BTW]]</f>
        <v>#DIV/0!</v>
      </c>
      <c r="F33" s="129" t="e">
        <f>InvulRegie[[#This Row],[2028]]*Tariefsopbouw!$K$37+InvulRegie[[#This Row],[2028]]</f>
        <v>#DIV/0!</v>
      </c>
      <c r="G33" s="129" t="e">
        <f>InvulRegie[[#This Row],[2029]]*Tariefsopbouw!$M$37+InvulRegie[[#This Row],[2029]]</f>
        <v>#DIV/0!</v>
      </c>
      <c r="H33" s="129" t="e">
        <f>InvulRegie[[#This Row],[2030]]*Tariefsopbouw!$O$37+InvulRegie[[#This Row],[2030]]</f>
        <v>#DIV/0!</v>
      </c>
      <c r="I33" s="129" t="e">
        <f>InvulRegie[[#This Row],[2031]]*Tariefsopbouw!$Q$37+InvulRegie[[#This Row],[2031]]</f>
        <v>#DIV/0!</v>
      </c>
    </row>
    <row r="34" spans="1:9" ht="18.75" customHeight="1">
      <c r="A34" s="201"/>
      <c r="B34" s="126" t="s">
        <v>54</v>
      </c>
      <c r="C34" s="126" t="s">
        <v>51</v>
      </c>
      <c r="D34" s="340">
        <v>0</v>
      </c>
      <c r="E34" s="129" t="e">
        <f>InvulRegie[[#This Row],[Prijs excl. BTW]]*Tariefsopbouw!$I$37+InvulRegie[[#This Row],[Prijs excl. BTW]]</f>
        <v>#DIV/0!</v>
      </c>
      <c r="F34" s="129" t="e">
        <f>InvulRegie[[#This Row],[2028]]*Tariefsopbouw!$K$37+InvulRegie[[#This Row],[2028]]</f>
        <v>#DIV/0!</v>
      </c>
      <c r="G34" s="129" t="e">
        <f>InvulRegie[[#This Row],[2029]]*Tariefsopbouw!$M$37+InvulRegie[[#This Row],[2029]]</f>
        <v>#DIV/0!</v>
      </c>
      <c r="H34" s="129" t="e">
        <f>InvulRegie[[#This Row],[2030]]*Tariefsopbouw!$O$37+InvulRegie[[#This Row],[2030]]</f>
        <v>#DIV/0!</v>
      </c>
      <c r="I34" s="129" t="e">
        <f>InvulRegie[[#This Row],[2031]]*Tariefsopbouw!$Q$37+InvulRegie[[#This Row],[2031]]</f>
        <v>#DIV/0!</v>
      </c>
    </row>
    <row r="35" spans="1:9" ht="18.75" customHeight="1">
      <c r="A35" s="201"/>
      <c r="B35" s="126" t="s">
        <v>55</v>
      </c>
      <c r="C35" s="126" t="s">
        <v>51</v>
      </c>
      <c r="D35" s="340">
        <v>0</v>
      </c>
      <c r="E35" s="129" t="e">
        <f>InvulRegie[[#This Row],[Prijs excl. BTW]]*Tariefsopbouw!$I$37+InvulRegie[[#This Row],[Prijs excl. BTW]]</f>
        <v>#DIV/0!</v>
      </c>
      <c r="F35" s="129" t="e">
        <f>InvulRegie[[#This Row],[2028]]*Tariefsopbouw!$K$37+InvulRegie[[#This Row],[2028]]</f>
        <v>#DIV/0!</v>
      </c>
      <c r="G35" s="129" t="e">
        <f>InvulRegie[[#This Row],[2029]]*Tariefsopbouw!$M$37+InvulRegie[[#This Row],[2029]]</f>
        <v>#DIV/0!</v>
      </c>
      <c r="H35" s="129" t="e">
        <f>InvulRegie[[#This Row],[2030]]*Tariefsopbouw!$O$37+InvulRegie[[#This Row],[2030]]</f>
        <v>#DIV/0!</v>
      </c>
      <c r="I35" s="129" t="e">
        <f>InvulRegie[[#This Row],[2031]]*Tariefsopbouw!$Q$37+InvulRegie[[#This Row],[2031]]</f>
        <v>#DIV/0!</v>
      </c>
    </row>
    <row r="36" spans="1:9" ht="18.75" customHeight="1">
      <c r="A36" s="202"/>
      <c r="B36" s="126" t="s">
        <v>48</v>
      </c>
      <c r="C36" s="126" t="s">
        <v>49</v>
      </c>
      <c r="D36" s="340">
        <v>0</v>
      </c>
      <c r="E36" s="129" t="e">
        <f>InvulRegie[[#This Row],[Prijs excl. BTW]]*Tariefsopbouw!$I$37+InvulRegie[[#This Row],[Prijs excl. BTW]]</f>
        <v>#DIV/0!</v>
      </c>
      <c r="F36" s="129" t="e">
        <f>InvulRegie[[#This Row],[2028]]*Tariefsopbouw!$K$37+InvulRegie[[#This Row],[2028]]</f>
        <v>#DIV/0!</v>
      </c>
      <c r="G36" s="129" t="e">
        <f>InvulRegie[[#This Row],[2029]]*Tariefsopbouw!$M$37+InvulRegie[[#This Row],[2029]]</f>
        <v>#DIV/0!</v>
      </c>
      <c r="H36" s="129" t="e">
        <f>InvulRegie[[#This Row],[2030]]*Tariefsopbouw!$O$37+InvulRegie[[#This Row],[2030]]</f>
        <v>#DIV/0!</v>
      </c>
      <c r="I36" s="129" t="e">
        <f>InvulRegie[[#This Row],[2031]]*Tariefsopbouw!$Q$37+InvulRegie[[#This Row],[2031]]</f>
        <v>#DIV/0!</v>
      </c>
    </row>
    <row r="37" spans="1:9" ht="18.75" customHeight="1">
      <c r="A37" s="204" t="s">
        <v>202</v>
      </c>
      <c r="B37" s="126" t="s">
        <v>56</v>
      </c>
      <c r="C37" s="126" t="s">
        <v>225</v>
      </c>
      <c r="D37" s="340">
        <v>0</v>
      </c>
      <c r="E37" s="129" t="e">
        <f>InvulRegie[[#This Row],[Prijs excl. BTW]]*Tariefsopbouw!$I$37+InvulRegie[[#This Row],[Prijs excl. BTW]]</f>
        <v>#DIV/0!</v>
      </c>
      <c r="F37" s="129" t="e">
        <f>InvulRegie[[#This Row],[2028]]*Tariefsopbouw!$K$37+InvulRegie[[#This Row],[2028]]</f>
        <v>#DIV/0!</v>
      </c>
      <c r="G37" s="129" t="e">
        <f>InvulRegie[[#This Row],[2029]]*Tariefsopbouw!$M$37+InvulRegie[[#This Row],[2029]]</f>
        <v>#DIV/0!</v>
      </c>
      <c r="H37" s="129" t="e">
        <f>InvulRegie[[#This Row],[2030]]*Tariefsopbouw!$O$37+InvulRegie[[#This Row],[2030]]</f>
        <v>#DIV/0!</v>
      </c>
      <c r="I37" s="129" t="e">
        <f>InvulRegie[[#This Row],[2031]]*Tariefsopbouw!$Q$37+InvulRegie[[#This Row],[2031]]</f>
        <v>#DIV/0!</v>
      </c>
    </row>
    <row r="38" spans="1:9" ht="18.75" customHeight="1">
      <c r="A38" s="205"/>
      <c r="B38" s="126" t="s">
        <v>57</v>
      </c>
      <c r="C38" s="126" t="s">
        <v>58</v>
      </c>
      <c r="D38" s="340">
        <v>0</v>
      </c>
      <c r="E38" s="129" t="e">
        <f>InvulRegie[[#This Row],[Prijs excl. BTW]]*Tariefsopbouw!$I$37+InvulRegie[[#This Row],[Prijs excl. BTW]]</f>
        <v>#DIV/0!</v>
      </c>
      <c r="F38" s="129" t="e">
        <f>InvulRegie[[#This Row],[2028]]*Tariefsopbouw!$K$37+InvulRegie[[#This Row],[2028]]</f>
        <v>#DIV/0!</v>
      </c>
      <c r="G38" s="129" t="e">
        <f>InvulRegie[[#This Row],[2029]]*Tariefsopbouw!$M$37+InvulRegie[[#This Row],[2029]]</f>
        <v>#DIV/0!</v>
      </c>
      <c r="H38" s="129" t="e">
        <f>InvulRegie[[#This Row],[2030]]*Tariefsopbouw!$O$37+InvulRegie[[#This Row],[2030]]</f>
        <v>#DIV/0!</v>
      </c>
      <c r="I38" s="129" t="e">
        <f>InvulRegie[[#This Row],[2031]]*Tariefsopbouw!$Q$37+InvulRegie[[#This Row],[2031]]</f>
        <v>#DIV/0!</v>
      </c>
    </row>
    <row r="39" spans="1:9" ht="18.75" customHeight="1">
      <c r="A39" s="205"/>
      <c r="B39" s="126" t="s">
        <v>203</v>
      </c>
      <c r="C39" s="126" t="s">
        <v>58</v>
      </c>
      <c r="D39" s="340">
        <v>0</v>
      </c>
      <c r="E39" s="129" t="e">
        <f>InvulRegie[[#This Row],[Prijs excl. BTW]]*Tariefsopbouw!$I$37+InvulRegie[[#This Row],[Prijs excl. BTW]]</f>
        <v>#DIV/0!</v>
      </c>
      <c r="F39" s="129" t="e">
        <f>InvulRegie[[#This Row],[2028]]*Tariefsopbouw!$K$37+InvulRegie[[#This Row],[2028]]</f>
        <v>#DIV/0!</v>
      </c>
      <c r="G39" s="129" t="e">
        <f>InvulRegie[[#This Row],[2029]]*Tariefsopbouw!$M$37+InvulRegie[[#This Row],[2029]]</f>
        <v>#DIV/0!</v>
      </c>
      <c r="H39" s="129" t="e">
        <f>InvulRegie[[#This Row],[2030]]*Tariefsopbouw!$O$37+InvulRegie[[#This Row],[2030]]</f>
        <v>#DIV/0!</v>
      </c>
      <c r="I39" s="129" t="e">
        <f>InvulRegie[[#This Row],[2031]]*Tariefsopbouw!$Q$37+InvulRegie[[#This Row],[2031]]</f>
        <v>#DIV/0!</v>
      </c>
    </row>
    <row r="40" spans="1:9" ht="18.75" customHeight="1">
      <c r="A40" s="206"/>
      <c r="B40" s="126" t="s">
        <v>204</v>
      </c>
      <c r="C40" s="126" t="s">
        <v>58</v>
      </c>
      <c r="D40" s="340">
        <v>0</v>
      </c>
      <c r="E40" s="129" t="e">
        <f>InvulRegie[[#This Row],[Prijs excl. BTW]]*Tariefsopbouw!$I$37+InvulRegie[[#This Row],[Prijs excl. BTW]]</f>
        <v>#DIV/0!</v>
      </c>
      <c r="F40" s="129" t="e">
        <f>InvulRegie[[#This Row],[2028]]*Tariefsopbouw!$K$37+InvulRegie[[#This Row],[2028]]</f>
        <v>#DIV/0!</v>
      </c>
      <c r="G40" s="129" t="e">
        <f>InvulRegie[[#This Row],[2029]]*Tariefsopbouw!$M$37+InvulRegie[[#This Row],[2029]]</f>
        <v>#DIV/0!</v>
      </c>
      <c r="H40" s="129" t="e">
        <f>InvulRegie[[#This Row],[2030]]*Tariefsopbouw!$O$37+InvulRegie[[#This Row],[2030]]</f>
        <v>#DIV/0!</v>
      </c>
      <c r="I40" s="129" t="e">
        <f>InvulRegie[[#This Row],[2031]]*Tariefsopbouw!$Q$37+InvulRegie[[#This Row],[2031]]</f>
        <v>#DIV/0!</v>
      </c>
    </row>
    <row r="41" spans="1:9" s="17" customFormat="1" ht="26.25" customHeight="1">
      <c r="A41" s="131"/>
      <c r="B41" s="132" t="s">
        <v>33</v>
      </c>
      <c r="C41" s="132"/>
      <c r="D41" s="132"/>
      <c r="E41" s="132"/>
      <c r="F41" s="132"/>
      <c r="G41" s="132"/>
      <c r="H41" s="132"/>
      <c r="I41" s="132"/>
    </row>
    <row r="42" spans="1:9" ht="18.75" customHeight="1" thickBot="1"/>
    <row r="43" spans="1:9" ht="15.75">
      <c r="A43" s="134"/>
      <c r="B43" s="135" t="s">
        <v>412</v>
      </c>
      <c r="C43" s="135"/>
      <c r="D43" s="136"/>
    </row>
    <row r="44" spans="1:9" ht="13.5">
      <c r="A44" s="137"/>
      <c r="B44" s="8"/>
      <c r="C44" s="8"/>
      <c r="D44" s="138"/>
    </row>
    <row r="45" spans="1:9" ht="13.5">
      <c r="A45" s="137"/>
      <c r="B45" s="139" t="s">
        <v>472</v>
      </c>
      <c r="C45" s="8"/>
      <c r="D45" s="138"/>
    </row>
    <row r="46" spans="1:9" ht="13.5">
      <c r="A46" s="137"/>
      <c r="B46" s="8"/>
      <c r="C46" s="8"/>
      <c r="D46" s="138"/>
    </row>
    <row r="47" spans="1:9" ht="13.5">
      <c r="A47" s="137"/>
      <c r="B47" s="140" t="s">
        <v>413</v>
      </c>
      <c r="C47" s="8"/>
      <c r="D47" s="138"/>
    </row>
    <row r="48" spans="1:9" ht="13.5">
      <c r="A48" s="137"/>
      <c r="B48" s="8"/>
      <c r="C48" s="8"/>
      <c r="D48" s="138"/>
    </row>
    <row r="49" spans="1:4" ht="13.5">
      <c r="A49" s="141" t="s">
        <v>414</v>
      </c>
      <c r="B49" s="198" t="s">
        <v>415</v>
      </c>
      <c r="C49" s="198"/>
      <c r="D49" s="199"/>
    </row>
    <row r="50" spans="1:4" ht="13.5">
      <c r="A50" s="141" t="s">
        <v>414</v>
      </c>
      <c r="B50" s="198" t="s">
        <v>416</v>
      </c>
      <c r="C50" s="198" t="s">
        <v>416</v>
      </c>
      <c r="D50" s="199" t="s">
        <v>416</v>
      </c>
    </row>
    <row r="51" spans="1:4" ht="13.5">
      <c r="A51" s="141" t="s">
        <v>414</v>
      </c>
      <c r="B51" s="198" t="s">
        <v>417</v>
      </c>
      <c r="C51" s="198" t="s">
        <v>417</v>
      </c>
      <c r="D51" s="199" t="s">
        <v>417</v>
      </c>
    </row>
    <row r="52" spans="1:4" ht="13.5">
      <c r="A52" s="141" t="s">
        <v>414</v>
      </c>
      <c r="B52" s="198" t="s">
        <v>418</v>
      </c>
      <c r="C52" s="198" t="s">
        <v>418</v>
      </c>
      <c r="D52" s="199" t="s">
        <v>418</v>
      </c>
    </row>
    <row r="53" spans="1:4" ht="13.5">
      <c r="A53" s="141" t="s">
        <v>414</v>
      </c>
      <c r="B53" s="198" t="s">
        <v>419</v>
      </c>
      <c r="C53" s="198" t="s">
        <v>419</v>
      </c>
      <c r="D53" s="199" t="s">
        <v>419</v>
      </c>
    </row>
    <row r="54" spans="1:4" ht="13.5">
      <c r="A54" s="141" t="s">
        <v>414</v>
      </c>
      <c r="B54" s="198" t="s">
        <v>420</v>
      </c>
      <c r="C54" s="198" t="s">
        <v>420</v>
      </c>
      <c r="D54" s="199" t="s">
        <v>420</v>
      </c>
    </row>
    <row r="55" spans="1:4" ht="13.5">
      <c r="A55" s="141" t="s">
        <v>414</v>
      </c>
      <c r="B55" s="198" t="s">
        <v>421</v>
      </c>
      <c r="C55" s="198" t="s">
        <v>421</v>
      </c>
      <c r="D55" s="199" t="s">
        <v>421</v>
      </c>
    </row>
    <row r="56" spans="1:4" ht="13.5">
      <c r="A56" s="141" t="s">
        <v>414</v>
      </c>
      <c r="B56" s="198" t="s">
        <v>422</v>
      </c>
      <c r="C56" s="198" t="s">
        <v>422</v>
      </c>
      <c r="D56" s="199" t="s">
        <v>422</v>
      </c>
    </row>
    <row r="57" spans="1:4" ht="13.5">
      <c r="A57" s="141" t="s">
        <v>414</v>
      </c>
      <c r="B57" s="198" t="s">
        <v>423</v>
      </c>
      <c r="C57" s="198" t="s">
        <v>423</v>
      </c>
      <c r="D57" s="199" t="s">
        <v>423</v>
      </c>
    </row>
    <row r="58" spans="1:4" ht="13.5">
      <c r="A58" s="141" t="s">
        <v>414</v>
      </c>
      <c r="B58" s="198" t="s">
        <v>424</v>
      </c>
      <c r="C58" s="198" t="s">
        <v>424</v>
      </c>
      <c r="D58" s="199" t="s">
        <v>424</v>
      </c>
    </row>
    <row r="59" spans="1:4" ht="13.5">
      <c r="A59" s="141" t="s">
        <v>414</v>
      </c>
      <c r="B59" s="198" t="s">
        <v>425</v>
      </c>
      <c r="C59" s="198" t="s">
        <v>425</v>
      </c>
      <c r="D59" s="199" t="s">
        <v>425</v>
      </c>
    </row>
    <row r="60" spans="1:4" ht="13.5">
      <c r="A60" s="141" t="s">
        <v>414</v>
      </c>
      <c r="B60" s="198" t="s">
        <v>426</v>
      </c>
      <c r="C60" s="198" t="s">
        <v>426</v>
      </c>
      <c r="D60" s="199" t="s">
        <v>426</v>
      </c>
    </row>
    <row r="61" spans="1:4" ht="13.5">
      <c r="A61" s="137"/>
      <c r="B61" s="142"/>
      <c r="C61" s="8"/>
      <c r="D61" s="138"/>
    </row>
    <row r="62" spans="1:4" ht="13.5">
      <c r="A62" s="137"/>
      <c r="B62" s="143" t="s">
        <v>427</v>
      </c>
      <c r="C62" s="8"/>
      <c r="D62" s="138"/>
    </row>
    <row r="63" spans="1:4" ht="13.5">
      <c r="A63" s="137"/>
      <c r="B63" s="142"/>
      <c r="C63" s="8"/>
      <c r="D63" s="138"/>
    </row>
    <row r="64" spans="1:4" ht="24" customHeight="1">
      <c r="A64" s="141" t="s">
        <v>414</v>
      </c>
      <c r="B64" s="198" t="s">
        <v>428</v>
      </c>
      <c r="C64" s="198" t="s">
        <v>428</v>
      </c>
      <c r="D64" s="199" t="s">
        <v>428</v>
      </c>
    </row>
    <row r="65" spans="1:4" ht="13.5">
      <c r="A65" s="141" t="s">
        <v>414</v>
      </c>
      <c r="B65" s="198" t="s">
        <v>429</v>
      </c>
      <c r="C65" s="198" t="s">
        <v>429</v>
      </c>
      <c r="D65" s="199" t="s">
        <v>429</v>
      </c>
    </row>
    <row r="66" spans="1:4" ht="13.5">
      <c r="A66" s="141" t="s">
        <v>414</v>
      </c>
      <c r="B66" s="198" t="s">
        <v>430</v>
      </c>
      <c r="C66" s="198" t="s">
        <v>430</v>
      </c>
      <c r="D66" s="199" t="s">
        <v>430</v>
      </c>
    </row>
    <row r="67" spans="1:4" ht="13.5">
      <c r="A67" s="141" t="s">
        <v>414</v>
      </c>
      <c r="B67" s="198" t="s">
        <v>424</v>
      </c>
      <c r="C67" s="198" t="s">
        <v>424</v>
      </c>
      <c r="D67" s="199" t="s">
        <v>424</v>
      </c>
    </row>
    <row r="68" spans="1:4" ht="13.5">
      <c r="A68" s="141" t="s">
        <v>414</v>
      </c>
      <c r="B68" s="198" t="s">
        <v>431</v>
      </c>
      <c r="C68" s="198" t="s">
        <v>431</v>
      </c>
      <c r="D68" s="199" t="s">
        <v>431</v>
      </c>
    </row>
    <row r="69" spans="1:4" ht="13.5">
      <c r="A69" s="141" t="s">
        <v>414</v>
      </c>
      <c r="B69" s="198" t="s">
        <v>432</v>
      </c>
      <c r="C69" s="198" t="s">
        <v>432</v>
      </c>
      <c r="D69" s="199" t="s">
        <v>432</v>
      </c>
    </row>
    <row r="70" spans="1:4" ht="13.5">
      <c r="A70" s="141" t="s">
        <v>414</v>
      </c>
      <c r="B70" s="198" t="s">
        <v>433</v>
      </c>
      <c r="C70" s="198" t="s">
        <v>433</v>
      </c>
      <c r="D70" s="199" t="s">
        <v>433</v>
      </c>
    </row>
    <row r="71" spans="1:4" ht="13.5">
      <c r="A71" s="141" t="s">
        <v>414</v>
      </c>
      <c r="B71" s="198" t="s">
        <v>718</v>
      </c>
      <c r="C71" s="198" t="s">
        <v>434</v>
      </c>
      <c r="D71" s="199" t="s">
        <v>434</v>
      </c>
    </row>
    <row r="72" spans="1:4" ht="13.5">
      <c r="A72" s="141" t="s">
        <v>414</v>
      </c>
      <c r="B72" s="198" t="s">
        <v>719</v>
      </c>
      <c r="C72" s="198" t="s">
        <v>435</v>
      </c>
      <c r="D72" s="199" t="s">
        <v>435</v>
      </c>
    </row>
    <row r="73" spans="1:4" ht="13.5">
      <c r="A73" s="137"/>
      <c r="B73" s="8"/>
      <c r="C73" s="8"/>
      <c r="D73" s="138"/>
    </row>
    <row r="74" spans="1:4" ht="13.5">
      <c r="A74" s="137"/>
      <c r="B74" s="143" t="s">
        <v>60</v>
      </c>
      <c r="C74" s="8"/>
      <c r="D74" s="138"/>
    </row>
    <row r="75" spans="1:4" ht="13.5">
      <c r="A75" s="137"/>
      <c r="B75" s="142"/>
      <c r="C75" s="8"/>
      <c r="D75" s="138"/>
    </row>
    <row r="76" spans="1:4" ht="13.5">
      <c r="A76" s="141" t="s">
        <v>414</v>
      </c>
      <c r="B76" s="194" t="s">
        <v>436</v>
      </c>
      <c r="C76" s="194" t="s">
        <v>436</v>
      </c>
      <c r="D76" s="195" t="s">
        <v>436</v>
      </c>
    </row>
    <row r="77" spans="1:4" ht="13.5">
      <c r="A77" s="141" t="s">
        <v>414</v>
      </c>
      <c r="B77" s="194" t="s">
        <v>437</v>
      </c>
      <c r="C77" s="194" t="s">
        <v>437</v>
      </c>
      <c r="D77" s="195" t="s">
        <v>437</v>
      </c>
    </row>
    <row r="78" spans="1:4" ht="13.5">
      <c r="A78" s="141" t="s">
        <v>414</v>
      </c>
      <c r="B78" s="194" t="s">
        <v>438</v>
      </c>
      <c r="C78" s="194" t="s">
        <v>438</v>
      </c>
      <c r="D78" s="195" t="s">
        <v>438</v>
      </c>
    </row>
    <row r="79" spans="1:4" ht="13.5">
      <c r="A79" s="141" t="s">
        <v>414</v>
      </c>
      <c r="B79" s="194" t="s">
        <v>439</v>
      </c>
      <c r="C79" s="194" t="s">
        <v>439</v>
      </c>
      <c r="D79" s="195" t="s">
        <v>439</v>
      </c>
    </row>
    <row r="80" spans="1:4" ht="13.5">
      <c r="A80" s="141" t="s">
        <v>414</v>
      </c>
      <c r="B80" s="194" t="s">
        <v>440</v>
      </c>
      <c r="C80" s="194" t="s">
        <v>440</v>
      </c>
      <c r="D80" s="195" t="s">
        <v>440</v>
      </c>
    </row>
    <row r="81" spans="1:4" ht="13.5">
      <c r="A81" s="141" t="s">
        <v>414</v>
      </c>
      <c r="B81" s="194" t="s">
        <v>441</v>
      </c>
      <c r="C81" s="194" t="s">
        <v>441</v>
      </c>
      <c r="D81" s="195" t="s">
        <v>441</v>
      </c>
    </row>
    <row r="82" spans="1:4" ht="14.25" thickBot="1">
      <c r="A82" s="144" t="s">
        <v>414</v>
      </c>
      <c r="B82" s="196" t="s">
        <v>442</v>
      </c>
      <c r="C82" s="196" t="s">
        <v>442</v>
      </c>
      <c r="D82" s="197" t="s">
        <v>442</v>
      </c>
    </row>
  </sheetData>
  <sheetProtection algorithmName="SHA-512" hashValue="btjVBbUl1pBd+GjKD+pWsHf+f0AC9bArOm9kzF6sXCWo531KicGAsUwFdbcmjf4P6sB2CxBYHUrvFRqNRd983w==" saltValue="7BaBg456+ucDZ/vb3vNcWg==" spinCount="100000" sheet="1" objects="1" scenarios="1" sort="0" autoFilter="0"/>
  <mergeCells count="37">
    <mergeCell ref="A9:A14"/>
    <mergeCell ref="A1:D1"/>
    <mergeCell ref="A2:D2"/>
    <mergeCell ref="A32:A36"/>
    <mergeCell ref="A37:A40"/>
    <mergeCell ref="A24:A28"/>
    <mergeCell ref="A29:A31"/>
    <mergeCell ref="A15:A21"/>
    <mergeCell ref="A22:A23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4:D64"/>
    <mergeCell ref="B65:D65"/>
    <mergeCell ref="B66:D66"/>
    <mergeCell ref="B67:D67"/>
    <mergeCell ref="B68:D68"/>
    <mergeCell ref="B69:D69"/>
    <mergeCell ref="B70:D70"/>
    <mergeCell ref="B71:D71"/>
    <mergeCell ref="B80:D80"/>
    <mergeCell ref="B81:D81"/>
    <mergeCell ref="B82:D82"/>
    <mergeCell ref="B72:D72"/>
    <mergeCell ref="B76:D76"/>
    <mergeCell ref="B77:D77"/>
    <mergeCell ref="B78:D78"/>
    <mergeCell ref="B79:D7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headerFooter alignWithMargins="0">
    <oddFooter>&amp;L&amp;F&amp;C&amp;D&amp;R&amp;A</oddFooter>
  </headerFooter>
  <rowBreaks count="1" manualBreakCount="1">
    <brk id="83" max="16383" man="1"/>
  </row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61">
    <tabColor theme="0" tint="-0.14999847407452621"/>
    <pageSetUpPr fitToPage="1"/>
  </sheetPr>
  <dimension ref="A1:I23"/>
  <sheetViews>
    <sheetView showGridLines="0" tabSelected="1" view="pageBreakPreview" zoomScaleNormal="100" zoomScaleSheetLayoutView="100" workbookViewId="0">
      <selection activeCellId="6" sqref="A23:XFD1048576 H19:XFD22 D19:D22 A19:A22 H18:XFD18 A18:B18 A1:XFD17"/>
    </sheetView>
  </sheetViews>
  <sheetFormatPr defaultColWidth="9.140625" defaultRowHeight="18.75" customHeight="1"/>
  <cols>
    <col min="1" max="1" width="13.7109375" style="146" customWidth="1"/>
    <col min="2" max="2" width="40.5703125" style="145" customWidth="1"/>
    <col min="3" max="7" width="23.28515625" style="146" customWidth="1"/>
    <col min="8" max="8" width="20.140625" style="146" bestFit="1" customWidth="1"/>
    <col min="9" max="10" width="15.85546875" style="146" customWidth="1"/>
    <col min="11" max="16384" width="9.140625" style="146"/>
  </cols>
  <sheetData>
    <row r="1" spans="1:9" s="19" customFormat="1" ht="25.5" customHeight="1">
      <c r="A1" s="181" t="s">
        <v>215</v>
      </c>
      <c r="B1" s="181"/>
      <c r="C1" s="181"/>
      <c r="D1" s="181"/>
      <c r="E1" s="181"/>
      <c r="F1" s="181"/>
      <c r="G1" s="181"/>
      <c r="H1" s="181"/>
    </row>
    <row r="2" spans="1:9" s="19" customFormat="1" ht="15" customHeight="1">
      <c r="A2" s="182" t="s">
        <v>473</v>
      </c>
      <c r="B2" s="183"/>
      <c r="C2" s="183"/>
      <c r="D2" s="183"/>
      <c r="E2" s="183"/>
      <c r="F2" s="183"/>
      <c r="G2" s="183"/>
      <c r="H2" s="183"/>
    </row>
    <row r="3" spans="1:9" s="20" customFormat="1" ht="15" customHeight="1">
      <c r="B3" s="22"/>
    </row>
    <row r="4" spans="1:9" ht="18.75" customHeight="1">
      <c r="A4" s="145"/>
      <c r="B4" s="146"/>
    </row>
    <row r="5" spans="1:9" ht="26.25" customHeight="1">
      <c r="A5" s="176" t="s">
        <v>224</v>
      </c>
      <c r="B5" s="146"/>
    </row>
    <row r="6" spans="1:9" s="152" customFormat="1" ht="25.5" customHeight="1">
      <c r="A6" s="147" t="s">
        <v>212</v>
      </c>
      <c r="B6" s="148" t="s">
        <v>151</v>
      </c>
      <c r="C6" s="147" t="s">
        <v>170</v>
      </c>
      <c r="D6" s="149" t="s">
        <v>133</v>
      </c>
      <c r="E6" s="149" t="s">
        <v>171</v>
      </c>
      <c r="F6" s="147" t="s">
        <v>132</v>
      </c>
      <c r="G6" s="150" t="s">
        <v>172</v>
      </c>
      <c r="H6" s="151" t="s">
        <v>173</v>
      </c>
    </row>
    <row r="7" spans="1:9" ht="18.75" customHeight="1">
      <c r="A7" s="153">
        <v>1</v>
      </c>
      <c r="B7" s="154" t="str">
        <f>VLOOKUP(Samenvattingschoonmaak[[#This Row],[Code Locatie]],Locaties[],2,0)</f>
        <v>Hoofdgebouw</v>
      </c>
      <c r="C7" s="155">
        <f>SUMIF('Ruimtestaat'!$A:$A,Totalisatie!$A7,'Ruimtestaat'!$N:$N)</f>
        <v>3364</v>
      </c>
      <c r="D7" s="155">
        <f>SUMIF('Ruimtestaat'!$A:$A,Totalisatie!$A7,'Ruimtestaat'!$AE:$AE)</f>
        <v>647550</v>
      </c>
      <c r="E7" s="156">
        <f>SUMIF('Ruimtestaat'!$A:$A,Totalisatie!$A7,'Ruimtestaat'!$AF:$AF)</f>
        <v>0</v>
      </c>
      <c r="F7" s="157" t="e">
        <f>D7/E7</f>
        <v>#DIV/0!</v>
      </c>
      <c r="G7" s="158">
        <f>SUMIF('Ruimtestaat'!$A:$A,Totalisatie!$A7,'Ruimtestaat'!$AG:$AG)</f>
        <v>0</v>
      </c>
      <c r="H7" s="159">
        <f t="shared" ref="H7" si="0">G7/C7</f>
        <v>0</v>
      </c>
    </row>
    <row r="8" spans="1:9" ht="18.75" customHeight="1">
      <c r="A8" s="153">
        <v>2</v>
      </c>
      <c r="B8" s="154" t="str">
        <f>VLOOKUP(Samenvattingschoonmaak[[#This Row],[Code Locatie]],Locaties[],2,0)</f>
        <v>Paviljoen Nova</v>
      </c>
      <c r="C8" s="155">
        <f>SUMIF('Ruimtestaat'!$A:$A,Totalisatie!$A8,'Ruimtestaat'!$N:$N)</f>
        <v>1064</v>
      </c>
      <c r="D8" s="155">
        <f>SUMIF('Ruimtestaat'!$A:$A,Totalisatie!$A8,'Ruimtestaat'!$AE:$AE)</f>
        <v>206820</v>
      </c>
      <c r="E8" s="156">
        <f>SUMIF('Ruimtestaat'!$A:$A,Totalisatie!$A8,'Ruimtestaat'!$AF:$AF)</f>
        <v>0</v>
      </c>
      <c r="F8" s="157" t="e">
        <f t="shared" ref="F8" si="1">D8/E8</f>
        <v>#DIV/0!</v>
      </c>
      <c r="G8" s="158">
        <f>SUMIF('Ruimtestaat'!$A:$A,Totalisatie!$A8,'Ruimtestaat'!$AG:$AG)</f>
        <v>0</v>
      </c>
      <c r="H8" s="159">
        <f t="shared" ref="H8" si="2">G8/C8</f>
        <v>0</v>
      </c>
    </row>
    <row r="9" spans="1:9" s="152" customFormat="1" ht="18.75" customHeight="1">
      <c r="A9" s="160"/>
      <c r="B9" s="161" t="s">
        <v>33</v>
      </c>
      <c r="C9" s="162">
        <f>SUBTOTAL(109,Samenvattingschoonmaak[Oppervlakte i/o])</f>
        <v>4428</v>
      </c>
      <c r="D9" s="162">
        <f>SUBTOTAL(109,Samenvattingschoonmaak[Prest. (m2 /jaar)])</f>
        <v>854370</v>
      </c>
      <c r="E9" s="163">
        <f>SUBTOTAL(109,Samenvattingschoonmaak[Uren / jaar])</f>
        <v>0</v>
      </c>
      <c r="F9" s="162" t="e">
        <f>Samenvattingschoonmaak[[#Totals],[Prest. (m2 /jaar)]]/Samenvattingschoonmaak[[#Totals],[Uren / jaar]]</f>
        <v>#DIV/0!</v>
      </c>
      <c r="G9" s="164">
        <f>SUBTOTAL(109,Samenvattingschoonmaak[Kosten / jaar])</f>
        <v>0</v>
      </c>
      <c r="H9" s="165">
        <f>Samenvattingschoonmaak[[#Totals],[Kosten / jaar]]/Samenvattingschoonmaak[[#Totals],[Oppervlakte i/o]]</f>
        <v>0</v>
      </c>
    </row>
    <row r="10" spans="1:9" ht="18.75" customHeight="1">
      <c r="A10" s="145"/>
      <c r="B10" s="146"/>
    </row>
    <row r="11" spans="1:9" ht="18.75" customHeight="1">
      <c r="A11" s="176" t="s">
        <v>176</v>
      </c>
      <c r="B11" s="166"/>
      <c r="C11" s="166"/>
      <c r="D11" s="166"/>
      <c r="E11" s="166"/>
      <c r="F11" s="166"/>
      <c r="G11" s="166"/>
      <c r="H11" s="166"/>
    </row>
    <row r="12" spans="1:9" ht="25.5" customHeight="1">
      <c r="A12" s="147" t="s">
        <v>212</v>
      </c>
      <c r="B12" s="148" t="s">
        <v>217</v>
      </c>
      <c r="C12" s="147" t="s">
        <v>177</v>
      </c>
      <c r="D12" s="150" t="s">
        <v>174</v>
      </c>
      <c r="E12" s="150" t="s">
        <v>460</v>
      </c>
      <c r="F12" s="150" t="s">
        <v>175</v>
      </c>
      <c r="G12" s="150" t="s">
        <v>216</v>
      </c>
    </row>
    <row r="13" spans="1:9" ht="18.75" customHeight="1">
      <c r="A13" s="153">
        <v>1</v>
      </c>
      <c r="B13" s="154" t="str">
        <f>VLOOKUP(Totalisatie[[#This Row],[Code Locatie]],Locaties[],2,0)</f>
        <v>Hoofdgebouw</v>
      </c>
      <c r="C13" s="158">
        <f>SUMIF('Ruimtestaat'!A:A,Totalisatie[[#This Row],[Code Locatie]],'Ruimtestaat'!AG:AG)</f>
        <v>0</v>
      </c>
      <c r="D13" s="167">
        <f>SUMIF(Vloeronderhoud!$A$21:$A$32,Totalisatie[[#This Row],[Code Locatie]],Vloeronderhoud!$H$21:$H$32)</f>
        <v>0</v>
      </c>
      <c r="E13" s="178">
        <f>SUMIF(Glasbewassing!$A$24:$A$33,Totalisatie[[#This Row],[Code Locatie]],Glasbewassing!$G$24:$G$33)</f>
        <v>0</v>
      </c>
      <c r="F13" s="158" t="e">
        <f>SUMIF(#REF!,Totalisatie[[#This Row],[Code Locatie]],#REF!)</f>
        <v>#REF!</v>
      </c>
      <c r="G13" s="158" t="e">
        <f>SUM(Totalisatie[[#This Row],[Schoonmaakonderhoud
Kosten / jaar]:[Extra Werkzaamheden
Kosten / jaar]])</f>
        <v>#REF!</v>
      </c>
      <c r="I13" s="168"/>
    </row>
    <row r="14" spans="1:9" ht="18.75" customHeight="1">
      <c r="A14" s="153">
        <v>2</v>
      </c>
      <c r="B14" s="154" t="str">
        <f>VLOOKUP(Totalisatie[[#This Row],[Code Locatie]],Locaties[],2,0)</f>
        <v>Paviljoen Nova</v>
      </c>
      <c r="C14" s="158">
        <f>SUMIF('Ruimtestaat'!A:A,Totalisatie[[#This Row],[Code Locatie]],'Ruimtestaat'!AG:AG)</f>
        <v>0</v>
      </c>
      <c r="D14" s="167">
        <f>SUMIF(Vloeronderhoud!$A$21:$A$32,Totalisatie[[#This Row],[Code Locatie]],Vloeronderhoud!$H$21:$H$32)</f>
        <v>0</v>
      </c>
      <c r="E14" s="178">
        <f>SUMIF(Glasbewassing!$A$24:$A$33,Totalisatie[[#This Row],[Code Locatie]],Glasbewassing!$G$24:$G$33)</f>
        <v>0</v>
      </c>
      <c r="F14" s="158" t="e">
        <f>SUMIF(#REF!,Totalisatie[[#This Row],[Code Locatie]],#REF!)</f>
        <v>#REF!</v>
      </c>
      <c r="G14" s="158" t="e">
        <f>SUM(Totalisatie[[#This Row],[Schoonmaakonderhoud
Kosten / jaar]:[Extra Werkzaamheden
Kosten / jaar]])</f>
        <v>#REF!</v>
      </c>
      <c r="I14" s="168"/>
    </row>
    <row r="15" spans="1:9" ht="18.75" customHeight="1">
      <c r="A15" s="160"/>
      <c r="B15" s="161" t="s">
        <v>33</v>
      </c>
      <c r="C15" s="164">
        <f>SUBTOTAL(109,Totalisatie[Schoonmaakonderhoud
Kosten / jaar])</f>
        <v>0</v>
      </c>
      <c r="D15" s="164">
        <f>SUBTOTAL(109,Totalisatie[Vloeronderhoud
Kosten / jaar])</f>
        <v>0</v>
      </c>
      <c r="E15" s="164">
        <f>OverzichtGlas[[#Totals],[Kosten/jaar excl. BTW]]</f>
        <v>0</v>
      </c>
      <c r="F15" s="164" t="e">
        <f>SUBTOTAL(109,Totalisatie[Extra Werkzaamheden
Kosten / jaar])</f>
        <v>#REF!</v>
      </c>
      <c r="G15" s="164" t="e">
        <f>SUBTOTAL(109,Totalisatie[Totaalprijs
Kosten / jaar])</f>
        <v>#REF!</v>
      </c>
    </row>
    <row r="16" spans="1:9" ht="18.75" customHeight="1">
      <c r="A16" s="145"/>
      <c r="B16" s="146"/>
      <c r="H16" s="166"/>
    </row>
    <row r="17" spans="1:8" ht="37.5" customHeight="1">
      <c r="A17" s="26" t="s">
        <v>218</v>
      </c>
      <c r="B17" s="146"/>
      <c r="H17" s="123"/>
    </row>
    <row r="18" spans="1:8" ht="26.25" customHeight="1">
      <c r="A18" s="207" t="s">
        <v>222</v>
      </c>
      <c r="B18" s="208"/>
      <c r="C18" s="341"/>
      <c r="D18" s="342"/>
      <c r="E18" s="342"/>
      <c r="F18" s="342"/>
      <c r="G18" s="342"/>
    </row>
    <row r="19" spans="1:8" ht="18.75" customHeight="1">
      <c r="A19" s="169" t="s">
        <v>137</v>
      </c>
      <c r="B19" s="341" t="s">
        <v>227</v>
      </c>
      <c r="C19" s="343"/>
      <c r="D19" s="169" t="s">
        <v>137</v>
      </c>
      <c r="E19" s="341" t="s">
        <v>227</v>
      </c>
      <c r="F19" s="342"/>
      <c r="G19" s="343"/>
    </row>
    <row r="20" spans="1:8" ht="18.75" customHeight="1">
      <c r="A20" s="170" t="s">
        <v>219</v>
      </c>
      <c r="B20" s="344" t="s">
        <v>227</v>
      </c>
      <c r="C20" s="345"/>
      <c r="D20" s="170" t="s">
        <v>219</v>
      </c>
      <c r="E20" s="344" t="s">
        <v>227</v>
      </c>
      <c r="F20" s="346"/>
      <c r="G20" s="345"/>
    </row>
    <row r="21" spans="1:8" ht="18.75" customHeight="1">
      <c r="A21" s="169" t="s">
        <v>220</v>
      </c>
      <c r="B21" s="341" t="s">
        <v>227</v>
      </c>
      <c r="C21" s="343"/>
      <c r="D21" s="169" t="s">
        <v>220</v>
      </c>
      <c r="E21" s="341" t="s">
        <v>227</v>
      </c>
      <c r="F21" s="342"/>
      <c r="G21" s="343"/>
    </row>
    <row r="22" spans="1:8" ht="84.75" customHeight="1">
      <c r="A22" s="170" t="s">
        <v>221</v>
      </c>
      <c r="B22" s="344" t="s">
        <v>227</v>
      </c>
      <c r="C22" s="345"/>
      <c r="D22" s="170" t="s">
        <v>221</v>
      </c>
      <c r="E22" s="347" t="s">
        <v>227</v>
      </c>
      <c r="F22" s="348"/>
      <c r="G22" s="349"/>
    </row>
    <row r="23" spans="1:8" ht="18.75" customHeight="1">
      <c r="A23" s="169" t="s">
        <v>462</v>
      </c>
      <c r="B23" s="171"/>
      <c r="C23" s="172"/>
      <c r="D23" s="173"/>
      <c r="E23" s="174"/>
      <c r="F23" s="174"/>
      <c r="G23" s="175"/>
    </row>
  </sheetData>
  <sheetProtection algorithmName="SHA-512" hashValue="KKxwdn0lFuWYzxusY9yT6WlAyetyxl7ZfKhcAFf2oBy0rE2i3dwC9F5T6zb7XMz0054PmBE6kRaPfxKfjpGwiw==" saltValue="95FRll/Y6LVCBlH0jaOyFw==" spinCount="100000" sheet="1" objects="1" scenarios="1" sort="0" autoFilter="0"/>
  <mergeCells count="12">
    <mergeCell ref="E22:G22"/>
    <mergeCell ref="A18:B18"/>
    <mergeCell ref="C18:G18"/>
    <mergeCell ref="B19:C19"/>
    <mergeCell ref="B20:C20"/>
    <mergeCell ref="B21:C21"/>
    <mergeCell ref="B22:C22"/>
    <mergeCell ref="A1:H1"/>
    <mergeCell ref="A2:H2"/>
    <mergeCell ref="E19:G19"/>
    <mergeCell ref="E20:G20"/>
    <mergeCell ref="E21:G2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>5897e9ea-22b0-410d-aa63-d3b4c029cd1f-638478359500000000</MigrationWizIdVersion>
    <lcf76f155ced4ddcb4097134ff3c332f0 xmlns="4f7a1ba3-2415-40f8-897f-cbc9e8918319" xsi:nil="true"/>
    <lcf76f155ced4ddcb4097134ff3c332f2 xmlns="4f7a1ba3-2415-40f8-897f-cbc9e8918319" xsi:nil="true"/>
    <MigrationWizId xmlns="4f7a1ba3-2415-40f8-897f-cbc9e8918319">5897e9ea-22b0-410d-aa63-d3b4c029cd1f</MigrationWiz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F42007-A804-4F44-AC9D-FC8087898404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5d807127-6dfe-4777-9fc9-8a2ccfc388c3"/>
    <ds:schemaRef ds:uri="http://schemas.openxmlformats.org/package/2006/metadata/core-properties"/>
    <ds:schemaRef ds:uri="46c995e6-7f53-48aa-a5ad-a9d38912b46a"/>
    <ds:schemaRef ds:uri="http://schemas.microsoft.com/office/2006/metadata/propertie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1233D99E-ECD5-4C42-B5BA-B8D8A9305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1B57C-BBA9-40DE-81E2-8264C6A5A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8</vt:i4>
      </vt:variant>
    </vt:vector>
  </HeadingPairs>
  <TitlesOfParts>
    <vt:vector size="19" baseType="lpstr">
      <vt:lpstr>Overnamegegevens</vt:lpstr>
      <vt:lpstr>Opleverstaat dagelijks</vt:lpstr>
      <vt:lpstr>Werkprogramma periodiek</vt:lpstr>
      <vt:lpstr>Werkprogramma dieptereiniging</vt:lpstr>
      <vt:lpstr>Tariefsopbouw</vt:lpstr>
      <vt:lpstr>Prestatiefactoren</vt:lpstr>
      <vt:lpstr>Ruimtestaat</vt:lpstr>
      <vt:lpstr>Vloeronderhoud</vt:lpstr>
      <vt:lpstr>Glasbewassing</vt:lpstr>
      <vt:lpstr>Regie en afroep</vt:lpstr>
      <vt:lpstr>Totalisatie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dieptereiniging'!Afdrukbereik</vt:lpstr>
      <vt:lpstr>'Ruimtestaat'!Afdruktitels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>Inkada</dc:creator>
  <cp:lastModifiedBy>Elke Ambergen - Kienhuis | Inkada Inkoop &amp; Advies</cp:lastModifiedBy>
  <cp:lastPrinted>2023-09-01T08:05:27Z</cp:lastPrinted>
  <dcterms:created xsi:type="dcterms:W3CDTF">1999-03-23T11:24:21Z</dcterms:created>
  <dcterms:modified xsi:type="dcterms:W3CDTF">2026-09-25T12:06:06Z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