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DATA\EXTERN\Gem Montferland\Aanbesteding schoonmaak_2026\Uitlever\"/>
    </mc:Choice>
  </mc:AlternateContent>
  <xr:revisionPtr revIDLastSave="0" documentId="8_{9543D915-FF71-415F-802D-D53A229740D3}" xr6:coauthVersionLast="47" xr6:coauthVersionMax="47" xr10:uidLastSave="{00000000-0000-0000-0000-000000000000}"/>
  <bookViews>
    <workbookView xWindow="28680" yWindow="-120" windowWidth="29040" windowHeight="15720" activeTab="4" xr2:uid="{822451E2-C0B8-41E5-98F5-4F8600730567}"/>
  </bookViews>
  <sheets>
    <sheet name="Omreken" sheetId="1" r:id="rId1"/>
    <sheet name="Tariefopbouw" sheetId="2" r:id="rId2"/>
    <sheet name="Categorienormen" sheetId="3" r:id="rId3"/>
    <sheet name="Regulier werk" sheetId="4" r:id="rId4"/>
    <sheet name="Ruimten werkdag" sheetId="5" r:id="rId5"/>
    <sheet name="Objectinformatie" sheetId="6" r:id="rId6"/>
    <sheet name="Objecten" sheetId="7" r:id="rId7"/>
    <sheet name="Totaalblad Objecten" sheetId="8" r:id="rId8"/>
    <sheet name="Additioneel werk" sheetId="9" r:id="rId9"/>
    <sheet name="Afroep incidenteel" sheetId="10" r:id="rId10"/>
    <sheet name="Regiewerk" sheetId="11" r:id="rId11"/>
    <sheet name="Glas" sheetId="12" r:id="rId12"/>
    <sheet name="Glas per locatie" sheetId="13" r:id="rId13"/>
    <sheet name="Totaal" sheetId="14" r:id="rId14"/>
  </sheets>
  <definedNames>
    <definedName name="_xlnm._FilterDatabase" localSheetId="4" hidden="1">'Ruimten werkdag'!$A$3:$U$302</definedName>
    <definedName name="_xlnm.Print_Titles" localSheetId="8">'Additioneel werk'!$1:$3</definedName>
    <definedName name="_xlnm.Print_Titles" localSheetId="9">'Afroep incidenteel'!$1:$3</definedName>
    <definedName name="_xlnm.Print_Titles" localSheetId="2">Categorienormen!$1:$3</definedName>
    <definedName name="_xlnm.Print_Titles" localSheetId="11">Glas!$1:$3</definedName>
    <definedName name="_xlnm.Print_Titles" localSheetId="12">'Glas per locatie'!$1:$3</definedName>
    <definedName name="_xlnm.Print_Titles" localSheetId="6">Objecten!$1:$3</definedName>
    <definedName name="_xlnm.Print_Titles" localSheetId="5">Objectinformatie!$A:$D,Objectinformatie!$1:$4</definedName>
    <definedName name="_xlnm.Print_Titles" localSheetId="10">Regiewerk!$1:$3</definedName>
    <definedName name="_xlnm.Print_Titles" localSheetId="3">'Regulier werk'!$1:$3</definedName>
    <definedName name="_xlnm.Print_Titles" localSheetId="4">'Ruimten werkdag'!$1:$3</definedName>
    <definedName name="_xlnm.Print_Titles" localSheetId="1">Tariefopbouw!$A:$A,Tariefopbouw!$1:$2</definedName>
    <definedName name="_xlnm.Print_Titles" localSheetId="13">Totaal!$1:$3</definedName>
    <definedName name="_xlnm.Print_Titles" localSheetId="7">'Totaalblad Objecten'!$1:$3</definedName>
    <definedName name="catdw_1_BKHB_1">Categorienormen!$F$6</definedName>
    <definedName name="catdw_1_BKHV_51">Categorienormen!$F$7</definedName>
    <definedName name="catdw_1_BKZB_1">Categorienormen!$F$8</definedName>
    <definedName name="catdw_1_BKZV_51">Categorienormen!$F$9</definedName>
    <definedName name="catdw_1_BRHB_1">Categorienormen!$F$10</definedName>
    <definedName name="catdw_1_BRHV_51">Categorienormen!$F$11</definedName>
    <definedName name="catdw_1_BRZB_1">Categorienormen!$F$12</definedName>
    <definedName name="catdw_1_BRZV_51">Categorienormen!$F$13</definedName>
    <definedName name="catdw_1_BVHB_1">Categorienormen!$F$14</definedName>
    <definedName name="catdw_1_BVHB_51">Categorienormen!$F$15</definedName>
    <definedName name="catdw_1_BVZB_1">Categorienormen!$F$16</definedName>
    <definedName name="catdw_1_BVZV_51">Categorienormen!$F$17</definedName>
    <definedName name="catdw_1_LOHB_1">Categorienormen!$F$18</definedName>
    <definedName name="catdw_1_LOHV_51">Categorienormen!$F$19</definedName>
    <definedName name="catdw_1_RKHB_1">Categorienormen!$F$26</definedName>
    <definedName name="catdw_1_RKHV_51">Categorienormen!$F$27</definedName>
    <definedName name="catdw_1_RPHB_1">Categorienormen!$F$28</definedName>
    <definedName name="catdw_1_RPHV_51">Categorienormen!$F$29</definedName>
    <definedName name="catdw_1_RRHB_1">Categorienormen!$F$30</definedName>
    <definedName name="catdw_1_RRHV_51">Categorienormen!$F$31</definedName>
    <definedName name="catdw_1_SDHB_1">Categorienormen!$F$20</definedName>
    <definedName name="catdw_1_SDHV_51">Categorienormen!$F$21</definedName>
    <definedName name="catdw_1_SKHB_1">Categorienormen!$F$22</definedName>
    <definedName name="catdw_1_SKHV_51">Categorienormen!$F$23</definedName>
    <definedName name="catdw_1_STHB_1">Categorienormen!$F$24</definedName>
    <definedName name="catdw_1_STHV_51">Categorienormen!$F$25</definedName>
    <definedName name="catdw_1_VAHB_1">Categorienormen!$F$32</definedName>
    <definedName name="catdw_1_VAHV_51">Categorienormen!$F$33</definedName>
    <definedName name="catdw_1_VAZB_1">Categorienormen!$F$34</definedName>
    <definedName name="catdw_1_VAZV_51">Categorienormen!$F$35</definedName>
    <definedName name="catdw_1_VEHB_1">Categorienormen!$F$36</definedName>
    <definedName name="catdw_1_VEHV_51">Categorienormen!$F$37</definedName>
    <definedName name="catdw_1_VEZB_1">Categorienormen!$F$38</definedName>
    <definedName name="catdw_1_VEZV_51">Categorienormen!$F$39</definedName>
    <definedName name="catdw_1_VLHB_1">Categorienormen!$F$40</definedName>
    <definedName name="catdw_1_VLHV_51">Categorienormen!$F$41</definedName>
    <definedName name="catdw_1_VOHB_1">Categorienormen!$F$42</definedName>
    <definedName name="catdw_1_VOHV_51">Categorienormen!$F$43</definedName>
    <definedName name="catdw_1_VTHB_1">Categorienormen!$F$44</definedName>
    <definedName name="catdw_1_VTHV_51">Categorienormen!$F$45</definedName>
    <definedName name="catfd_1_BKHB_1">Categorienormen!$C$6</definedName>
    <definedName name="catfd_1_BKHV_51">Categorienormen!$C$7</definedName>
    <definedName name="catfd_1_BKZB_1">Categorienormen!$C$8</definedName>
    <definedName name="catfd_1_BKZV_51">Categorienormen!$C$9</definedName>
    <definedName name="catfd_1_BRHB_1">Categorienormen!$C$10</definedName>
    <definedName name="catfd_1_BRHV_51">Categorienormen!$C$11</definedName>
    <definedName name="catfd_1_BRZB_1">Categorienormen!$C$12</definedName>
    <definedName name="catfd_1_BRZV_51">Categorienormen!$C$13</definedName>
    <definedName name="catfd_1_BVHB_1">Categorienormen!$C$14</definedName>
    <definedName name="catfd_1_BVHB_51">Categorienormen!$C$15</definedName>
    <definedName name="catfd_1_BVZB_1">Categorienormen!$C$16</definedName>
    <definedName name="catfd_1_BVZV_51">Categorienormen!$C$17</definedName>
    <definedName name="catfd_1_LOHB_1">Categorienormen!$C$18</definedName>
    <definedName name="catfd_1_LOHV_51">Categorienormen!$C$19</definedName>
    <definedName name="catfd_1_RKHB_1">Categorienormen!$C$26</definedName>
    <definedName name="catfd_1_RKHV_51">Categorienormen!$C$27</definedName>
    <definedName name="catfd_1_RPHB_1">Categorienormen!$C$28</definedName>
    <definedName name="catfd_1_RPHV_51">Categorienormen!$C$29</definedName>
    <definedName name="catfd_1_RRHB_1">Categorienormen!$C$30</definedName>
    <definedName name="catfd_1_RRHV_51">Categorienormen!$C$31</definedName>
    <definedName name="catfd_1_SDHB_1">Categorienormen!$C$20</definedName>
    <definedName name="catfd_1_SDHV_51">Categorienormen!$C$21</definedName>
    <definedName name="catfd_1_SKHB_1">Categorienormen!$C$22</definedName>
    <definedName name="catfd_1_SKHV_51">Categorienormen!$C$23</definedName>
    <definedName name="catfd_1_STHB_1">Categorienormen!$C$24</definedName>
    <definedName name="catfd_1_STHV_51">Categorienormen!$C$25</definedName>
    <definedName name="catfd_1_VAHB_1">Categorienormen!$C$32</definedName>
    <definedName name="catfd_1_VAHV_51">Categorienormen!$C$33</definedName>
    <definedName name="catfd_1_VAZB_1">Categorienormen!$C$34</definedName>
    <definedName name="catfd_1_VAZV_51">Categorienormen!$C$35</definedName>
    <definedName name="catfd_1_VEHB_1">Categorienormen!$C$36</definedName>
    <definedName name="catfd_1_VEHV_51">Categorienormen!$C$37</definedName>
    <definedName name="catfd_1_VEZB_1">Categorienormen!$C$38</definedName>
    <definedName name="catfd_1_VEZV_51">Categorienormen!$C$39</definedName>
    <definedName name="catfd_1_VLHB_1">Categorienormen!$C$40</definedName>
    <definedName name="catfd_1_VLHV_51">Categorienormen!$C$41</definedName>
    <definedName name="catfd_1_VOHB_1">Categorienormen!$C$42</definedName>
    <definedName name="catfd_1_VOHV_51">Categorienormen!$C$43</definedName>
    <definedName name="catfd_1_VTHB_1">Categorienormen!$C$44</definedName>
    <definedName name="catfd_1_VTHV_51">Categorienormen!$C$45</definedName>
    <definedName name="catpn_1_BKHB_1">Categorienormen!$E$6</definedName>
    <definedName name="catpn_1_BKHV_51">Categorienormen!$E$7</definedName>
    <definedName name="catpn_1_BKZB_1">Categorienormen!$E$8</definedName>
    <definedName name="catpn_1_BKZV_51">Categorienormen!$E$9</definedName>
    <definedName name="catpn_1_BRHB_1">Categorienormen!$E$10</definedName>
    <definedName name="catpn_1_BRHV_51">Categorienormen!$E$11</definedName>
    <definedName name="catpn_1_BRZB_1">Categorienormen!$E$12</definedName>
    <definedName name="catpn_1_BRZV_51">Categorienormen!$E$13</definedName>
    <definedName name="catpn_1_BVHB_1">Categorienormen!$E$14</definedName>
    <definedName name="catpn_1_BVHB_51">Categorienormen!$E$15</definedName>
    <definedName name="catpn_1_BVZB_1">Categorienormen!$E$16</definedName>
    <definedName name="catpn_1_BVZV_51">Categorienormen!$E$17</definedName>
    <definedName name="catpn_1_LOHB_1">Categorienormen!$E$18</definedName>
    <definedName name="catpn_1_LOHV_51">Categorienormen!$E$19</definedName>
    <definedName name="catpn_1_RKHB_1">Categorienormen!$E$26</definedName>
    <definedName name="catpn_1_RKHV_51">Categorienormen!$E$27</definedName>
    <definedName name="catpn_1_RPHB_1">Categorienormen!$E$28</definedName>
    <definedName name="catpn_1_RPHV_51">Categorienormen!$E$29</definedName>
    <definedName name="catpn_1_RRHB_1">Categorienormen!$E$30</definedName>
    <definedName name="catpn_1_RRHV_51">Categorienormen!$E$31</definedName>
    <definedName name="catpn_1_SDHB_1">Categorienormen!$E$20</definedName>
    <definedName name="catpn_1_SDHV_51">Categorienormen!$E$21</definedName>
    <definedName name="catpn_1_SKHB_1">Categorienormen!$E$22</definedName>
    <definedName name="catpn_1_SKHV_51">Categorienormen!$E$23</definedName>
    <definedName name="catpn_1_STHB_1">Categorienormen!$E$24</definedName>
    <definedName name="catpn_1_STHV_51">Categorienormen!$E$25</definedName>
    <definedName name="catpn_1_VAHB_1">Categorienormen!$E$32</definedName>
    <definedName name="catpn_1_VAHV_51">Categorienormen!$E$33</definedName>
    <definedName name="catpn_1_VAZB_1">Categorienormen!$E$34</definedName>
    <definedName name="catpn_1_VAZV_51">Categorienormen!$E$35</definedName>
    <definedName name="catpn_1_VEHB_1">Categorienormen!$E$36</definedName>
    <definedName name="catpn_1_VEHV_51">Categorienormen!$E$37</definedName>
    <definedName name="catpn_1_VEZB_1">Categorienormen!$E$38</definedName>
    <definedName name="catpn_1_VEZV_51">Categorienormen!$E$39</definedName>
    <definedName name="catpn_1_VLHB_1">Categorienormen!$E$40</definedName>
    <definedName name="catpn_1_VLHV_51">Categorienormen!$E$41</definedName>
    <definedName name="catpn_1_VOHB_1">Categorienormen!$E$42</definedName>
    <definedName name="catpn_1_VOHV_51">Categorienormen!$E$43</definedName>
    <definedName name="catpn_1_VTHB_1">Categorienormen!$E$44</definedName>
    <definedName name="catpn_1_VTHV_51">Categorienormen!$E$45</definedName>
    <definedName name="cattf_1_BKHB_1">Categorienormen!$H$6</definedName>
    <definedName name="cattf_1_BKHV_51">Categorienormen!$H$7</definedName>
    <definedName name="cattf_1_BKZB_1">Categorienormen!$H$8</definedName>
    <definedName name="cattf_1_BKZV_51">Categorienormen!$H$9</definedName>
    <definedName name="cattf_1_BRHB_1">Categorienormen!$H$10</definedName>
    <definedName name="cattf_1_BRHV_51">Categorienormen!$H$11</definedName>
    <definedName name="cattf_1_BRZB_1">Categorienormen!$H$12</definedName>
    <definedName name="cattf_1_BRZV_51">Categorienormen!$H$13</definedName>
    <definedName name="cattf_1_BVHB_1">Categorienormen!$H$14</definedName>
    <definedName name="cattf_1_BVHB_51">Categorienormen!$H$15</definedName>
    <definedName name="cattf_1_BVZB_1">Categorienormen!$H$16</definedName>
    <definedName name="cattf_1_BVZV_51">Categorienormen!$H$17</definedName>
    <definedName name="cattf_1_LOHB_1">Categorienormen!$H$18</definedName>
    <definedName name="cattf_1_LOHV_51">Categorienormen!$H$19</definedName>
    <definedName name="cattf_1_RKHB_1">Categorienormen!$H$26</definedName>
    <definedName name="cattf_1_RKHV_51">Categorienormen!$H$27</definedName>
    <definedName name="cattf_1_RPHB_1">Categorienormen!$H$28</definedName>
    <definedName name="cattf_1_RPHV_51">Categorienormen!$H$29</definedName>
    <definedName name="cattf_1_RRHB_1">Categorienormen!$H$30</definedName>
    <definedName name="cattf_1_RRHV_51">Categorienormen!$H$31</definedName>
    <definedName name="cattf_1_SDHB_1">Categorienormen!$H$20</definedName>
    <definedName name="cattf_1_SDHV_51">Categorienormen!$H$21</definedName>
    <definedName name="cattf_1_SKHB_1">Categorienormen!$H$22</definedName>
    <definedName name="cattf_1_SKHV_51">Categorienormen!$H$23</definedName>
    <definedName name="cattf_1_STHB_1">Categorienormen!$H$24</definedName>
    <definedName name="cattf_1_STHV_51">Categorienormen!$H$25</definedName>
    <definedName name="cattf_1_VAHB_1">Categorienormen!$H$32</definedName>
    <definedName name="cattf_1_VAHV_51">Categorienormen!$H$33</definedName>
    <definedName name="cattf_1_VAZB_1">Categorienormen!$H$34</definedName>
    <definedName name="cattf_1_VAZV_51">Categorienormen!$H$35</definedName>
    <definedName name="cattf_1_VEHB_1">Categorienormen!$H$36</definedName>
    <definedName name="cattf_1_VEHV_51">Categorienormen!$H$37</definedName>
    <definedName name="cattf_1_VEZB_1">Categorienormen!$H$38</definedName>
    <definedName name="cattf_1_VEZV_51">Categorienormen!$H$39</definedName>
    <definedName name="cattf_1_VLHB_1">Categorienormen!$H$40</definedName>
    <definedName name="cattf_1_VLHV_51">Categorienormen!$H$41</definedName>
    <definedName name="cattf_1_VOHB_1">Categorienormen!$H$42</definedName>
    <definedName name="cattf_1_VOHV_51">Categorienormen!$H$43</definedName>
    <definedName name="cattf_1_VTHB_1">Categorienormen!$H$44</definedName>
    <definedName name="cattf_1_VTHV_51">Categorienormen!$H$45</definedName>
    <definedName name="dagenperjaar1">Omreken!$B$9</definedName>
    <definedName name="dagenperweek1">Omreken!$B$10</definedName>
    <definedName name="dagsoorttabel1">Omreken!$A$13:$B$25</definedName>
    <definedName name="dagwerk11">'Regulier werk'!$H$6</definedName>
    <definedName name="dagwerk12">'Regulier werk'!$H$7</definedName>
    <definedName name="dagwerk13">'Regulier werk'!$H$8</definedName>
    <definedName name="dagwerk14">'Regulier werk'!$H$9</definedName>
    <definedName name="dagwerk15">'Regulier werk'!$H$10</definedName>
    <definedName name="dagwerk16">'Regulier werk'!$H$11</definedName>
    <definedName name="dagwerk17">'Regulier werk'!$H$12</definedName>
    <definedName name="dagwerk18">'Regulier werk'!$H$13</definedName>
    <definedName name="dagwerk19">'Regulier werk'!$H$14</definedName>
    <definedName name="dagwerk20">'Regulier werk'!$H$15</definedName>
    <definedName name="dagwerk21">'Regulier werk'!$H$16</definedName>
    <definedName name="dagwerk22">'Regulier werk'!$H$17</definedName>
    <definedName name="dagwerk23">'Regulier werk'!$H$18</definedName>
    <definedName name="dagwerk24">'Regulier werk'!$H$19</definedName>
    <definedName name="dagwerk25">'Regulier werk'!$H$20</definedName>
    <definedName name="dagwerk26">'Regulier werk'!$H$21</definedName>
    <definedName name="dagwerk27">'Regulier werk'!$H$22</definedName>
    <definedName name="dagwerk28">'Regulier werk'!$H$23</definedName>
    <definedName name="dagwerk29">'Regulier werk'!$H$24</definedName>
    <definedName name="dagwerk30">'Regulier werk'!$H$25</definedName>
    <definedName name="dagwerk31">'Regulier werk'!$H$26</definedName>
    <definedName name="dagwerktabel1">Objectinformatie!$H$5:$H$25</definedName>
    <definedName name="gemuurtarief1">'Regulier werk'!$J$29</definedName>
    <definedName name="kengetaltabel1">Objectinformatie!$G$5:$G$25</definedName>
    <definedName name="object1_gemuurtarief1">'Ruimten werkdag'!$P$252</definedName>
    <definedName name="object1_opptabel1">Objectinformatie!$J$5:$J$25</definedName>
    <definedName name="object1_prijsdag1">'Ruimten werkdag'!$S$252</definedName>
    <definedName name="object1_prijsjaar1">'Ruimten werkdag'!$U$252</definedName>
    <definedName name="object1_urendag1">'Ruimten werkdag'!$Q$252</definedName>
    <definedName name="object1_urendaghf1">'Ruimten werkdag'!$R$252</definedName>
    <definedName name="object1_urenjaar1">'Ruimten werkdag'!$T$252</definedName>
    <definedName name="object2_gemuurtarief1">'Ruimten werkdag'!$P$275</definedName>
    <definedName name="object2_opptabel1">Objectinformatie!$K$5:$K$25</definedName>
    <definedName name="object2_prijsdag1">'Ruimten werkdag'!$S$275</definedName>
    <definedName name="object2_prijsjaar1">'Ruimten werkdag'!$U$275</definedName>
    <definedName name="object2_urendag1">'Ruimten werkdag'!$Q$275</definedName>
    <definedName name="object2_urendaghf1">'Ruimten werkdag'!$R$275</definedName>
    <definedName name="object2_urenjaar1">'Ruimten werkdag'!$T$275</definedName>
    <definedName name="object3_gemuurtarief1">'Ruimten werkdag'!$P$302</definedName>
    <definedName name="object3_opptabel1">Objectinformatie!$L$5:$L$25</definedName>
    <definedName name="object3_prijsdag1">'Ruimten werkdag'!$S$302</definedName>
    <definedName name="object3_prijsjaar1">'Ruimten werkdag'!$U$302</definedName>
    <definedName name="object3_urendag1">'Ruimten werkdag'!$Q$302</definedName>
    <definedName name="object3_urendaghf1">'Ruimten werkdag'!$R$302</definedName>
    <definedName name="object3_urenjaar1">'Ruimten werkdag'!$T$302</definedName>
    <definedName name="objectprijs1_1">Objecten!$Q$6</definedName>
    <definedName name="objectprijs2_1">Objecten!$Q$7</definedName>
    <definedName name="objectprijs3_1">Objecten!$Q$8</definedName>
    <definedName name="objecturen1_1">Objecten!$P$6</definedName>
    <definedName name="objecturen2_1">Objecten!$P$7</definedName>
    <definedName name="objecturen3_1">Objecten!$P$8</definedName>
    <definedName name="objecturenhf1_1">Objecten!$O$6</definedName>
    <definedName name="objecturenhf2_1">Objecten!$O$7</definedName>
    <definedName name="objecturenhf3_1">Objecten!$O$8</definedName>
    <definedName name="prijsdag1">'Regulier werk'!$L$27</definedName>
    <definedName name="prijsjaar">'Regulier werk'!$N$32</definedName>
    <definedName name="prijsjaar1">'Regulier werk'!$N$27</definedName>
    <definedName name="prijsjaaradditioneel">'Additioneel werk'!$K$9</definedName>
    <definedName name="prijsjaaradditioneel1">'Additioneel werk'!$K$7</definedName>
    <definedName name="prijsjaarglas">Glas!$K$18</definedName>
    <definedName name="prijsjaarglas1">Glas!$K$16</definedName>
    <definedName name="prijsjaarregie">Regiewerk!$K$11</definedName>
    <definedName name="prijsjaarregie1">Regiewerk!$K$9</definedName>
    <definedName name="prijsjaartotaal">Objecten!$Q$12</definedName>
    <definedName name="prijsjaartotaal1">Objecten!$Q$9</definedName>
    <definedName name="prijsjaartotaaloverzicht">'Totaalblad Objecten'!$G$8</definedName>
    <definedName name="prijsmaandtotaal1">Objecten!$R$9</definedName>
    <definedName name="prodnorm0">Glas!$H$13</definedName>
    <definedName name="prodnorm1">'Glas per locatie'!$I$6</definedName>
    <definedName name="prodnorm10">'Additioneel werk'!$H$6</definedName>
    <definedName name="prodnorm11">'Regulier werk'!$G$6</definedName>
    <definedName name="prodnorm12">'Regulier werk'!$G$7</definedName>
    <definedName name="prodnorm13">'Regulier werk'!$G$8</definedName>
    <definedName name="prodnorm14">'Regulier werk'!$G$9</definedName>
    <definedName name="prodnorm15">'Regulier werk'!$G$10</definedName>
    <definedName name="prodnorm16">'Regulier werk'!$G$11</definedName>
    <definedName name="prodnorm17">'Regulier werk'!$G$12</definedName>
    <definedName name="prodnorm18">'Regulier werk'!$G$13</definedName>
    <definedName name="prodnorm19">'Regulier werk'!$G$14</definedName>
    <definedName name="prodnorm2">'Glas per locatie'!$I$18</definedName>
    <definedName name="prodnorm20">'Regulier werk'!$G$15</definedName>
    <definedName name="prodnorm21">'Regulier werk'!$G$16</definedName>
    <definedName name="prodnorm22">'Regulier werk'!$G$17</definedName>
    <definedName name="prodnorm23">'Regulier werk'!$G$18</definedName>
    <definedName name="prodnorm24">'Regulier werk'!$G$19</definedName>
    <definedName name="prodnorm25">'Regulier werk'!$G$20</definedName>
    <definedName name="prodnorm26">'Regulier werk'!$G$21</definedName>
    <definedName name="prodnorm27">'Regulier werk'!$G$22</definedName>
    <definedName name="prodnorm28">'Regulier werk'!$G$23</definedName>
    <definedName name="prodnorm29">'Regulier werk'!$G$24</definedName>
    <definedName name="prodnorm3">'Glas per locatie'!$I$13</definedName>
    <definedName name="prodnorm30">'Regulier werk'!$G$25</definedName>
    <definedName name="prodnorm31">'Regulier werk'!$G$26</definedName>
    <definedName name="prodnorm5">'Glas per locatie'!$I$14</definedName>
    <definedName name="prodnorm7">'Glas per locatie'!$I$7</definedName>
    <definedName name="prodnorm8">'Glas per locatie'!$I$8</definedName>
    <definedName name="prodnorm9">'Glas per locatie'!$I$9</definedName>
    <definedName name="taakfreqtabel1">Objectinformatie!$E$5:$E$25</definedName>
    <definedName name="tabeltype">Omreken!$B$5:$B$5</definedName>
    <definedName name="Tariefopbouw1">Tariefopbouw!$B$53</definedName>
    <definedName name="Tariefopbouw2">Tariefopbouw!$B$61</definedName>
    <definedName name="Tariefopbouw3">Tariefopbouw!$D$61</definedName>
    <definedName name="Tariefopbouw4">Tariefopbouw!$D$53</definedName>
    <definedName name="Tariefopbouw5">Tariefopbouw!$F$53</definedName>
    <definedName name="Tariefopbouw6">Tariefopbouw!$H$53</definedName>
    <definedName name="Tariefopbouw7">Tariefopbouw!$J$53</definedName>
    <definedName name="TariefOpbouwBasisloon1">Tariefopbouw!$B$9</definedName>
    <definedName name="TariefOpbouwBasisloon2">Tariefopbouw!$D$9</definedName>
    <definedName name="TariefOpbouwBasisloon3">Tariefopbouw!$F$9</definedName>
    <definedName name="TariefOpbouwBasisloon4">Tariefopbouw!$H$9</definedName>
    <definedName name="TariefOpbouwBasisloon5">Tariefopbouw!$J$9</definedName>
    <definedName name="TariefOpbouwBasisloon6">Tariefopbouw!$L$9</definedName>
    <definedName name="TariefOpbouwBasisloon7">Tariefopbouw!$N$9</definedName>
    <definedName name="TariefOpbouwBasisloon8">Tariefopbouw!$P$9</definedName>
    <definedName name="TariefOpbouwDirecteKosten1">Tariefopbouw!$B$26</definedName>
    <definedName name="TariefOpbouwDirecteKosten2">Tariefopbouw!$D$26</definedName>
    <definedName name="TariefOpbouwDirecteKosten3">Tariefopbouw!$F$26</definedName>
    <definedName name="TariefOpbouwDirecteKosten4">Tariefopbouw!$H$26</definedName>
    <definedName name="TariefOpbouwDirecteKosten5">Tariefopbouw!$J$26</definedName>
    <definedName name="TariefOpbouwDirecteKosten6">Tariefopbouw!$L$26</definedName>
    <definedName name="TariefOpbouwDirecteKosten7">Tariefopbouw!$N$26</definedName>
    <definedName name="TariefOpbouwDirecteKosten8">Tariefopbouw!$P$26</definedName>
    <definedName name="TariefOpbouwErvaring1">Tariefopbouw!$B$6</definedName>
    <definedName name="TariefOpbouwErvaring2">Tariefopbouw!$D$6</definedName>
    <definedName name="TariefOpbouwErvaring3">Tariefopbouw!$F$6</definedName>
    <definedName name="TariefOpbouwErvaring4">Tariefopbouw!$H$6</definedName>
    <definedName name="TariefOpbouwErvaring5">Tariefopbouw!$J$6</definedName>
    <definedName name="TariefOpbouwErvaring6">Tariefopbouw!$L$6</definedName>
    <definedName name="TariefOpbouwErvaring7">Tariefopbouw!$N$6</definedName>
    <definedName name="TariefOpbouwErvaring8">Tariefopbouw!$P$6</definedName>
    <definedName name="TariefOpbouwIndirecteKosten1">Tariefopbouw!$B$35</definedName>
    <definedName name="TariefOpbouwIndirecteKosten2">Tariefopbouw!$D$35</definedName>
    <definedName name="TariefOpbouwIndirecteKosten3">Tariefopbouw!$F$35</definedName>
    <definedName name="TariefOpbouwIndirecteKosten4">Tariefopbouw!$H$35</definedName>
    <definedName name="TariefOpbouwIndirecteKosten5">Tariefopbouw!$J$35</definedName>
    <definedName name="TariefOpbouwIndirecteKosten6">Tariefopbouw!$L$35</definedName>
    <definedName name="TariefOpbouwIndirecteKosten7">Tariefopbouw!$N$35</definedName>
    <definedName name="TariefOpbouwIndirecteKosten8">Tariefopbouw!$P$35</definedName>
    <definedName name="TariefOpbouwNaam1">Tariefopbouw!$B$5</definedName>
    <definedName name="TariefOpbouwNaam2">Tariefopbouw!$D$5</definedName>
    <definedName name="TariefOpbouwNaam3">Tariefopbouw!$F$5</definedName>
    <definedName name="TariefOpbouwNaam4">Tariefopbouw!$H$5</definedName>
    <definedName name="TariefOpbouwNaam5">Tariefopbouw!$J$5</definedName>
    <definedName name="TariefOpbouwNaam6">Tariefopbouw!$L$5</definedName>
    <definedName name="TariefOpbouwNaam7">Tariefopbouw!$N$5</definedName>
    <definedName name="TariefOpbouwNaam8">Tariefopbouw!$P$5</definedName>
    <definedName name="TariefOpbouwRisicoWinst1">Tariefopbouw!$C$37</definedName>
    <definedName name="TariefOpbouwRisicoWinst2">Tariefopbouw!$E$37</definedName>
    <definedName name="TariefOpbouwRisicoWinst3">Tariefopbouw!$G$37</definedName>
    <definedName name="TariefOpbouwRisicoWinst4">Tariefopbouw!$I$37</definedName>
    <definedName name="TariefOpbouwRisicoWinst5">Tariefopbouw!$K$37</definedName>
    <definedName name="TariefOpbouwRisicoWinst6">Tariefopbouw!$M$37</definedName>
    <definedName name="TariefOpbouwRisicoWinst7">Tariefopbouw!$O$37</definedName>
    <definedName name="TariefOpbouwRisicoWinst8">Tariefopbouw!$Q$37</definedName>
    <definedName name="TariefOpbouwRisicoWinstPercentage1">Tariefopbouw!$B$37</definedName>
    <definedName name="TariefOpbouwRisicoWinstPercentage2">Tariefopbouw!$D$37</definedName>
    <definedName name="TariefOpbouwRisicoWinstPercentage3">Tariefopbouw!$F$37</definedName>
    <definedName name="TariefOpbouwRisicoWinstPercentage4">Tariefopbouw!$H$37</definedName>
    <definedName name="TariefOpbouwRisicoWinstPercentage5">Tariefopbouw!$J$37</definedName>
    <definedName name="TariefOpbouwRisicoWinstPercentage6">Tariefopbouw!$L$37</definedName>
    <definedName name="TariefOpbouwRisicoWinstPercentage7">Tariefopbouw!$N$37</definedName>
    <definedName name="TariefOpbouwRisicoWinstPercentage8">Tariefopbouw!$P$37</definedName>
    <definedName name="TariefOpbouwTarief1">Tariefopbouw!$B$39</definedName>
    <definedName name="TariefOpbouwTarief1DN">Tariefopbouw!$C$41</definedName>
    <definedName name="TariefOpbouwTarief1W">Tariefopbouw!$C$42</definedName>
    <definedName name="TariefOpbouwTarief1X">Tariefopbouw!$C$43</definedName>
    <definedName name="TariefOpbouwTarief2">Tariefopbouw!$D$39</definedName>
    <definedName name="TariefOpbouwTarief2DN">Tariefopbouw!$E$41</definedName>
    <definedName name="TariefOpbouwTarief2W">Tariefopbouw!$E$42</definedName>
    <definedName name="TariefOpbouwTarief2X">Tariefopbouw!$E$43</definedName>
    <definedName name="TariefOpbouwTarief3">Tariefopbouw!$F$39</definedName>
    <definedName name="TariefOpbouwTarief3DN">Tariefopbouw!$G$41</definedName>
    <definedName name="TariefOpbouwTarief3W">Tariefopbouw!$G$42</definedName>
    <definedName name="TariefOpbouwTarief3X">Tariefopbouw!$G$43</definedName>
    <definedName name="TariefOpbouwTarief4">Tariefopbouw!$H$39</definedName>
    <definedName name="TariefOpbouwTarief4DN">Tariefopbouw!$I$41</definedName>
    <definedName name="TariefOpbouwTarief4W">Tariefopbouw!$I$42</definedName>
    <definedName name="TariefOpbouwTarief4X">Tariefopbouw!$I$43</definedName>
    <definedName name="TariefOpbouwTarief5">Tariefopbouw!$J$39</definedName>
    <definedName name="TariefOpbouwTarief5DN">Tariefopbouw!$K$41</definedName>
    <definedName name="TariefOpbouwTarief5W">Tariefopbouw!$K$42</definedName>
    <definedName name="TariefOpbouwTarief5X">Tariefopbouw!$K$43</definedName>
    <definedName name="TariefOpbouwTarief6">Tariefopbouw!$L$39</definedName>
    <definedName name="TariefOpbouwTarief6DN">Tariefopbouw!$M$41</definedName>
    <definedName name="TariefOpbouwTarief6W">Tariefopbouw!$M$42</definedName>
    <definedName name="TariefOpbouwTarief6X">Tariefopbouw!$M$43</definedName>
    <definedName name="TariefOpbouwTarief7">Tariefopbouw!$N$39</definedName>
    <definedName name="TariefOpbouwTarief7DN">Tariefopbouw!$O$41</definedName>
    <definedName name="TariefOpbouwTarief7W">Tariefopbouw!$O$42</definedName>
    <definedName name="TariefOpbouwTarief7X">Tariefopbouw!$O$43</definedName>
    <definedName name="TariefOpbouwTarief8">Tariefopbouw!$P$39</definedName>
    <definedName name="TariefOpbouwTarief8DN">Tariefopbouw!$Q$41</definedName>
    <definedName name="TariefOpbouwTarief8W">Tariefopbouw!$Q$42</definedName>
    <definedName name="TariefOpbouwTarief8X">Tariefopbouw!$Q$43</definedName>
    <definedName name="TariefOpbouwTotaalLoonkosten1">Tariefopbouw!$B$19</definedName>
    <definedName name="TariefOpbouwTotaalLoonkosten2">Tariefopbouw!$D$19</definedName>
    <definedName name="TariefOpbouwTotaalLoonkosten3">Tariefopbouw!$F$19</definedName>
    <definedName name="TariefOpbouwTotaalLoonkosten4">Tariefopbouw!$H$19</definedName>
    <definedName name="TariefOpbouwTotaalLoonkosten5">Tariefopbouw!$J$19</definedName>
    <definedName name="TariefOpbouwTotaalLoonkosten6">Tariefopbouw!$L$19</definedName>
    <definedName name="TariefOpbouwTotaalLoonkosten7">Tariefopbouw!$N$19</definedName>
    <definedName name="TariefOpbouwTotaalLoonkosten8">Tariefopbouw!$P$19</definedName>
    <definedName name="TariefOpbouwUurloon1">Tariefopbouw!$B$12</definedName>
    <definedName name="TariefOpbouwUurloon2">Tariefopbouw!$D$12</definedName>
    <definedName name="TariefOpbouwUurloon3">Tariefopbouw!$F$12</definedName>
    <definedName name="TariefOpbouwUurloon4">Tariefopbouw!$H$12</definedName>
    <definedName name="TariefOpbouwUurloon5">Tariefopbouw!$J$12</definedName>
    <definedName name="TariefOpbouwUurloon6">Tariefopbouw!$L$12</definedName>
    <definedName name="TariefOpbouwUurloon7">Tariefopbouw!$N$12</definedName>
    <definedName name="TariefOpbouwUurloon8">Tariefopbouw!$P$12</definedName>
    <definedName name="TariefOpbouwUurloonkosten1">Tariefopbouw!$B$14</definedName>
    <definedName name="TariefOpbouwUurloonkosten2">Tariefopbouw!$D$14</definedName>
    <definedName name="TariefOpbouwUurloonkosten3">Tariefopbouw!$F$14</definedName>
    <definedName name="TariefOpbouwUurloonkosten4">Tariefopbouw!$H$14</definedName>
    <definedName name="TariefOpbouwUurloonkosten5">Tariefopbouw!$J$14</definedName>
    <definedName name="TariefOpbouwUurloonkosten6">Tariefopbouw!$L$14</definedName>
    <definedName name="TariefOpbouwUurloonkosten7">Tariefopbouw!$N$14</definedName>
    <definedName name="TariefOpbouwUurloonkosten8">Tariefopbouw!$P$14</definedName>
    <definedName name="tarieftabel1">Objectinformatie!$I$5:$I$25</definedName>
    <definedName name="TariefUitvoering1">Tariefopbouw!$C$50</definedName>
    <definedName name="TariefUitvoering2">Tariefopbouw!$C$59</definedName>
    <definedName name="TariefUitvoering3">Tariefopbouw!$E$59</definedName>
    <definedName name="TariefUitvoering4">Tariefopbouw!$E$50</definedName>
    <definedName name="TariefUitvoering5">Tariefopbouw!$G$50</definedName>
    <definedName name="TariefUitvoering6">Tariefopbouw!$I$50</definedName>
    <definedName name="TariefUitvoering7">Tariefopbouw!$K$50</definedName>
    <definedName name="urendag1">'Regulier werk'!$K$27</definedName>
    <definedName name="urenjaar">'Regulier werk'!$M$32</definedName>
    <definedName name="urenjaar1">'Regulier werk'!$M$27</definedName>
    <definedName name="urenjaartotaal">Objecten!$P$12</definedName>
    <definedName name="urenjaartotaal1">Objecten!$P$9</definedName>
    <definedName name="urenjaartotaalhf">Objecten!$O$12</definedName>
    <definedName name="urenjaartotaalhf1">Objecten!$O$9</definedName>
    <definedName name="urenjaartotaaloverzicht">'Totaalblad Objecten'!$F$8</definedName>
    <definedName name="urenjaartotaaloverzichthf">'Totaalblad Objecten'!$E$8</definedName>
    <definedName name="uurfactortabel1">Objectinformatie!$F$5:$F$25</definedName>
    <definedName name="uurtarief0">Glas!$I$13</definedName>
    <definedName name="uurtarief1">'Glas per locatie'!$J$6</definedName>
    <definedName name="uurtarief10">'Additioneel werk'!$G$6</definedName>
    <definedName name="uurtarief11">'Regulier werk'!$J$6</definedName>
    <definedName name="uurtarief12">'Regulier werk'!$J$7</definedName>
    <definedName name="uurtarief13">'Regulier werk'!$J$8</definedName>
    <definedName name="uurtarief14">'Regulier werk'!$J$9</definedName>
    <definedName name="uurtarief15">'Regulier werk'!$J$10</definedName>
    <definedName name="uurtarief16">'Regulier werk'!$J$11</definedName>
    <definedName name="uurtarief17">'Regulier werk'!$J$12</definedName>
    <definedName name="uurtarief18">'Regulier werk'!$J$13</definedName>
    <definedName name="uurtarief19">'Regulier werk'!$J$14</definedName>
    <definedName name="uurtarief2">'Glas per locatie'!$J$18</definedName>
    <definedName name="uurtarief20">'Regulier werk'!$J$15</definedName>
    <definedName name="uurtarief21">'Regulier werk'!$J$16</definedName>
    <definedName name="uurtarief22">'Regulier werk'!$J$17</definedName>
    <definedName name="uurtarief23">'Regulier werk'!$J$18</definedName>
    <definedName name="uurtarief24">'Regulier werk'!$J$19</definedName>
    <definedName name="uurtarief25">'Regulier werk'!$J$20</definedName>
    <definedName name="uurtarief26">'Regulier werk'!$J$21</definedName>
    <definedName name="uurtarief27">'Regulier werk'!$J$22</definedName>
    <definedName name="uurtarief28">'Regulier werk'!$J$23</definedName>
    <definedName name="uurtarief29">'Regulier werk'!$J$24</definedName>
    <definedName name="uurtarief3">'Glas per locatie'!$J$13</definedName>
    <definedName name="uurtarief30">'Regulier werk'!$J$25</definedName>
    <definedName name="uurtarief31">'Regulier werk'!$J$26</definedName>
    <definedName name="uurtarief5">'Glas per locatie'!$J$14</definedName>
    <definedName name="uurtarief7">'Glas per locatie'!$J$7</definedName>
    <definedName name="uurtarief8">'Glas per locatie'!$J$8</definedName>
    <definedName name="uurtarief9">'Glas per locatie'!$J$9</definedName>
    <definedName name="vu_variant">Totaal!$B$9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A1" i="14" l="1"/>
  <c r="J18" i="13"/>
  <c r="K18" i="13" s="1"/>
  <c r="K19" i="13" s="1"/>
  <c r="J14" i="13"/>
  <c r="K14" i="13" s="1"/>
  <c r="J13" i="13"/>
  <c r="K13" i="13" s="1"/>
  <c r="K15" i="13" s="1"/>
  <c r="J9" i="13"/>
  <c r="K9" i="13" s="1"/>
  <c r="J8" i="13"/>
  <c r="K8" i="13" s="1"/>
  <c r="J7" i="13"/>
  <c r="K7" i="13" s="1"/>
  <c r="J6" i="13"/>
  <c r="K6" i="13" s="1"/>
  <c r="K10" i="13" s="1"/>
  <c r="A1" i="13"/>
  <c r="J15" i="12"/>
  <c r="J14" i="12"/>
  <c r="J13" i="12"/>
  <c r="J12" i="12"/>
  <c r="J11" i="12"/>
  <c r="J10" i="12"/>
  <c r="J9" i="12"/>
  <c r="J8" i="12"/>
  <c r="J7" i="12"/>
  <c r="J6" i="12"/>
  <c r="A1" i="12"/>
  <c r="A1" i="11"/>
  <c r="A1" i="10"/>
  <c r="J6" i="9"/>
  <c r="A1" i="9"/>
  <c r="A1" i="8"/>
  <c r="A1" i="7"/>
  <c r="A1" i="5"/>
  <c r="J26" i="4"/>
  <c r="H26" i="4"/>
  <c r="G26" i="4"/>
  <c r="J25" i="4"/>
  <c r="H25" i="4"/>
  <c r="G25" i="4"/>
  <c r="J24" i="4"/>
  <c r="H24" i="4"/>
  <c r="G24" i="4"/>
  <c r="J23" i="4"/>
  <c r="H23" i="4"/>
  <c r="G23" i="4"/>
  <c r="J22" i="4"/>
  <c r="H22" i="4"/>
  <c r="G22" i="4"/>
  <c r="J21" i="4"/>
  <c r="H21" i="4"/>
  <c r="G21" i="4"/>
  <c r="J20" i="4"/>
  <c r="H20" i="4"/>
  <c r="G20" i="4"/>
  <c r="J19" i="4"/>
  <c r="H19" i="4"/>
  <c r="G19" i="4"/>
  <c r="J18" i="4"/>
  <c r="H18" i="4"/>
  <c r="G18" i="4"/>
  <c r="J17" i="4"/>
  <c r="H17" i="4"/>
  <c r="G17" i="4"/>
  <c r="J16" i="4"/>
  <c r="H16" i="4"/>
  <c r="G16" i="4"/>
  <c r="J15" i="4"/>
  <c r="H15" i="4"/>
  <c r="G15" i="4"/>
  <c r="J14" i="4"/>
  <c r="H14" i="4"/>
  <c r="G14" i="4"/>
  <c r="J13" i="4"/>
  <c r="H13" i="4"/>
  <c r="G13" i="4"/>
  <c r="J12" i="4"/>
  <c r="H12" i="4"/>
  <c r="G12" i="4"/>
  <c r="J11" i="4"/>
  <c r="H11" i="4"/>
  <c r="G11" i="4"/>
  <c r="J10" i="4"/>
  <c r="H10" i="4"/>
  <c r="G10" i="4"/>
  <c r="J9" i="4"/>
  <c r="H9" i="4"/>
  <c r="G9" i="4"/>
  <c r="J8" i="4"/>
  <c r="H8" i="4"/>
  <c r="G8" i="4"/>
  <c r="J7" i="4"/>
  <c r="H7" i="4"/>
  <c r="G7" i="4"/>
  <c r="J6" i="4"/>
  <c r="H6" i="4"/>
  <c r="G6" i="4"/>
  <c r="A1" i="4"/>
  <c r="A1" i="3"/>
  <c r="A60" i="2"/>
  <c r="D59" i="2"/>
  <c r="B59" i="2"/>
  <c r="A58" i="2"/>
  <c r="A57" i="2"/>
  <c r="A52" i="2"/>
  <c r="A51" i="2"/>
  <c r="J50" i="2"/>
  <c r="H50" i="2"/>
  <c r="F50" i="2"/>
  <c r="D50" i="2"/>
  <c r="B50" i="2"/>
  <c r="A49" i="2"/>
  <c r="A48" i="2"/>
  <c r="A47" i="2"/>
  <c r="P9" i="2"/>
  <c r="N9" i="2"/>
  <c r="L9" i="2"/>
  <c r="J9" i="2"/>
  <c r="H9" i="2"/>
  <c r="F9" i="2"/>
  <c r="D9" i="2"/>
  <c r="B9" i="2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E25" i="6" l="1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7" i="6"/>
  <c r="E6" i="6"/>
  <c r="E5" i="6"/>
  <c r="L301" i="5"/>
  <c r="L300" i="5"/>
  <c r="L298" i="5"/>
  <c r="L297" i="5"/>
  <c r="L296" i="5"/>
  <c r="L295" i="5"/>
  <c r="L294" i="5"/>
  <c r="L293" i="5"/>
  <c r="L292" i="5"/>
  <c r="L290" i="5"/>
  <c r="L289" i="5"/>
  <c r="L288" i="5"/>
  <c r="L287" i="5"/>
  <c r="L286" i="5"/>
  <c r="L285" i="5"/>
  <c r="L284" i="5"/>
  <c r="L283" i="5"/>
  <c r="L282" i="5"/>
  <c r="L281" i="5"/>
  <c r="L278" i="5"/>
  <c r="L277" i="5"/>
  <c r="L274" i="5"/>
  <c r="L273" i="5"/>
  <c r="L272" i="5"/>
  <c r="L271" i="5"/>
  <c r="L270" i="5"/>
  <c r="L269" i="5"/>
  <c r="L268" i="5"/>
  <c r="L267" i="5"/>
  <c r="L266" i="5"/>
  <c r="L264" i="5"/>
  <c r="L263" i="5"/>
  <c r="L262" i="5"/>
  <c r="L261" i="5"/>
  <c r="L260" i="5"/>
  <c r="L259" i="5"/>
  <c r="L258" i="5"/>
  <c r="L257" i="5"/>
  <c r="L255" i="5"/>
  <c r="L254" i="5"/>
  <c r="L251" i="5"/>
  <c r="L250" i="5"/>
  <c r="L249" i="5"/>
  <c r="L248" i="5"/>
  <c r="L247" i="5"/>
  <c r="L246" i="5"/>
  <c r="L245" i="5"/>
  <c r="L244" i="5"/>
  <c r="L243" i="5"/>
  <c r="L242" i="5"/>
  <c r="L241" i="5"/>
  <c r="L240" i="5"/>
  <c r="L239" i="5"/>
  <c r="L238" i="5"/>
  <c r="L237" i="5"/>
  <c r="L236" i="5"/>
  <c r="L235" i="5"/>
  <c r="L233" i="5"/>
  <c r="L232" i="5"/>
  <c r="L231" i="5"/>
  <c r="L230" i="5"/>
  <c r="L229" i="5"/>
  <c r="L228" i="5"/>
  <c r="L227" i="5"/>
  <c r="L226" i="5"/>
  <c r="L225" i="5"/>
  <c r="L222" i="5"/>
  <c r="L221" i="5"/>
  <c r="L220" i="5"/>
  <c r="L219" i="5"/>
  <c r="L218" i="5"/>
  <c r="L217" i="5"/>
  <c r="L216" i="5"/>
  <c r="L215" i="5"/>
  <c r="L214" i="5"/>
  <c r="L213" i="5"/>
  <c r="L212" i="5"/>
  <c r="L211" i="5"/>
  <c r="L209" i="5"/>
  <c r="L208" i="5"/>
  <c r="L207" i="5"/>
  <c r="L206" i="5"/>
  <c r="L205" i="5"/>
  <c r="L203" i="5"/>
  <c r="L202" i="5"/>
  <c r="L201" i="5"/>
  <c r="L200" i="5"/>
  <c r="L199" i="5"/>
  <c r="L198" i="5"/>
  <c r="L197" i="5"/>
  <c r="L196" i="5"/>
  <c r="L195" i="5"/>
  <c r="L194" i="5"/>
  <c r="L193" i="5"/>
  <c r="L192" i="5"/>
  <c r="L191" i="5"/>
  <c r="L190" i="5"/>
  <c r="L189" i="5"/>
  <c r="L187" i="5"/>
  <c r="L186" i="5"/>
  <c r="L185" i="5"/>
  <c r="L183" i="5"/>
  <c r="L182" i="5"/>
  <c r="L181" i="5"/>
  <c r="L180" i="5"/>
  <c r="L179" i="5"/>
  <c r="L178" i="5"/>
  <c r="L176" i="5"/>
  <c r="L175" i="5"/>
  <c r="L174" i="5"/>
  <c r="L173" i="5"/>
  <c r="L172" i="5"/>
  <c r="L171" i="5"/>
  <c r="L170" i="5"/>
  <c r="L169" i="5"/>
  <c r="L168" i="5"/>
  <c r="L167" i="5"/>
  <c r="L166" i="5"/>
  <c r="L165" i="5"/>
  <c r="L164" i="5"/>
  <c r="L163" i="5"/>
  <c r="L162" i="5"/>
  <c r="L161" i="5"/>
  <c r="L160" i="5"/>
  <c r="L159" i="5"/>
  <c r="L158" i="5"/>
  <c r="L157" i="5"/>
  <c r="L156" i="5"/>
  <c r="L154" i="5"/>
  <c r="L153" i="5"/>
  <c r="L152" i="5"/>
  <c r="L151" i="5"/>
  <c r="L150" i="5"/>
  <c r="L149" i="5"/>
  <c r="L148" i="5"/>
  <c r="L147" i="5"/>
  <c r="L146" i="5"/>
  <c r="L143" i="5"/>
  <c r="L142" i="5"/>
  <c r="L141" i="5"/>
  <c r="L140" i="5"/>
  <c r="L139" i="5"/>
  <c r="L138" i="5"/>
  <c r="L137" i="5"/>
  <c r="L136" i="5"/>
  <c r="L135" i="5"/>
  <c r="L134" i="5"/>
  <c r="L133" i="5"/>
  <c r="L132" i="5"/>
  <c r="L130" i="5"/>
  <c r="L129" i="5"/>
  <c r="L128" i="5"/>
  <c r="L127" i="5"/>
  <c r="L126" i="5"/>
  <c r="L124" i="5"/>
  <c r="L123" i="5"/>
  <c r="L122" i="5"/>
  <c r="L121" i="5"/>
  <c r="L120" i="5"/>
  <c r="L119" i="5"/>
  <c r="L118" i="5"/>
  <c r="L117" i="5"/>
  <c r="L116" i="5"/>
  <c r="L115" i="5"/>
  <c r="L114" i="5"/>
  <c r="L113" i="5"/>
  <c r="L112" i="5"/>
  <c r="L111" i="5"/>
  <c r="L110" i="5"/>
  <c r="L109" i="5"/>
  <c r="L107" i="5"/>
  <c r="L106" i="5"/>
  <c r="L105" i="5"/>
  <c r="L103" i="5"/>
  <c r="L102" i="5"/>
  <c r="L101" i="5"/>
  <c r="L100" i="5"/>
  <c r="L99" i="5"/>
  <c r="L98" i="5"/>
  <c r="L97" i="5"/>
  <c r="L96" i="5"/>
  <c r="L94" i="5"/>
  <c r="L93" i="5"/>
  <c r="L92" i="5"/>
  <c r="L91" i="5"/>
  <c r="L87" i="5"/>
  <c r="L86" i="5"/>
  <c r="L85" i="5"/>
  <c r="L84" i="5"/>
  <c r="L83" i="5"/>
  <c r="L82" i="5"/>
  <c r="L81" i="5"/>
  <c r="L77" i="5"/>
  <c r="L76" i="5"/>
  <c r="L75" i="5"/>
  <c r="L74" i="5"/>
  <c r="L73" i="5"/>
  <c r="L72" i="5"/>
  <c r="L66" i="5"/>
  <c r="L65" i="5"/>
  <c r="L64" i="5"/>
  <c r="L59" i="5"/>
  <c r="L58" i="5"/>
  <c r="L57" i="5"/>
  <c r="L56" i="5"/>
  <c r="L55" i="5"/>
  <c r="L54" i="5"/>
  <c r="L53" i="5"/>
  <c r="L52" i="5"/>
  <c r="L51" i="5"/>
  <c r="L50" i="5"/>
  <c r="L45" i="5"/>
  <c r="L44" i="5"/>
  <c r="L43" i="5"/>
  <c r="L42" i="5"/>
  <c r="L41" i="5"/>
  <c r="L40" i="5"/>
  <c r="L38" i="5"/>
  <c r="L37" i="5"/>
  <c r="L36" i="5"/>
  <c r="L35" i="5"/>
  <c r="L34" i="5"/>
  <c r="L33" i="5"/>
  <c r="L32" i="5"/>
  <c r="L31" i="5"/>
  <c r="L30" i="5"/>
  <c r="L29" i="5"/>
  <c r="L28" i="5"/>
  <c r="L25" i="5"/>
  <c r="L23" i="5"/>
  <c r="L22" i="5"/>
  <c r="L21" i="5"/>
  <c r="L20" i="5"/>
  <c r="L19" i="5"/>
  <c r="L18" i="5"/>
  <c r="L17" i="5"/>
  <c r="L15" i="5"/>
  <c r="L14" i="5"/>
  <c r="L13" i="5"/>
  <c r="L12" i="5"/>
  <c r="L11" i="5"/>
  <c r="L10" i="5"/>
  <c r="L9" i="5"/>
  <c r="L8" i="5"/>
  <c r="L7" i="5"/>
  <c r="L6" i="5"/>
  <c r="L5" i="5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8" i="4"/>
  <c r="F7" i="4"/>
  <c r="F6" i="4"/>
  <c r="E8" i="6"/>
  <c r="L16" i="5"/>
  <c r="F9" i="4"/>
  <c r="C8" i="11"/>
  <c r="C7" i="11"/>
  <c r="C6" i="11"/>
  <c r="C18" i="13"/>
  <c r="L18" i="13" s="1"/>
  <c r="C7" i="12"/>
  <c r="K7" i="12" s="1"/>
  <c r="L7" i="12" s="1"/>
  <c r="C14" i="13"/>
  <c r="L14" i="13" s="1"/>
  <c r="M14" i="13" s="1"/>
  <c r="C13" i="13"/>
  <c r="L13" i="13" s="1"/>
  <c r="C7" i="13"/>
  <c r="L7" i="13" s="1"/>
  <c r="M7" i="13" s="1"/>
  <c r="C6" i="13"/>
  <c r="L6" i="13" s="1"/>
  <c r="C12" i="12"/>
  <c r="K12" i="12" s="1"/>
  <c r="L12" i="12" s="1"/>
  <c r="C11" i="12"/>
  <c r="K11" i="12" s="1"/>
  <c r="L11" i="12" s="1"/>
  <c r="C10" i="12"/>
  <c r="K10" i="12" s="1"/>
  <c r="L10" i="12" s="1"/>
  <c r="C9" i="12"/>
  <c r="K9" i="12" s="1"/>
  <c r="L9" i="12" s="1"/>
  <c r="C8" i="12"/>
  <c r="K8" i="12" s="1"/>
  <c r="L8" i="12" s="1"/>
  <c r="C6" i="12"/>
  <c r="K6" i="12" s="1"/>
  <c r="C9" i="13"/>
  <c r="L9" i="13" s="1"/>
  <c r="M9" i="13" s="1"/>
  <c r="C8" i="13"/>
  <c r="L8" i="13" s="1"/>
  <c r="M8" i="13" s="1"/>
  <c r="C15" i="12"/>
  <c r="K15" i="12" s="1"/>
  <c r="L15" i="12" s="1"/>
  <c r="C14" i="12"/>
  <c r="K14" i="12" s="1"/>
  <c r="L14" i="12" s="1"/>
  <c r="C13" i="12"/>
  <c r="K13" i="12" s="1"/>
  <c r="L13" i="12" s="1"/>
  <c r="C6" i="9"/>
  <c r="K6" i="9" s="1"/>
  <c r="C11" i="2"/>
  <c r="C10" i="2"/>
  <c r="B12" i="2" s="1"/>
  <c r="E11" i="2"/>
  <c r="E10" i="2"/>
  <c r="D12" i="2" s="1"/>
  <c r="G11" i="2"/>
  <c r="G10" i="2"/>
  <c r="F12" i="2" s="1"/>
  <c r="I11" i="2"/>
  <c r="I10" i="2"/>
  <c r="H12" i="2" s="1"/>
  <c r="K11" i="2"/>
  <c r="K10" i="2"/>
  <c r="J12" i="2" s="1"/>
  <c r="M11" i="2"/>
  <c r="M10" i="2"/>
  <c r="L12" i="2" s="1"/>
  <c r="O11" i="2"/>
  <c r="O10" i="2"/>
  <c r="N12" i="2" s="1"/>
  <c r="Q11" i="2"/>
  <c r="Q10" i="2"/>
  <c r="P12" i="2" s="1"/>
  <c r="G5" i="6"/>
  <c r="M268" i="5"/>
  <c r="M262" i="5"/>
  <c r="M261" i="5"/>
  <c r="M10" i="5"/>
  <c r="K6" i="4"/>
  <c r="H5" i="6"/>
  <c r="N268" i="5"/>
  <c r="N262" i="5"/>
  <c r="N261" i="5"/>
  <c r="N10" i="5"/>
  <c r="I5" i="6"/>
  <c r="P268" i="5"/>
  <c r="P262" i="5"/>
  <c r="P261" i="5"/>
  <c r="P10" i="5"/>
  <c r="L6" i="4"/>
  <c r="G6" i="6"/>
  <c r="M289" i="5"/>
  <c r="M287" i="5"/>
  <c r="M286" i="5"/>
  <c r="M285" i="5"/>
  <c r="M251" i="5"/>
  <c r="M250" i="5"/>
  <c r="M249" i="5"/>
  <c r="M248" i="5"/>
  <c r="M247" i="5"/>
  <c r="M246" i="5"/>
  <c r="M245" i="5"/>
  <c r="M244" i="5"/>
  <c r="M243" i="5"/>
  <c r="M242" i="5"/>
  <c r="M241" i="5"/>
  <c r="M240" i="5"/>
  <c r="M239" i="5"/>
  <c r="M238" i="5"/>
  <c r="M237" i="5"/>
  <c r="M236" i="5"/>
  <c r="M235" i="5"/>
  <c r="M216" i="5"/>
  <c r="M215" i="5"/>
  <c r="M214" i="5"/>
  <c r="M213" i="5"/>
  <c r="M212" i="5"/>
  <c r="M202" i="5"/>
  <c r="M201" i="5"/>
  <c r="M200" i="5"/>
  <c r="M199" i="5"/>
  <c r="M198" i="5"/>
  <c r="M197" i="5"/>
  <c r="M196" i="5"/>
  <c r="M195" i="5"/>
  <c r="M194" i="5"/>
  <c r="M193" i="5"/>
  <c r="M192" i="5"/>
  <c r="M191" i="5"/>
  <c r="M190" i="5"/>
  <c r="M189" i="5"/>
  <c r="M179" i="5"/>
  <c r="M172" i="5"/>
  <c r="M171" i="5"/>
  <c r="M170" i="5"/>
  <c r="M169" i="5"/>
  <c r="M168" i="5"/>
  <c r="M167" i="5"/>
  <c r="M166" i="5"/>
  <c r="M165" i="5"/>
  <c r="M164" i="5"/>
  <c r="M163" i="5"/>
  <c r="M162" i="5"/>
  <c r="M161" i="5"/>
  <c r="M160" i="5"/>
  <c r="M159" i="5"/>
  <c r="M158" i="5"/>
  <c r="M157" i="5"/>
  <c r="M156" i="5"/>
  <c r="M137" i="5"/>
  <c r="M136" i="5"/>
  <c r="M135" i="5"/>
  <c r="M134" i="5"/>
  <c r="M133" i="5"/>
  <c r="M123" i="5"/>
  <c r="M122" i="5"/>
  <c r="M121" i="5"/>
  <c r="M120" i="5"/>
  <c r="M119" i="5"/>
  <c r="M118" i="5"/>
  <c r="M117" i="5"/>
  <c r="M116" i="5"/>
  <c r="M115" i="5"/>
  <c r="M114" i="5"/>
  <c r="M113" i="5"/>
  <c r="M112" i="5"/>
  <c r="M111" i="5"/>
  <c r="M110" i="5"/>
  <c r="M109" i="5"/>
  <c r="M97" i="5"/>
  <c r="M55" i="5"/>
  <c r="M35" i="5"/>
  <c r="M34" i="5"/>
  <c r="M33" i="5"/>
  <c r="M32" i="5"/>
  <c r="M31" i="5"/>
  <c r="M30" i="5"/>
  <c r="M29" i="5"/>
  <c r="M28" i="5"/>
  <c r="M25" i="5"/>
  <c r="K7" i="4"/>
  <c r="M7" i="4" s="1"/>
  <c r="N7" i="4" s="1"/>
  <c r="H6" i="6"/>
  <c r="N289" i="5"/>
  <c r="N287" i="5"/>
  <c r="N286" i="5"/>
  <c r="N285" i="5"/>
  <c r="N251" i="5"/>
  <c r="N250" i="5"/>
  <c r="N249" i="5"/>
  <c r="N248" i="5"/>
  <c r="N247" i="5"/>
  <c r="N246" i="5"/>
  <c r="N245" i="5"/>
  <c r="N244" i="5"/>
  <c r="N243" i="5"/>
  <c r="N242" i="5"/>
  <c r="N241" i="5"/>
  <c r="N240" i="5"/>
  <c r="N239" i="5"/>
  <c r="N238" i="5"/>
  <c r="N237" i="5"/>
  <c r="N236" i="5"/>
  <c r="N235" i="5"/>
  <c r="N216" i="5"/>
  <c r="N215" i="5"/>
  <c r="N214" i="5"/>
  <c r="N213" i="5"/>
  <c r="N212" i="5"/>
  <c r="N202" i="5"/>
  <c r="N201" i="5"/>
  <c r="N200" i="5"/>
  <c r="N199" i="5"/>
  <c r="N198" i="5"/>
  <c r="N197" i="5"/>
  <c r="N196" i="5"/>
  <c r="N195" i="5"/>
  <c r="N194" i="5"/>
  <c r="N193" i="5"/>
  <c r="N192" i="5"/>
  <c r="N191" i="5"/>
  <c r="N190" i="5"/>
  <c r="N189" i="5"/>
  <c r="N179" i="5"/>
  <c r="N172" i="5"/>
  <c r="N171" i="5"/>
  <c r="N170" i="5"/>
  <c r="N169" i="5"/>
  <c r="N168" i="5"/>
  <c r="N167" i="5"/>
  <c r="N166" i="5"/>
  <c r="N165" i="5"/>
  <c r="N164" i="5"/>
  <c r="N163" i="5"/>
  <c r="N162" i="5"/>
  <c r="N161" i="5"/>
  <c r="N160" i="5"/>
  <c r="N159" i="5"/>
  <c r="N158" i="5"/>
  <c r="N157" i="5"/>
  <c r="N156" i="5"/>
  <c r="N137" i="5"/>
  <c r="N136" i="5"/>
  <c r="N135" i="5"/>
  <c r="N134" i="5"/>
  <c r="N133" i="5"/>
  <c r="N123" i="5"/>
  <c r="N122" i="5"/>
  <c r="N121" i="5"/>
  <c r="N120" i="5"/>
  <c r="N119" i="5"/>
  <c r="N118" i="5"/>
  <c r="N117" i="5"/>
  <c r="N116" i="5"/>
  <c r="N115" i="5"/>
  <c r="N114" i="5"/>
  <c r="N113" i="5"/>
  <c r="N112" i="5"/>
  <c r="N111" i="5"/>
  <c r="N110" i="5"/>
  <c r="N109" i="5"/>
  <c r="N97" i="5"/>
  <c r="N55" i="5"/>
  <c r="N35" i="5"/>
  <c r="N34" i="5"/>
  <c r="N33" i="5"/>
  <c r="N32" i="5"/>
  <c r="N31" i="5"/>
  <c r="N30" i="5"/>
  <c r="N29" i="5"/>
  <c r="N28" i="5"/>
  <c r="N25" i="5"/>
  <c r="I6" i="6"/>
  <c r="P289" i="5"/>
  <c r="P287" i="5"/>
  <c r="P286" i="5"/>
  <c r="P285" i="5"/>
  <c r="P251" i="5"/>
  <c r="P250" i="5"/>
  <c r="P249" i="5"/>
  <c r="P248" i="5"/>
  <c r="P247" i="5"/>
  <c r="P246" i="5"/>
  <c r="P245" i="5"/>
  <c r="P244" i="5"/>
  <c r="P243" i="5"/>
  <c r="P242" i="5"/>
  <c r="P241" i="5"/>
  <c r="P240" i="5"/>
  <c r="P239" i="5"/>
  <c r="P238" i="5"/>
  <c r="P237" i="5"/>
  <c r="P236" i="5"/>
  <c r="P235" i="5"/>
  <c r="P216" i="5"/>
  <c r="P215" i="5"/>
  <c r="P214" i="5"/>
  <c r="P213" i="5"/>
  <c r="P212" i="5"/>
  <c r="P202" i="5"/>
  <c r="P201" i="5"/>
  <c r="P200" i="5"/>
  <c r="P199" i="5"/>
  <c r="P198" i="5"/>
  <c r="P197" i="5"/>
  <c r="P196" i="5"/>
  <c r="P195" i="5"/>
  <c r="P194" i="5"/>
  <c r="P193" i="5"/>
  <c r="P192" i="5"/>
  <c r="P191" i="5"/>
  <c r="P190" i="5"/>
  <c r="P189" i="5"/>
  <c r="P179" i="5"/>
  <c r="P172" i="5"/>
  <c r="P171" i="5"/>
  <c r="P170" i="5"/>
  <c r="P169" i="5"/>
  <c r="P168" i="5"/>
  <c r="P167" i="5"/>
  <c r="P166" i="5"/>
  <c r="P165" i="5"/>
  <c r="P164" i="5"/>
  <c r="P163" i="5"/>
  <c r="P162" i="5"/>
  <c r="P161" i="5"/>
  <c r="P160" i="5"/>
  <c r="P159" i="5"/>
  <c r="P158" i="5"/>
  <c r="P157" i="5"/>
  <c r="P156" i="5"/>
  <c r="P137" i="5"/>
  <c r="P136" i="5"/>
  <c r="P135" i="5"/>
  <c r="P134" i="5"/>
  <c r="P133" i="5"/>
  <c r="P123" i="5"/>
  <c r="P122" i="5"/>
  <c r="P121" i="5"/>
  <c r="P120" i="5"/>
  <c r="P119" i="5"/>
  <c r="P118" i="5"/>
  <c r="P117" i="5"/>
  <c r="P116" i="5"/>
  <c r="P115" i="5"/>
  <c r="P114" i="5"/>
  <c r="P113" i="5"/>
  <c r="P112" i="5"/>
  <c r="P111" i="5"/>
  <c r="P110" i="5"/>
  <c r="P109" i="5"/>
  <c r="P97" i="5"/>
  <c r="P55" i="5"/>
  <c r="P35" i="5"/>
  <c r="P34" i="5"/>
  <c r="P33" i="5"/>
  <c r="P32" i="5"/>
  <c r="P31" i="5"/>
  <c r="P30" i="5"/>
  <c r="P29" i="5"/>
  <c r="P28" i="5"/>
  <c r="P25" i="5"/>
  <c r="L7" i="4"/>
  <c r="G7" i="6"/>
  <c r="M254" i="5"/>
  <c r="M56" i="5"/>
  <c r="K8" i="4"/>
  <c r="M8" i="4" s="1"/>
  <c r="N8" i="4" s="1"/>
  <c r="H7" i="6"/>
  <c r="N254" i="5"/>
  <c r="N56" i="5"/>
  <c r="I7" i="6"/>
  <c r="P254" i="5"/>
  <c r="P56" i="5"/>
  <c r="L8" i="4"/>
  <c r="G8" i="6"/>
  <c r="M16" i="5"/>
  <c r="K9" i="4"/>
  <c r="M9" i="4" s="1"/>
  <c r="N9" i="4" s="1"/>
  <c r="H8" i="6"/>
  <c r="N16" i="5"/>
  <c r="I8" i="6"/>
  <c r="P16" i="5"/>
  <c r="L9" i="4"/>
  <c r="G9" i="6"/>
  <c r="M255" i="5"/>
  <c r="M8" i="5"/>
  <c r="M7" i="5"/>
  <c r="K10" i="4"/>
  <c r="M10" i="4" s="1"/>
  <c r="N10" i="4" s="1"/>
  <c r="H9" i="6"/>
  <c r="N255" i="5"/>
  <c r="N8" i="5"/>
  <c r="N7" i="5"/>
  <c r="I9" i="6"/>
  <c r="P255" i="5"/>
  <c r="P8" i="5"/>
  <c r="P7" i="5"/>
  <c r="L10" i="4"/>
  <c r="G10" i="6"/>
  <c r="M266" i="5"/>
  <c r="M263" i="5"/>
  <c r="M258" i="5"/>
  <c r="M129" i="5"/>
  <c r="M94" i="5"/>
  <c r="M93" i="5"/>
  <c r="M76" i="5"/>
  <c r="M74" i="5"/>
  <c r="M72" i="5"/>
  <c r="M58" i="5"/>
  <c r="K11" i="4"/>
  <c r="M11" i="4" s="1"/>
  <c r="N11" i="4" s="1"/>
  <c r="H10" i="6"/>
  <c r="N266" i="5"/>
  <c r="N263" i="5"/>
  <c r="N258" i="5"/>
  <c r="N129" i="5"/>
  <c r="N94" i="5"/>
  <c r="N93" i="5"/>
  <c r="N76" i="5"/>
  <c r="N74" i="5"/>
  <c r="N72" i="5"/>
  <c r="N58" i="5"/>
  <c r="I10" i="6"/>
  <c r="P266" i="5"/>
  <c r="P263" i="5"/>
  <c r="P258" i="5"/>
  <c r="P129" i="5"/>
  <c r="P94" i="5"/>
  <c r="P93" i="5"/>
  <c r="P76" i="5"/>
  <c r="P74" i="5"/>
  <c r="P72" i="5"/>
  <c r="P58" i="5"/>
  <c r="L11" i="4"/>
  <c r="G11" i="6"/>
  <c r="M290" i="5"/>
  <c r="M288" i="5"/>
  <c r="M267" i="5"/>
  <c r="M257" i="5"/>
  <c r="M232" i="5"/>
  <c r="M231" i="5"/>
  <c r="M230" i="5"/>
  <c r="M217" i="5"/>
  <c r="M186" i="5"/>
  <c r="M180" i="5"/>
  <c r="M153" i="5"/>
  <c r="M152" i="5"/>
  <c r="M151" i="5"/>
  <c r="M138" i="5"/>
  <c r="M106" i="5"/>
  <c r="M98" i="5"/>
  <c r="M17" i="5"/>
  <c r="M15" i="5"/>
  <c r="M14" i="5"/>
  <c r="M13" i="5"/>
  <c r="M12" i="5"/>
  <c r="M11" i="5"/>
  <c r="K12" i="4"/>
  <c r="M12" i="4" s="1"/>
  <c r="N12" i="4" s="1"/>
  <c r="H11" i="6"/>
  <c r="N290" i="5"/>
  <c r="N288" i="5"/>
  <c r="N267" i="5"/>
  <c r="N257" i="5"/>
  <c r="N232" i="5"/>
  <c r="N231" i="5"/>
  <c r="N230" i="5"/>
  <c r="N217" i="5"/>
  <c r="N186" i="5"/>
  <c r="N180" i="5"/>
  <c r="N153" i="5"/>
  <c r="N152" i="5"/>
  <c r="N151" i="5"/>
  <c r="N138" i="5"/>
  <c r="N106" i="5"/>
  <c r="N98" i="5"/>
  <c r="N17" i="5"/>
  <c r="N15" i="5"/>
  <c r="N14" i="5"/>
  <c r="N13" i="5"/>
  <c r="N12" i="5"/>
  <c r="N11" i="5"/>
  <c r="I11" i="6"/>
  <c r="P290" i="5"/>
  <c r="P288" i="5"/>
  <c r="P267" i="5"/>
  <c r="P257" i="5"/>
  <c r="P232" i="5"/>
  <c r="P231" i="5"/>
  <c r="P230" i="5"/>
  <c r="P217" i="5"/>
  <c r="P186" i="5"/>
  <c r="P180" i="5"/>
  <c r="P153" i="5"/>
  <c r="P152" i="5"/>
  <c r="P151" i="5"/>
  <c r="P138" i="5"/>
  <c r="P106" i="5"/>
  <c r="P98" i="5"/>
  <c r="P17" i="5"/>
  <c r="P15" i="5"/>
  <c r="P14" i="5"/>
  <c r="P13" i="5"/>
  <c r="P12" i="5"/>
  <c r="P11" i="5"/>
  <c r="L12" i="4"/>
  <c r="G12" i="6"/>
  <c r="M77" i="5"/>
  <c r="K13" i="4"/>
  <c r="M13" i="4" s="1"/>
  <c r="N13" i="4" s="1"/>
  <c r="H12" i="6"/>
  <c r="N77" i="5"/>
  <c r="I12" i="6"/>
  <c r="P77" i="5"/>
  <c r="L13" i="4"/>
  <c r="G13" i="6"/>
  <c r="M272" i="5"/>
  <c r="M130" i="5"/>
  <c r="M96" i="5"/>
  <c r="K14" i="4"/>
  <c r="M14" i="4" s="1"/>
  <c r="N14" i="4" s="1"/>
  <c r="H13" i="6"/>
  <c r="N272" i="5"/>
  <c r="N130" i="5"/>
  <c r="N96" i="5"/>
  <c r="I13" i="6"/>
  <c r="P272" i="5"/>
  <c r="P130" i="5"/>
  <c r="P96" i="5"/>
  <c r="L14" i="4"/>
  <c r="G14" i="6"/>
  <c r="M278" i="5"/>
  <c r="M209" i="5"/>
  <c r="M178" i="5"/>
  <c r="K15" i="4"/>
  <c r="M15" i="4" s="1"/>
  <c r="N15" i="4" s="1"/>
  <c r="H14" i="6"/>
  <c r="N278" i="5"/>
  <c r="N209" i="5"/>
  <c r="N178" i="5"/>
  <c r="I14" i="6"/>
  <c r="P278" i="5"/>
  <c r="P209" i="5"/>
  <c r="P178" i="5"/>
  <c r="L15" i="4"/>
  <c r="G15" i="6"/>
  <c r="M300" i="5"/>
  <c r="K16" i="4"/>
  <c r="M16" i="4" s="1"/>
  <c r="N16" i="4" s="1"/>
  <c r="H15" i="6"/>
  <c r="N300" i="5"/>
  <c r="I15" i="6"/>
  <c r="P300" i="5"/>
  <c r="L16" i="4"/>
  <c r="G16" i="6"/>
  <c r="M295" i="5"/>
  <c r="M294" i="5"/>
  <c r="M54" i="5"/>
  <c r="M52" i="5"/>
  <c r="K17" i="4"/>
  <c r="M17" i="4" s="1"/>
  <c r="N17" i="4" s="1"/>
  <c r="H16" i="6"/>
  <c r="N295" i="5"/>
  <c r="N294" i="5"/>
  <c r="N54" i="5"/>
  <c r="N52" i="5"/>
  <c r="I16" i="6"/>
  <c r="P295" i="5"/>
  <c r="P294" i="5"/>
  <c r="P54" i="5"/>
  <c r="P52" i="5"/>
  <c r="L17" i="4"/>
  <c r="G17" i="6"/>
  <c r="M75" i="5"/>
  <c r="M53" i="5"/>
  <c r="M51" i="5"/>
  <c r="K18" i="4"/>
  <c r="M18" i="4" s="1"/>
  <c r="N18" i="4" s="1"/>
  <c r="H17" i="6"/>
  <c r="N75" i="5"/>
  <c r="N53" i="5"/>
  <c r="N51" i="5"/>
  <c r="I17" i="6"/>
  <c r="P75" i="5"/>
  <c r="P53" i="5"/>
  <c r="P51" i="5"/>
  <c r="L18" i="4"/>
  <c r="G18" i="6"/>
  <c r="M296" i="5"/>
  <c r="M293" i="5"/>
  <c r="M292" i="5"/>
  <c r="M282" i="5"/>
  <c r="M281" i="5"/>
  <c r="M273" i="5"/>
  <c r="M271" i="5"/>
  <c r="M227" i="5"/>
  <c r="M226" i="5"/>
  <c r="M225" i="5"/>
  <c r="M222" i="5"/>
  <c r="M221" i="5"/>
  <c r="M220" i="5"/>
  <c r="M219" i="5"/>
  <c r="M218" i="5"/>
  <c r="M207" i="5"/>
  <c r="M206" i="5"/>
  <c r="M205" i="5"/>
  <c r="M183" i="5"/>
  <c r="M182" i="5"/>
  <c r="M181" i="5"/>
  <c r="M148" i="5"/>
  <c r="M147" i="5"/>
  <c r="M146" i="5"/>
  <c r="M143" i="5"/>
  <c r="M142" i="5"/>
  <c r="M141" i="5"/>
  <c r="M140" i="5"/>
  <c r="M139" i="5"/>
  <c r="M128" i="5"/>
  <c r="M127" i="5"/>
  <c r="M126" i="5"/>
  <c r="M103" i="5"/>
  <c r="M102" i="5"/>
  <c r="M101" i="5"/>
  <c r="M100" i="5"/>
  <c r="M99" i="5"/>
  <c r="M87" i="5"/>
  <c r="M86" i="5"/>
  <c r="M85" i="5"/>
  <c r="M84" i="5"/>
  <c r="M83" i="5"/>
  <c r="M82" i="5"/>
  <c r="M43" i="5"/>
  <c r="M42" i="5"/>
  <c r="M41" i="5"/>
  <c r="M40" i="5"/>
  <c r="K19" i="4"/>
  <c r="M19" i="4" s="1"/>
  <c r="N19" i="4" s="1"/>
  <c r="H18" i="6"/>
  <c r="N296" i="5"/>
  <c r="N293" i="5"/>
  <c r="N292" i="5"/>
  <c r="N282" i="5"/>
  <c r="N281" i="5"/>
  <c r="N273" i="5"/>
  <c r="N271" i="5"/>
  <c r="N227" i="5"/>
  <c r="N226" i="5"/>
  <c r="N225" i="5"/>
  <c r="N222" i="5"/>
  <c r="N221" i="5"/>
  <c r="N220" i="5"/>
  <c r="N219" i="5"/>
  <c r="N218" i="5"/>
  <c r="N207" i="5"/>
  <c r="N206" i="5"/>
  <c r="N205" i="5"/>
  <c r="N183" i="5"/>
  <c r="N182" i="5"/>
  <c r="N181" i="5"/>
  <c r="N148" i="5"/>
  <c r="N147" i="5"/>
  <c r="N146" i="5"/>
  <c r="N143" i="5"/>
  <c r="N142" i="5"/>
  <c r="N141" i="5"/>
  <c r="N140" i="5"/>
  <c r="N139" i="5"/>
  <c r="N128" i="5"/>
  <c r="N127" i="5"/>
  <c r="N126" i="5"/>
  <c r="N103" i="5"/>
  <c r="N102" i="5"/>
  <c r="N101" i="5"/>
  <c r="N100" i="5"/>
  <c r="N99" i="5"/>
  <c r="N87" i="5"/>
  <c r="N86" i="5"/>
  <c r="N85" i="5"/>
  <c r="N84" i="5"/>
  <c r="N83" i="5"/>
  <c r="N82" i="5"/>
  <c r="N43" i="5"/>
  <c r="N42" i="5"/>
  <c r="N41" i="5"/>
  <c r="N40" i="5"/>
  <c r="I18" i="6"/>
  <c r="P296" i="5"/>
  <c r="P293" i="5"/>
  <c r="P292" i="5"/>
  <c r="P282" i="5"/>
  <c r="P281" i="5"/>
  <c r="P273" i="5"/>
  <c r="P271" i="5"/>
  <c r="P227" i="5"/>
  <c r="P226" i="5"/>
  <c r="P225" i="5"/>
  <c r="P222" i="5"/>
  <c r="P221" i="5"/>
  <c r="P220" i="5"/>
  <c r="P219" i="5"/>
  <c r="P218" i="5"/>
  <c r="P207" i="5"/>
  <c r="P206" i="5"/>
  <c r="P205" i="5"/>
  <c r="P183" i="5"/>
  <c r="P182" i="5"/>
  <c r="P181" i="5"/>
  <c r="P148" i="5"/>
  <c r="P147" i="5"/>
  <c r="P146" i="5"/>
  <c r="P143" i="5"/>
  <c r="P142" i="5"/>
  <c r="P141" i="5"/>
  <c r="P140" i="5"/>
  <c r="P139" i="5"/>
  <c r="P128" i="5"/>
  <c r="P127" i="5"/>
  <c r="P126" i="5"/>
  <c r="P103" i="5"/>
  <c r="P102" i="5"/>
  <c r="P101" i="5"/>
  <c r="P100" i="5"/>
  <c r="P99" i="5"/>
  <c r="P87" i="5"/>
  <c r="P86" i="5"/>
  <c r="P85" i="5"/>
  <c r="P84" i="5"/>
  <c r="P83" i="5"/>
  <c r="P82" i="5"/>
  <c r="P43" i="5"/>
  <c r="P42" i="5"/>
  <c r="P41" i="5"/>
  <c r="P40" i="5"/>
  <c r="L19" i="4"/>
  <c r="G19" i="6"/>
  <c r="M301" i="5"/>
  <c r="M298" i="5"/>
  <c r="M277" i="5"/>
  <c r="M274" i="5"/>
  <c r="M270" i="5"/>
  <c r="M269" i="5"/>
  <c r="M264" i="5"/>
  <c r="M259" i="5"/>
  <c r="M211" i="5"/>
  <c r="M208" i="5"/>
  <c r="M176" i="5"/>
  <c r="M132" i="5"/>
  <c r="M66" i="5"/>
  <c r="M65" i="5"/>
  <c r="M64" i="5"/>
  <c r="M59" i="5"/>
  <c r="M50" i="5"/>
  <c r="M38" i="5"/>
  <c r="M36" i="5"/>
  <c r="M21" i="5"/>
  <c r="M18" i="5"/>
  <c r="K20" i="4"/>
  <c r="M20" i="4" s="1"/>
  <c r="N20" i="4" s="1"/>
  <c r="H19" i="6"/>
  <c r="N301" i="5"/>
  <c r="N298" i="5"/>
  <c r="N277" i="5"/>
  <c r="N274" i="5"/>
  <c r="N270" i="5"/>
  <c r="N269" i="5"/>
  <c r="N264" i="5"/>
  <c r="N259" i="5"/>
  <c r="N211" i="5"/>
  <c r="N208" i="5"/>
  <c r="N176" i="5"/>
  <c r="N132" i="5"/>
  <c r="N66" i="5"/>
  <c r="N65" i="5"/>
  <c r="N64" i="5"/>
  <c r="N59" i="5"/>
  <c r="N50" i="5"/>
  <c r="N38" i="5"/>
  <c r="N36" i="5"/>
  <c r="N21" i="5"/>
  <c r="N18" i="5"/>
  <c r="I19" i="6"/>
  <c r="P301" i="5"/>
  <c r="P298" i="5"/>
  <c r="P277" i="5"/>
  <c r="P274" i="5"/>
  <c r="P270" i="5"/>
  <c r="P269" i="5"/>
  <c r="P264" i="5"/>
  <c r="P259" i="5"/>
  <c r="P211" i="5"/>
  <c r="P208" i="5"/>
  <c r="P176" i="5"/>
  <c r="P132" i="5"/>
  <c r="P66" i="5"/>
  <c r="P65" i="5"/>
  <c r="P64" i="5"/>
  <c r="P59" i="5"/>
  <c r="P50" i="5"/>
  <c r="P38" i="5"/>
  <c r="P36" i="5"/>
  <c r="P21" i="5"/>
  <c r="P18" i="5"/>
  <c r="L20" i="4"/>
  <c r="G20" i="6"/>
  <c r="M284" i="5"/>
  <c r="M283" i="5"/>
  <c r="M260" i="5"/>
  <c r="M229" i="5"/>
  <c r="M185" i="5"/>
  <c r="M150" i="5"/>
  <c r="M105" i="5"/>
  <c r="M22" i="5"/>
  <c r="M20" i="5"/>
  <c r="M19" i="5"/>
  <c r="K21" i="4"/>
  <c r="M21" i="4" s="1"/>
  <c r="N21" i="4" s="1"/>
  <c r="H20" i="6"/>
  <c r="N284" i="5"/>
  <c r="N283" i="5"/>
  <c r="N260" i="5"/>
  <c r="N229" i="5"/>
  <c r="N185" i="5"/>
  <c r="N150" i="5"/>
  <c r="N105" i="5"/>
  <c r="N22" i="5"/>
  <c r="N20" i="5"/>
  <c r="N19" i="5"/>
  <c r="I20" i="6"/>
  <c r="P284" i="5"/>
  <c r="P283" i="5"/>
  <c r="P260" i="5"/>
  <c r="P229" i="5"/>
  <c r="P185" i="5"/>
  <c r="P150" i="5"/>
  <c r="P105" i="5"/>
  <c r="P22" i="5"/>
  <c r="P20" i="5"/>
  <c r="P19" i="5"/>
  <c r="L21" i="4"/>
  <c r="G21" i="6"/>
  <c r="M175" i="5"/>
  <c r="M174" i="5"/>
  <c r="M92" i="5"/>
  <c r="M45" i="5"/>
  <c r="M9" i="5"/>
  <c r="K22" i="4"/>
  <c r="M22" i="4" s="1"/>
  <c r="N22" i="4" s="1"/>
  <c r="H21" i="6"/>
  <c r="N175" i="5"/>
  <c r="N174" i="5"/>
  <c r="N92" i="5"/>
  <c r="N45" i="5"/>
  <c r="N9" i="5"/>
  <c r="I21" i="6"/>
  <c r="P175" i="5"/>
  <c r="P174" i="5"/>
  <c r="P92" i="5"/>
  <c r="P45" i="5"/>
  <c r="P9" i="5"/>
  <c r="L22" i="4"/>
  <c r="G22" i="6"/>
  <c r="M57" i="5"/>
  <c r="M6" i="5"/>
  <c r="M5" i="5"/>
  <c r="K23" i="4"/>
  <c r="M23" i="4" s="1"/>
  <c r="N23" i="4" s="1"/>
  <c r="H22" i="6"/>
  <c r="N57" i="5"/>
  <c r="N6" i="5"/>
  <c r="N5" i="5"/>
  <c r="I22" i="6"/>
  <c r="P57" i="5"/>
  <c r="P6" i="5"/>
  <c r="P5" i="5"/>
  <c r="L23" i="4"/>
  <c r="G23" i="6"/>
  <c r="M297" i="5"/>
  <c r="M81" i="5"/>
  <c r="M37" i="5"/>
  <c r="K24" i="4"/>
  <c r="M24" i="4" s="1"/>
  <c r="N24" i="4" s="1"/>
  <c r="H23" i="6"/>
  <c r="N297" i="5"/>
  <c r="N81" i="5"/>
  <c r="N37" i="5"/>
  <c r="I23" i="6"/>
  <c r="P297" i="5"/>
  <c r="P81" i="5"/>
  <c r="P37" i="5"/>
  <c r="L24" i="4"/>
  <c r="G24" i="6"/>
  <c r="M228" i="5"/>
  <c r="M203" i="5"/>
  <c r="M149" i="5"/>
  <c r="M124" i="5"/>
  <c r="M23" i="5"/>
  <c r="K25" i="4"/>
  <c r="M25" i="4" s="1"/>
  <c r="N25" i="4" s="1"/>
  <c r="H24" i="6"/>
  <c r="N228" i="5"/>
  <c r="N203" i="5"/>
  <c r="N149" i="5"/>
  <c r="N124" i="5"/>
  <c r="N23" i="5"/>
  <c r="I24" i="6"/>
  <c r="P228" i="5"/>
  <c r="P203" i="5"/>
  <c r="P149" i="5"/>
  <c r="P124" i="5"/>
  <c r="P23" i="5"/>
  <c r="L25" i="4"/>
  <c r="G25" i="6"/>
  <c r="M233" i="5"/>
  <c r="M187" i="5"/>
  <c r="M173" i="5"/>
  <c r="M154" i="5"/>
  <c r="M107" i="5"/>
  <c r="M91" i="5"/>
  <c r="M73" i="5"/>
  <c r="M44" i="5"/>
  <c r="K26" i="4"/>
  <c r="M26" i="4" s="1"/>
  <c r="N26" i="4" s="1"/>
  <c r="H25" i="6"/>
  <c r="N233" i="5"/>
  <c r="N187" i="5"/>
  <c r="N173" i="5"/>
  <c r="N154" i="5"/>
  <c r="N107" i="5"/>
  <c r="N91" i="5"/>
  <c r="N73" i="5"/>
  <c r="N44" i="5"/>
  <c r="I25" i="6"/>
  <c r="P233" i="5"/>
  <c r="P187" i="5"/>
  <c r="P173" i="5"/>
  <c r="P154" i="5"/>
  <c r="P107" i="5"/>
  <c r="P91" i="5"/>
  <c r="P73" i="5"/>
  <c r="P44" i="5"/>
  <c r="L26" i="4"/>
  <c r="Q44" i="5" l="1"/>
  <c r="Q73" i="5"/>
  <c r="Q91" i="5"/>
  <c r="Q107" i="5"/>
  <c r="Q154" i="5"/>
  <c r="Q173" i="5"/>
  <c r="Q187" i="5"/>
  <c r="Q233" i="5"/>
  <c r="Q23" i="5"/>
  <c r="Q124" i="5"/>
  <c r="Q149" i="5"/>
  <c r="Q203" i="5"/>
  <c r="Q228" i="5"/>
  <c r="Q37" i="5"/>
  <c r="Q81" i="5"/>
  <c r="Q297" i="5"/>
  <c r="Q5" i="5"/>
  <c r="Q6" i="5"/>
  <c r="Q57" i="5"/>
  <c r="Q9" i="5"/>
  <c r="Q45" i="5"/>
  <c r="Q92" i="5"/>
  <c r="Q174" i="5"/>
  <c r="Q175" i="5"/>
  <c r="Q19" i="5"/>
  <c r="Q20" i="5"/>
  <c r="Q22" i="5"/>
  <c r="Q105" i="5"/>
  <c r="Q150" i="5"/>
  <c r="Q185" i="5"/>
  <c r="Q229" i="5"/>
  <c r="Q260" i="5"/>
  <c r="Q283" i="5"/>
  <c r="Q284" i="5"/>
  <c r="Q18" i="5"/>
  <c r="Q21" i="5"/>
  <c r="Q36" i="5"/>
  <c r="Q38" i="5"/>
  <c r="Q50" i="5"/>
  <c r="Q59" i="5"/>
  <c r="Q64" i="5"/>
  <c r="Q65" i="5"/>
  <c r="Q66" i="5"/>
  <c r="Q132" i="5"/>
  <c r="Q176" i="5"/>
  <c r="Q208" i="5"/>
  <c r="Q211" i="5"/>
  <c r="Q259" i="5"/>
  <c r="Q264" i="5"/>
  <c r="Q269" i="5"/>
  <c r="Q270" i="5"/>
  <c r="Q274" i="5"/>
  <c r="Q277" i="5"/>
  <c r="Q298" i="5"/>
  <c r="Q301" i="5"/>
  <c r="Q40" i="5"/>
  <c r="Q41" i="5"/>
  <c r="Q42" i="5"/>
  <c r="Q43" i="5"/>
  <c r="Q82" i="5"/>
  <c r="Q83" i="5"/>
  <c r="Q84" i="5"/>
  <c r="Q85" i="5"/>
  <c r="Q86" i="5"/>
  <c r="Q87" i="5"/>
  <c r="Q99" i="5"/>
  <c r="Q100" i="5"/>
  <c r="Q101" i="5"/>
  <c r="Q102" i="5"/>
  <c r="Q103" i="5"/>
  <c r="Q126" i="5"/>
  <c r="Q127" i="5"/>
  <c r="Q128" i="5"/>
  <c r="Q139" i="5"/>
  <c r="Q140" i="5"/>
  <c r="Q141" i="5"/>
  <c r="Q142" i="5"/>
  <c r="Q143" i="5"/>
  <c r="Q146" i="5"/>
  <c r="Q147" i="5"/>
  <c r="Q148" i="5"/>
  <c r="Q181" i="5"/>
  <c r="Q182" i="5"/>
  <c r="Q183" i="5"/>
  <c r="Q205" i="5"/>
  <c r="Q206" i="5"/>
  <c r="Q207" i="5"/>
  <c r="Q218" i="5"/>
  <c r="Q219" i="5"/>
  <c r="Q220" i="5"/>
  <c r="Q221" i="5"/>
  <c r="Q222" i="5"/>
  <c r="Q225" i="5"/>
  <c r="Q226" i="5"/>
  <c r="Q227" i="5"/>
  <c r="Q271" i="5"/>
  <c r="Q273" i="5"/>
  <c r="Q281" i="5"/>
  <c r="Q282" i="5"/>
  <c r="Q292" i="5"/>
  <c r="Q293" i="5"/>
  <c r="Q296" i="5"/>
  <c r="Q51" i="5"/>
  <c r="Q53" i="5"/>
  <c r="Q75" i="5"/>
  <c r="Q52" i="5"/>
  <c r="Q54" i="5"/>
  <c r="Q294" i="5"/>
  <c r="Q295" i="5"/>
  <c r="Q300" i="5"/>
  <c r="Q178" i="5"/>
  <c r="Q209" i="5"/>
  <c r="Q278" i="5"/>
  <c r="Q96" i="5"/>
  <c r="Q130" i="5"/>
  <c r="Q272" i="5"/>
  <c r="Q77" i="5"/>
  <c r="Q11" i="5"/>
  <c r="Q12" i="5"/>
  <c r="Q13" i="5"/>
  <c r="Q14" i="5"/>
  <c r="Q15" i="5"/>
  <c r="Q17" i="5"/>
  <c r="Q98" i="5"/>
  <c r="Q106" i="5"/>
  <c r="Q138" i="5"/>
  <c r="Q151" i="5"/>
  <c r="Q152" i="5"/>
  <c r="Q153" i="5"/>
  <c r="Q180" i="5"/>
  <c r="Q186" i="5"/>
  <c r="Q217" i="5"/>
  <c r="Q230" i="5"/>
  <c r="Q231" i="5"/>
  <c r="Q232" i="5"/>
  <c r="Q257" i="5"/>
  <c r="Q267" i="5"/>
  <c r="Q288" i="5"/>
  <c r="Q290" i="5"/>
  <c r="Q58" i="5"/>
  <c r="Q72" i="5"/>
  <c r="Q74" i="5"/>
  <c r="Q76" i="5"/>
  <c r="Q93" i="5"/>
  <c r="Q94" i="5"/>
  <c r="Q129" i="5"/>
  <c r="Q258" i="5"/>
  <c r="Q263" i="5"/>
  <c r="Q266" i="5"/>
  <c r="Q7" i="5"/>
  <c r="Q8" i="5"/>
  <c r="Q255" i="5"/>
  <c r="Q16" i="5"/>
  <c r="Q56" i="5"/>
  <c r="Q254" i="5"/>
  <c r="Q25" i="5"/>
  <c r="Q28" i="5"/>
  <c r="Q29" i="5"/>
  <c r="Q30" i="5"/>
  <c r="Q31" i="5"/>
  <c r="Q32" i="5"/>
  <c r="Q33" i="5"/>
  <c r="Q34" i="5"/>
  <c r="Q35" i="5"/>
  <c r="Q55" i="5"/>
  <c r="Q97" i="5"/>
  <c r="Q109" i="5"/>
  <c r="Q110" i="5"/>
  <c r="Q111" i="5"/>
  <c r="Q112" i="5"/>
  <c r="Q113" i="5"/>
  <c r="Q114" i="5"/>
  <c r="Q115" i="5"/>
  <c r="Q116" i="5"/>
  <c r="Q117" i="5"/>
  <c r="Q118" i="5"/>
  <c r="Q119" i="5"/>
  <c r="Q120" i="5"/>
  <c r="Q121" i="5"/>
  <c r="Q122" i="5"/>
  <c r="Q123" i="5"/>
  <c r="Q133" i="5"/>
  <c r="Q134" i="5"/>
  <c r="Q135" i="5"/>
  <c r="Q136" i="5"/>
  <c r="Q137" i="5"/>
  <c r="Q156" i="5"/>
  <c r="Q157" i="5"/>
  <c r="Q158" i="5"/>
  <c r="Q159" i="5"/>
  <c r="Q160" i="5"/>
  <c r="Q161" i="5"/>
  <c r="Q162" i="5"/>
  <c r="Q163" i="5"/>
  <c r="Q164" i="5"/>
  <c r="Q165" i="5"/>
  <c r="Q166" i="5"/>
  <c r="Q167" i="5"/>
  <c r="Q168" i="5"/>
  <c r="Q169" i="5"/>
  <c r="Q170" i="5"/>
  <c r="Q171" i="5"/>
  <c r="Q172" i="5"/>
  <c r="Q179" i="5"/>
  <c r="Q189" i="5"/>
  <c r="Q190" i="5"/>
  <c r="Q191" i="5"/>
  <c r="Q192" i="5"/>
  <c r="Q193" i="5"/>
  <c r="Q194" i="5"/>
  <c r="Q195" i="5"/>
  <c r="Q196" i="5"/>
  <c r="Q197" i="5"/>
  <c r="Q198" i="5"/>
  <c r="Q199" i="5"/>
  <c r="Q200" i="5"/>
  <c r="Q201" i="5"/>
  <c r="Q202" i="5"/>
  <c r="Q212" i="5"/>
  <c r="Q213" i="5"/>
  <c r="Q214" i="5"/>
  <c r="Q215" i="5"/>
  <c r="Q216" i="5"/>
  <c r="Q235" i="5"/>
  <c r="Q236" i="5"/>
  <c r="Q237" i="5"/>
  <c r="Q238" i="5"/>
  <c r="Q239" i="5"/>
  <c r="Q240" i="5"/>
  <c r="Q241" i="5"/>
  <c r="Q242" i="5"/>
  <c r="Q243" i="5"/>
  <c r="Q244" i="5"/>
  <c r="Q245" i="5"/>
  <c r="Q246" i="5"/>
  <c r="Q247" i="5"/>
  <c r="Q248" i="5"/>
  <c r="Q249" i="5"/>
  <c r="Q250" i="5"/>
  <c r="Q251" i="5"/>
  <c r="Q285" i="5"/>
  <c r="Q286" i="5"/>
  <c r="Q287" i="5"/>
  <c r="Q289" i="5"/>
  <c r="L27" i="4"/>
  <c r="K27" i="4"/>
  <c r="M6" i="4"/>
  <c r="Q10" i="5"/>
  <c r="Q261" i="5"/>
  <c r="Q262" i="5"/>
  <c r="Q268" i="5"/>
  <c r="Q13" i="2"/>
  <c r="P14" i="2" s="1"/>
  <c r="O13" i="2"/>
  <c r="N14" i="2" s="1"/>
  <c r="M13" i="2"/>
  <c r="L14" i="2" s="1"/>
  <c r="K13" i="2"/>
  <c r="J14" i="2" s="1"/>
  <c r="I13" i="2"/>
  <c r="H14" i="2" s="1"/>
  <c r="G13" i="2"/>
  <c r="F14" i="2" s="1"/>
  <c r="E13" i="2"/>
  <c r="D14" i="2" s="1"/>
  <c r="C13" i="2"/>
  <c r="B14" i="2" s="1"/>
  <c r="K7" i="9"/>
  <c r="L6" i="9"/>
  <c r="K16" i="12"/>
  <c r="L6" i="12"/>
  <c r="L10" i="13"/>
  <c r="M10" i="13" s="1"/>
  <c r="M6" i="13"/>
  <c r="L15" i="13"/>
  <c r="M15" i="13" s="1"/>
  <c r="M13" i="13"/>
  <c r="L19" i="13"/>
  <c r="M19" i="13" s="1"/>
  <c r="M18" i="13"/>
  <c r="K18" i="12" l="1"/>
  <c r="L16" i="12"/>
  <c r="K9" i="9"/>
  <c r="L7" i="9"/>
  <c r="C18" i="2"/>
  <c r="C17" i="2"/>
  <c r="C16" i="2"/>
  <c r="C15" i="2"/>
  <c r="B19" i="2" s="1"/>
  <c r="E18" i="2"/>
  <c r="E17" i="2"/>
  <c r="E16" i="2"/>
  <c r="E15" i="2"/>
  <c r="D19" i="2" s="1"/>
  <c r="G18" i="2"/>
  <c r="G17" i="2"/>
  <c r="G16" i="2"/>
  <c r="G15" i="2"/>
  <c r="F19" i="2" s="1"/>
  <c r="I18" i="2"/>
  <c r="I17" i="2"/>
  <c r="I16" i="2"/>
  <c r="I15" i="2"/>
  <c r="H19" i="2" s="1"/>
  <c r="K18" i="2"/>
  <c r="K17" i="2"/>
  <c r="K16" i="2"/>
  <c r="K15" i="2"/>
  <c r="J19" i="2" s="1"/>
  <c r="M18" i="2"/>
  <c r="M17" i="2"/>
  <c r="M16" i="2"/>
  <c r="M15" i="2"/>
  <c r="L19" i="2" s="1"/>
  <c r="O18" i="2"/>
  <c r="O17" i="2"/>
  <c r="O16" i="2"/>
  <c r="O15" i="2"/>
  <c r="N19" i="2" s="1"/>
  <c r="Q18" i="2"/>
  <c r="Q17" i="2"/>
  <c r="Q16" i="2"/>
  <c r="Q15" i="2"/>
  <c r="P19" i="2" s="1"/>
  <c r="T268" i="5"/>
  <c r="U268" i="5" s="1"/>
  <c r="S268" i="5"/>
  <c r="R268" i="5"/>
  <c r="T262" i="5"/>
  <c r="U262" i="5" s="1"/>
  <c r="S262" i="5"/>
  <c r="R262" i="5"/>
  <c r="T261" i="5"/>
  <c r="U261" i="5" s="1"/>
  <c r="S261" i="5"/>
  <c r="R261" i="5"/>
  <c r="T10" i="5"/>
  <c r="U10" i="5" s="1"/>
  <c r="S10" i="5"/>
  <c r="R10" i="5"/>
  <c r="M27" i="4"/>
  <c r="N6" i="4"/>
  <c r="N27" i="4" s="1"/>
  <c r="N32" i="4" s="1"/>
  <c r="T289" i="5"/>
  <c r="U289" i="5" s="1"/>
  <c r="S289" i="5"/>
  <c r="R289" i="5"/>
  <c r="T287" i="5"/>
  <c r="U287" i="5" s="1"/>
  <c r="S287" i="5"/>
  <c r="R287" i="5"/>
  <c r="T286" i="5"/>
  <c r="U286" i="5" s="1"/>
  <c r="S286" i="5"/>
  <c r="R286" i="5"/>
  <c r="T285" i="5"/>
  <c r="U285" i="5" s="1"/>
  <c r="S285" i="5"/>
  <c r="R285" i="5"/>
  <c r="T251" i="5"/>
  <c r="U251" i="5" s="1"/>
  <c r="S251" i="5"/>
  <c r="R251" i="5"/>
  <c r="T250" i="5"/>
  <c r="U250" i="5" s="1"/>
  <c r="S250" i="5"/>
  <c r="R250" i="5"/>
  <c r="T249" i="5"/>
  <c r="U249" i="5" s="1"/>
  <c r="S249" i="5"/>
  <c r="R249" i="5"/>
  <c r="T248" i="5"/>
  <c r="U248" i="5" s="1"/>
  <c r="S248" i="5"/>
  <c r="R248" i="5"/>
  <c r="T247" i="5"/>
  <c r="U247" i="5" s="1"/>
  <c r="S247" i="5"/>
  <c r="R247" i="5"/>
  <c r="T246" i="5"/>
  <c r="U246" i="5" s="1"/>
  <c r="S246" i="5"/>
  <c r="R246" i="5"/>
  <c r="T245" i="5"/>
  <c r="U245" i="5" s="1"/>
  <c r="S245" i="5"/>
  <c r="R245" i="5"/>
  <c r="T244" i="5"/>
  <c r="U244" i="5" s="1"/>
  <c r="S244" i="5"/>
  <c r="R244" i="5"/>
  <c r="T243" i="5"/>
  <c r="U243" i="5" s="1"/>
  <c r="S243" i="5"/>
  <c r="R243" i="5"/>
  <c r="T242" i="5"/>
  <c r="U242" i="5" s="1"/>
  <c r="S242" i="5"/>
  <c r="R242" i="5"/>
  <c r="T241" i="5"/>
  <c r="U241" i="5" s="1"/>
  <c r="S241" i="5"/>
  <c r="R241" i="5"/>
  <c r="T240" i="5"/>
  <c r="U240" i="5" s="1"/>
  <c r="S240" i="5"/>
  <c r="R240" i="5"/>
  <c r="T239" i="5"/>
  <c r="U239" i="5" s="1"/>
  <c r="S239" i="5"/>
  <c r="R239" i="5"/>
  <c r="T238" i="5"/>
  <c r="U238" i="5" s="1"/>
  <c r="S238" i="5"/>
  <c r="R238" i="5"/>
  <c r="T237" i="5"/>
  <c r="U237" i="5" s="1"/>
  <c r="S237" i="5"/>
  <c r="R237" i="5"/>
  <c r="T236" i="5"/>
  <c r="U236" i="5" s="1"/>
  <c r="S236" i="5"/>
  <c r="R236" i="5"/>
  <c r="T235" i="5"/>
  <c r="U235" i="5" s="1"/>
  <c r="S235" i="5"/>
  <c r="R235" i="5"/>
  <c r="T216" i="5"/>
  <c r="U216" i="5" s="1"/>
  <c r="S216" i="5"/>
  <c r="R216" i="5"/>
  <c r="T215" i="5"/>
  <c r="U215" i="5" s="1"/>
  <c r="S215" i="5"/>
  <c r="R215" i="5"/>
  <c r="T214" i="5"/>
  <c r="U214" i="5" s="1"/>
  <c r="S214" i="5"/>
  <c r="R214" i="5"/>
  <c r="T213" i="5"/>
  <c r="U213" i="5" s="1"/>
  <c r="S213" i="5"/>
  <c r="R213" i="5"/>
  <c r="T212" i="5"/>
  <c r="U212" i="5" s="1"/>
  <c r="S212" i="5"/>
  <c r="R212" i="5"/>
  <c r="T202" i="5"/>
  <c r="U202" i="5" s="1"/>
  <c r="S202" i="5"/>
  <c r="R202" i="5"/>
  <c r="T201" i="5"/>
  <c r="U201" i="5" s="1"/>
  <c r="S201" i="5"/>
  <c r="R201" i="5"/>
  <c r="T200" i="5"/>
  <c r="U200" i="5" s="1"/>
  <c r="S200" i="5"/>
  <c r="R200" i="5"/>
  <c r="T199" i="5"/>
  <c r="U199" i="5" s="1"/>
  <c r="S199" i="5"/>
  <c r="R199" i="5"/>
  <c r="T198" i="5"/>
  <c r="U198" i="5" s="1"/>
  <c r="S198" i="5"/>
  <c r="R198" i="5"/>
  <c r="T197" i="5"/>
  <c r="U197" i="5" s="1"/>
  <c r="S197" i="5"/>
  <c r="R197" i="5"/>
  <c r="T196" i="5"/>
  <c r="U196" i="5" s="1"/>
  <c r="S196" i="5"/>
  <c r="R196" i="5"/>
  <c r="T195" i="5"/>
  <c r="U195" i="5" s="1"/>
  <c r="S195" i="5"/>
  <c r="R195" i="5"/>
  <c r="T194" i="5"/>
  <c r="U194" i="5" s="1"/>
  <c r="S194" i="5"/>
  <c r="R194" i="5"/>
  <c r="T193" i="5"/>
  <c r="U193" i="5" s="1"/>
  <c r="S193" i="5"/>
  <c r="R193" i="5"/>
  <c r="T192" i="5"/>
  <c r="U192" i="5" s="1"/>
  <c r="S192" i="5"/>
  <c r="R192" i="5"/>
  <c r="T191" i="5"/>
  <c r="U191" i="5" s="1"/>
  <c r="S191" i="5"/>
  <c r="R191" i="5"/>
  <c r="T190" i="5"/>
  <c r="U190" i="5" s="1"/>
  <c r="S190" i="5"/>
  <c r="R190" i="5"/>
  <c r="T189" i="5"/>
  <c r="U189" i="5" s="1"/>
  <c r="S189" i="5"/>
  <c r="R189" i="5"/>
  <c r="T179" i="5"/>
  <c r="U179" i="5" s="1"/>
  <c r="S179" i="5"/>
  <c r="R179" i="5"/>
  <c r="T172" i="5"/>
  <c r="U172" i="5" s="1"/>
  <c r="S172" i="5"/>
  <c r="R172" i="5"/>
  <c r="T171" i="5"/>
  <c r="U171" i="5" s="1"/>
  <c r="S171" i="5"/>
  <c r="R171" i="5"/>
  <c r="T170" i="5"/>
  <c r="U170" i="5" s="1"/>
  <c r="S170" i="5"/>
  <c r="R170" i="5"/>
  <c r="T169" i="5"/>
  <c r="U169" i="5" s="1"/>
  <c r="S169" i="5"/>
  <c r="R169" i="5"/>
  <c r="T168" i="5"/>
  <c r="U168" i="5" s="1"/>
  <c r="S168" i="5"/>
  <c r="R168" i="5"/>
  <c r="T167" i="5"/>
  <c r="U167" i="5" s="1"/>
  <c r="S167" i="5"/>
  <c r="R167" i="5"/>
  <c r="T166" i="5"/>
  <c r="U166" i="5" s="1"/>
  <c r="S166" i="5"/>
  <c r="R166" i="5"/>
  <c r="T165" i="5"/>
  <c r="U165" i="5" s="1"/>
  <c r="S165" i="5"/>
  <c r="R165" i="5"/>
  <c r="T164" i="5"/>
  <c r="U164" i="5" s="1"/>
  <c r="S164" i="5"/>
  <c r="R164" i="5"/>
  <c r="T163" i="5"/>
  <c r="U163" i="5" s="1"/>
  <c r="S163" i="5"/>
  <c r="R163" i="5"/>
  <c r="T162" i="5"/>
  <c r="U162" i="5" s="1"/>
  <c r="S162" i="5"/>
  <c r="R162" i="5"/>
  <c r="T161" i="5"/>
  <c r="U161" i="5" s="1"/>
  <c r="S161" i="5"/>
  <c r="R161" i="5"/>
  <c r="T160" i="5"/>
  <c r="U160" i="5" s="1"/>
  <c r="S160" i="5"/>
  <c r="R160" i="5"/>
  <c r="T159" i="5"/>
  <c r="U159" i="5" s="1"/>
  <c r="S159" i="5"/>
  <c r="R159" i="5"/>
  <c r="T158" i="5"/>
  <c r="U158" i="5" s="1"/>
  <c r="S158" i="5"/>
  <c r="R158" i="5"/>
  <c r="T157" i="5"/>
  <c r="U157" i="5" s="1"/>
  <c r="S157" i="5"/>
  <c r="R157" i="5"/>
  <c r="T156" i="5"/>
  <c r="U156" i="5" s="1"/>
  <c r="S156" i="5"/>
  <c r="R156" i="5"/>
  <c r="T137" i="5"/>
  <c r="U137" i="5" s="1"/>
  <c r="S137" i="5"/>
  <c r="R137" i="5"/>
  <c r="T136" i="5"/>
  <c r="U136" i="5" s="1"/>
  <c r="S136" i="5"/>
  <c r="R136" i="5"/>
  <c r="T135" i="5"/>
  <c r="U135" i="5" s="1"/>
  <c r="S135" i="5"/>
  <c r="R135" i="5"/>
  <c r="T134" i="5"/>
  <c r="U134" i="5" s="1"/>
  <c r="S134" i="5"/>
  <c r="R134" i="5"/>
  <c r="T133" i="5"/>
  <c r="U133" i="5" s="1"/>
  <c r="S133" i="5"/>
  <c r="R133" i="5"/>
  <c r="T123" i="5"/>
  <c r="U123" i="5" s="1"/>
  <c r="S123" i="5"/>
  <c r="R123" i="5"/>
  <c r="T122" i="5"/>
  <c r="U122" i="5" s="1"/>
  <c r="S122" i="5"/>
  <c r="R122" i="5"/>
  <c r="T121" i="5"/>
  <c r="U121" i="5" s="1"/>
  <c r="S121" i="5"/>
  <c r="R121" i="5"/>
  <c r="T120" i="5"/>
  <c r="U120" i="5" s="1"/>
  <c r="S120" i="5"/>
  <c r="R120" i="5"/>
  <c r="T119" i="5"/>
  <c r="U119" i="5" s="1"/>
  <c r="S119" i="5"/>
  <c r="R119" i="5"/>
  <c r="T118" i="5"/>
  <c r="U118" i="5" s="1"/>
  <c r="S118" i="5"/>
  <c r="R118" i="5"/>
  <c r="T117" i="5"/>
  <c r="U117" i="5" s="1"/>
  <c r="S117" i="5"/>
  <c r="R117" i="5"/>
  <c r="T116" i="5"/>
  <c r="U116" i="5" s="1"/>
  <c r="S116" i="5"/>
  <c r="R116" i="5"/>
  <c r="T115" i="5"/>
  <c r="U115" i="5" s="1"/>
  <c r="S115" i="5"/>
  <c r="R115" i="5"/>
  <c r="T114" i="5"/>
  <c r="U114" i="5" s="1"/>
  <c r="S114" i="5"/>
  <c r="R114" i="5"/>
  <c r="T113" i="5"/>
  <c r="U113" i="5" s="1"/>
  <c r="S113" i="5"/>
  <c r="R113" i="5"/>
  <c r="T112" i="5"/>
  <c r="U112" i="5" s="1"/>
  <c r="S112" i="5"/>
  <c r="R112" i="5"/>
  <c r="T111" i="5"/>
  <c r="U111" i="5" s="1"/>
  <c r="S111" i="5"/>
  <c r="R111" i="5"/>
  <c r="T110" i="5"/>
  <c r="U110" i="5" s="1"/>
  <c r="S110" i="5"/>
  <c r="R110" i="5"/>
  <c r="T109" i="5"/>
  <c r="U109" i="5" s="1"/>
  <c r="S109" i="5"/>
  <c r="R109" i="5"/>
  <c r="T97" i="5"/>
  <c r="U97" i="5" s="1"/>
  <c r="S97" i="5"/>
  <c r="R97" i="5"/>
  <c r="T55" i="5"/>
  <c r="U55" i="5" s="1"/>
  <c r="S55" i="5"/>
  <c r="R55" i="5"/>
  <c r="T35" i="5"/>
  <c r="U35" i="5" s="1"/>
  <c r="S35" i="5"/>
  <c r="R35" i="5"/>
  <c r="T34" i="5"/>
  <c r="U34" i="5" s="1"/>
  <c r="S34" i="5"/>
  <c r="R34" i="5"/>
  <c r="T33" i="5"/>
  <c r="U33" i="5" s="1"/>
  <c r="S33" i="5"/>
  <c r="R33" i="5"/>
  <c r="T32" i="5"/>
  <c r="U32" i="5" s="1"/>
  <c r="S32" i="5"/>
  <c r="R32" i="5"/>
  <c r="T31" i="5"/>
  <c r="U31" i="5" s="1"/>
  <c r="S31" i="5"/>
  <c r="R31" i="5"/>
  <c r="T30" i="5"/>
  <c r="U30" i="5" s="1"/>
  <c r="S30" i="5"/>
  <c r="R30" i="5"/>
  <c r="T29" i="5"/>
  <c r="U29" i="5" s="1"/>
  <c r="S29" i="5"/>
  <c r="R29" i="5"/>
  <c r="T28" i="5"/>
  <c r="U28" i="5" s="1"/>
  <c r="S28" i="5"/>
  <c r="R28" i="5"/>
  <c r="T25" i="5"/>
  <c r="U25" i="5" s="1"/>
  <c r="S25" i="5"/>
  <c r="R25" i="5"/>
  <c r="Q275" i="5"/>
  <c r="T254" i="5"/>
  <c r="S254" i="5"/>
  <c r="S275" i="5" s="1"/>
  <c r="R254" i="5"/>
  <c r="R275" i="5" s="1"/>
  <c r="T56" i="5"/>
  <c r="U56" i="5" s="1"/>
  <c r="S56" i="5"/>
  <c r="R56" i="5"/>
  <c r="T16" i="5"/>
  <c r="U16" i="5" s="1"/>
  <c r="S16" i="5"/>
  <c r="R16" i="5"/>
  <c r="T255" i="5"/>
  <c r="U255" i="5" s="1"/>
  <c r="S255" i="5"/>
  <c r="R255" i="5"/>
  <c r="T8" i="5"/>
  <c r="U8" i="5" s="1"/>
  <c r="S8" i="5"/>
  <c r="R8" i="5"/>
  <c r="T7" i="5"/>
  <c r="U7" i="5" s="1"/>
  <c r="S7" i="5"/>
  <c r="R7" i="5"/>
  <c r="T266" i="5"/>
  <c r="U266" i="5" s="1"/>
  <c r="S266" i="5"/>
  <c r="R266" i="5"/>
  <c r="T263" i="5"/>
  <c r="U263" i="5" s="1"/>
  <c r="S263" i="5"/>
  <c r="R263" i="5"/>
  <c r="T258" i="5"/>
  <c r="U258" i="5" s="1"/>
  <c r="S258" i="5"/>
  <c r="R258" i="5"/>
  <c r="T129" i="5"/>
  <c r="U129" i="5" s="1"/>
  <c r="S129" i="5"/>
  <c r="R129" i="5"/>
  <c r="T94" i="5"/>
  <c r="U94" i="5" s="1"/>
  <c r="S94" i="5"/>
  <c r="R94" i="5"/>
  <c r="T93" i="5"/>
  <c r="U93" i="5" s="1"/>
  <c r="S93" i="5"/>
  <c r="R93" i="5"/>
  <c r="T76" i="5"/>
  <c r="U76" i="5" s="1"/>
  <c r="S76" i="5"/>
  <c r="R76" i="5"/>
  <c r="T74" i="5"/>
  <c r="U74" i="5" s="1"/>
  <c r="S74" i="5"/>
  <c r="R74" i="5"/>
  <c r="T72" i="5"/>
  <c r="U72" i="5" s="1"/>
  <c r="S72" i="5"/>
  <c r="R72" i="5"/>
  <c r="T58" i="5"/>
  <c r="U58" i="5" s="1"/>
  <c r="S58" i="5"/>
  <c r="R58" i="5"/>
  <c r="T290" i="5"/>
  <c r="U290" i="5" s="1"/>
  <c r="S290" i="5"/>
  <c r="R290" i="5"/>
  <c r="T288" i="5"/>
  <c r="U288" i="5" s="1"/>
  <c r="S288" i="5"/>
  <c r="R288" i="5"/>
  <c r="T267" i="5"/>
  <c r="U267" i="5" s="1"/>
  <c r="S267" i="5"/>
  <c r="R267" i="5"/>
  <c r="T257" i="5"/>
  <c r="U257" i="5" s="1"/>
  <c r="S257" i="5"/>
  <c r="R257" i="5"/>
  <c r="T232" i="5"/>
  <c r="U232" i="5" s="1"/>
  <c r="S232" i="5"/>
  <c r="R232" i="5"/>
  <c r="T231" i="5"/>
  <c r="U231" i="5" s="1"/>
  <c r="S231" i="5"/>
  <c r="R231" i="5"/>
  <c r="T230" i="5"/>
  <c r="U230" i="5" s="1"/>
  <c r="S230" i="5"/>
  <c r="R230" i="5"/>
  <c r="T217" i="5"/>
  <c r="U217" i="5" s="1"/>
  <c r="S217" i="5"/>
  <c r="R217" i="5"/>
  <c r="T186" i="5"/>
  <c r="U186" i="5" s="1"/>
  <c r="S186" i="5"/>
  <c r="R186" i="5"/>
  <c r="T180" i="5"/>
  <c r="U180" i="5" s="1"/>
  <c r="S180" i="5"/>
  <c r="R180" i="5"/>
  <c r="T153" i="5"/>
  <c r="U153" i="5" s="1"/>
  <c r="S153" i="5"/>
  <c r="R153" i="5"/>
  <c r="T152" i="5"/>
  <c r="U152" i="5" s="1"/>
  <c r="S152" i="5"/>
  <c r="R152" i="5"/>
  <c r="T151" i="5"/>
  <c r="U151" i="5" s="1"/>
  <c r="S151" i="5"/>
  <c r="R151" i="5"/>
  <c r="T138" i="5"/>
  <c r="U138" i="5" s="1"/>
  <c r="S138" i="5"/>
  <c r="R138" i="5"/>
  <c r="T106" i="5"/>
  <c r="U106" i="5" s="1"/>
  <c r="S106" i="5"/>
  <c r="R106" i="5"/>
  <c r="T98" i="5"/>
  <c r="U98" i="5" s="1"/>
  <c r="S98" i="5"/>
  <c r="R98" i="5"/>
  <c r="T17" i="5"/>
  <c r="U17" i="5" s="1"/>
  <c r="S17" i="5"/>
  <c r="R17" i="5"/>
  <c r="T15" i="5"/>
  <c r="U15" i="5" s="1"/>
  <c r="S15" i="5"/>
  <c r="R15" i="5"/>
  <c r="T14" i="5"/>
  <c r="U14" i="5" s="1"/>
  <c r="S14" i="5"/>
  <c r="R14" i="5"/>
  <c r="T13" i="5"/>
  <c r="U13" i="5" s="1"/>
  <c r="S13" i="5"/>
  <c r="R13" i="5"/>
  <c r="T12" i="5"/>
  <c r="U12" i="5" s="1"/>
  <c r="S12" i="5"/>
  <c r="R12" i="5"/>
  <c r="T11" i="5"/>
  <c r="U11" i="5" s="1"/>
  <c r="S11" i="5"/>
  <c r="R11" i="5"/>
  <c r="T77" i="5"/>
  <c r="U77" i="5" s="1"/>
  <c r="S77" i="5"/>
  <c r="R77" i="5"/>
  <c r="T272" i="5"/>
  <c r="U272" i="5" s="1"/>
  <c r="S272" i="5"/>
  <c r="R272" i="5"/>
  <c r="T130" i="5"/>
  <c r="U130" i="5" s="1"/>
  <c r="S130" i="5"/>
  <c r="R130" i="5"/>
  <c r="T96" i="5"/>
  <c r="U96" i="5" s="1"/>
  <c r="S96" i="5"/>
  <c r="R96" i="5"/>
  <c r="T278" i="5"/>
  <c r="U278" i="5" s="1"/>
  <c r="S278" i="5"/>
  <c r="R278" i="5"/>
  <c r="T209" i="5"/>
  <c r="U209" i="5" s="1"/>
  <c r="S209" i="5"/>
  <c r="R209" i="5"/>
  <c r="T178" i="5"/>
  <c r="U178" i="5" s="1"/>
  <c r="S178" i="5"/>
  <c r="R178" i="5"/>
  <c r="T300" i="5"/>
  <c r="U300" i="5" s="1"/>
  <c r="S300" i="5"/>
  <c r="R300" i="5"/>
  <c r="T295" i="5"/>
  <c r="U295" i="5" s="1"/>
  <c r="S295" i="5"/>
  <c r="R295" i="5"/>
  <c r="T294" i="5"/>
  <c r="U294" i="5" s="1"/>
  <c r="S294" i="5"/>
  <c r="R294" i="5"/>
  <c r="T54" i="5"/>
  <c r="U54" i="5" s="1"/>
  <c r="S54" i="5"/>
  <c r="R54" i="5"/>
  <c r="T52" i="5"/>
  <c r="U52" i="5" s="1"/>
  <c r="S52" i="5"/>
  <c r="R52" i="5"/>
  <c r="T75" i="5"/>
  <c r="U75" i="5" s="1"/>
  <c r="S75" i="5"/>
  <c r="R75" i="5"/>
  <c r="T53" i="5"/>
  <c r="U53" i="5" s="1"/>
  <c r="S53" i="5"/>
  <c r="R53" i="5"/>
  <c r="T51" i="5"/>
  <c r="U51" i="5" s="1"/>
  <c r="S51" i="5"/>
  <c r="R51" i="5"/>
  <c r="T296" i="5"/>
  <c r="U296" i="5" s="1"/>
  <c r="S296" i="5"/>
  <c r="R296" i="5"/>
  <c r="T293" i="5"/>
  <c r="U293" i="5" s="1"/>
  <c r="S293" i="5"/>
  <c r="R293" i="5"/>
  <c r="T292" i="5"/>
  <c r="U292" i="5" s="1"/>
  <c r="S292" i="5"/>
  <c r="R292" i="5"/>
  <c r="T282" i="5"/>
  <c r="U282" i="5" s="1"/>
  <c r="S282" i="5"/>
  <c r="R282" i="5"/>
  <c r="T281" i="5"/>
  <c r="U281" i="5" s="1"/>
  <c r="S281" i="5"/>
  <c r="R281" i="5"/>
  <c r="T273" i="5"/>
  <c r="U273" i="5" s="1"/>
  <c r="S273" i="5"/>
  <c r="R273" i="5"/>
  <c r="T271" i="5"/>
  <c r="U271" i="5" s="1"/>
  <c r="S271" i="5"/>
  <c r="R271" i="5"/>
  <c r="T227" i="5"/>
  <c r="U227" i="5" s="1"/>
  <c r="S227" i="5"/>
  <c r="R227" i="5"/>
  <c r="T226" i="5"/>
  <c r="U226" i="5" s="1"/>
  <c r="S226" i="5"/>
  <c r="R226" i="5"/>
  <c r="T225" i="5"/>
  <c r="U225" i="5" s="1"/>
  <c r="S225" i="5"/>
  <c r="R225" i="5"/>
  <c r="T222" i="5"/>
  <c r="U222" i="5" s="1"/>
  <c r="S222" i="5"/>
  <c r="R222" i="5"/>
  <c r="T221" i="5"/>
  <c r="U221" i="5" s="1"/>
  <c r="S221" i="5"/>
  <c r="R221" i="5"/>
  <c r="T220" i="5"/>
  <c r="U220" i="5" s="1"/>
  <c r="S220" i="5"/>
  <c r="R220" i="5"/>
  <c r="T219" i="5"/>
  <c r="U219" i="5" s="1"/>
  <c r="S219" i="5"/>
  <c r="R219" i="5"/>
  <c r="T218" i="5"/>
  <c r="U218" i="5" s="1"/>
  <c r="S218" i="5"/>
  <c r="R218" i="5"/>
  <c r="T207" i="5"/>
  <c r="U207" i="5" s="1"/>
  <c r="S207" i="5"/>
  <c r="R207" i="5"/>
  <c r="T206" i="5"/>
  <c r="U206" i="5" s="1"/>
  <c r="S206" i="5"/>
  <c r="R206" i="5"/>
  <c r="T205" i="5"/>
  <c r="U205" i="5" s="1"/>
  <c r="S205" i="5"/>
  <c r="R205" i="5"/>
  <c r="T183" i="5"/>
  <c r="U183" i="5" s="1"/>
  <c r="S183" i="5"/>
  <c r="R183" i="5"/>
  <c r="T182" i="5"/>
  <c r="U182" i="5" s="1"/>
  <c r="S182" i="5"/>
  <c r="R182" i="5"/>
  <c r="T181" i="5"/>
  <c r="U181" i="5" s="1"/>
  <c r="S181" i="5"/>
  <c r="R181" i="5"/>
  <c r="T148" i="5"/>
  <c r="U148" i="5" s="1"/>
  <c r="S148" i="5"/>
  <c r="R148" i="5"/>
  <c r="T147" i="5"/>
  <c r="U147" i="5" s="1"/>
  <c r="S147" i="5"/>
  <c r="R147" i="5"/>
  <c r="T146" i="5"/>
  <c r="U146" i="5" s="1"/>
  <c r="S146" i="5"/>
  <c r="R146" i="5"/>
  <c r="T143" i="5"/>
  <c r="U143" i="5" s="1"/>
  <c r="S143" i="5"/>
  <c r="R143" i="5"/>
  <c r="T142" i="5"/>
  <c r="U142" i="5" s="1"/>
  <c r="S142" i="5"/>
  <c r="R142" i="5"/>
  <c r="T141" i="5"/>
  <c r="U141" i="5" s="1"/>
  <c r="S141" i="5"/>
  <c r="R141" i="5"/>
  <c r="T140" i="5"/>
  <c r="U140" i="5" s="1"/>
  <c r="S140" i="5"/>
  <c r="R140" i="5"/>
  <c r="T139" i="5"/>
  <c r="U139" i="5" s="1"/>
  <c r="S139" i="5"/>
  <c r="R139" i="5"/>
  <c r="T128" i="5"/>
  <c r="U128" i="5" s="1"/>
  <c r="S128" i="5"/>
  <c r="R128" i="5"/>
  <c r="T127" i="5"/>
  <c r="U127" i="5" s="1"/>
  <c r="S127" i="5"/>
  <c r="R127" i="5"/>
  <c r="T126" i="5"/>
  <c r="U126" i="5" s="1"/>
  <c r="S126" i="5"/>
  <c r="R126" i="5"/>
  <c r="T103" i="5"/>
  <c r="U103" i="5" s="1"/>
  <c r="S103" i="5"/>
  <c r="R103" i="5"/>
  <c r="T102" i="5"/>
  <c r="U102" i="5" s="1"/>
  <c r="S102" i="5"/>
  <c r="R102" i="5"/>
  <c r="T101" i="5"/>
  <c r="U101" i="5" s="1"/>
  <c r="S101" i="5"/>
  <c r="R101" i="5"/>
  <c r="T100" i="5"/>
  <c r="U100" i="5" s="1"/>
  <c r="S100" i="5"/>
  <c r="R100" i="5"/>
  <c r="T99" i="5"/>
  <c r="U99" i="5" s="1"/>
  <c r="S99" i="5"/>
  <c r="R99" i="5"/>
  <c r="T87" i="5"/>
  <c r="U87" i="5" s="1"/>
  <c r="S87" i="5"/>
  <c r="R87" i="5"/>
  <c r="T86" i="5"/>
  <c r="U86" i="5" s="1"/>
  <c r="S86" i="5"/>
  <c r="R86" i="5"/>
  <c r="T85" i="5"/>
  <c r="U85" i="5" s="1"/>
  <c r="S85" i="5"/>
  <c r="R85" i="5"/>
  <c r="T84" i="5"/>
  <c r="U84" i="5" s="1"/>
  <c r="S84" i="5"/>
  <c r="R84" i="5"/>
  <c r="T83" i="5"/>
  <c r="U83" i="5" s="1"/>
  <c r="S83" i="5"/>
  <c r="R83" i="5"/>
  <c r="T82" i="5"/>
  <c r="U82" i="5" s="1"/>
  <c r="S82" i="5"/>
  <c r="R82" i="5"/>
  <c r="T43" i="5"/>
  <c r="U43" i="5" s="1"/>
  <c r="S43" i="5"/>
  <c r="R43" i="5"/>
  <c r="T42" i="5"/>
  <c r="U42" i="5" s="1"/>
  <c r="S42" i="5"/>
  <c r="R42" i="5"/>
  <c r="T41" i="5"/>
  <c r="U41" i="5" s="1"/>
  <c r="S41" i="5"/>
  <c r="R41" i="5"/>
  <c r="T40" i="5"/>
  <c r="U40" i="5" s="1"/>
  <c r="S40" i="5"/>
  <c r="R40" i="5"/>
  <c r="T301" i="5"/>
  <c r="U301" i="5" s="1"/>
  <c r="S301" i="5"/>
  <c r="R301" i="5"/>
  <c r="T298" i="5"/>
  <c r="U298" i="5" s="1"/>
  <c r="S298" i="5"/>
  <c r="R298" i="5"/>
  <c r="Q302" i="5"/>
  <c r="T277" i="5"/>
  <c r="S277" i="5"/>
  <c r="S302" i="5" s="1"/>
  <c r="R277" i="5"/>
  <c r="R302" i="5" s="1"/>
  <c r="T274" i="5"/>
  <c r="U274" i="5" s="1"/>
  <c r="S274" i="5"/>
  <c r="R274" i="5"/>
  <c r="T270" i="5"/>
  <c r="U270" i="5" s="1"/>
  <c r="S270" i="5"/>
  <c r="R270" i="5"/>
  <c r="T269" i="5"/>
  <c r="U269" i="5" s="1"/>
  <c r="S269" i="5"/>
  <c r="R269" i="5"/>
  <c r="T264" i="5"/>
  <c r="U264" i="5" s="1"/>
  <c r="S264" i="5"/>
  <c r="R264" i="5"/>
  <c r="T259" i="5"/>
  <c r="U259" i="5" s="1"/>
  <c r="S259" i="5"/>
  <c r="R259" i="5"/>
  <c r="T211" i="5"/>
  <c r="U211" i="5" s="1"/>
  <c r="S211" i="5"/>
  <c r="R211" i="5"/>
  <c r="T208" i="5"/>
  <c r="U208" i="5" s="1"/>
  <c r="S208" i="5"/>
  <c r="R208" i="5"/>
  <c r="T176" i="5"/>
  <c r="U176" i="5" s="1"/>
  <c r="S176" i="5"/>
  <c r="R176" i="5"/>
  <c r="T132" i="5"/>
  <c r="U132" i="5" s="1"/>
  <c r="S132" i="5"/>
  <c r="R132" i="5"/>
  <c r="T66" i="5"/>
  <c r="U66" i="5" s="1"/>
  <c r="S66" i="5"/>
  <c r="R66" i="5"/>
  <c r="T65" i="5"/>
  <c r="U65" i="5" s="1"/>
  <c r="S65" i="5"/>
  <c r="R65" i="5"/>
  <c r="T64" i="5"/>
  <c r="U64" i="5" s="1"/>
  <c r="S64" i="5"/>
  <c r="R64" i="5"/>
  <c r="T59" i="5"/>
  <c r="U59" i="5" s="1"/>
  <c r="S59" i="5"/>
  <c r="R59" i="5"/>
  <c r="T50" i="5"/>
  <c r="U50" i="5" s="1"/>
  <c r="S50" i="5"/>
  <c r="R50" i="5"/>
  <c r="T38" i="5"/>
  <c r="U38" i="5" s="1"/>
  <c r="S38" i="5"/>
  <c r="R38" i="5"/>
  <c r="T36" i="5"/>
  <c r="U36" i="5" s="1"/>
  <c r="S36" i="5"/>
  <c r="R36" i="5"/>
  <c r="T21" i="5"/>
  <c r="U21" i="5" s="1"/>
  <c r="S21" i="5"/>
  <c r="R21" i="5"/>
  <c r="T18" i="5"/>
  <c r="U18" i="5" s="1"/>
  <c r="S18" i="5"/>
  <c r="R18" i="5"/>
  <c r="T284" i="5"/>
  <c r="U284" i="5" s="1"/>
  <c r="S284" i="5"/>
  <c r="R284" i="5"/>
  <c r="T283" i="5"/>
  <c r="U283" i="5" s="1"/>
  <c r="S283" i="5"/>
  <c r="R283" i="5"/>
  <c r="T260" i="5"/>
  <c r="U260" i="5" s="1"/>
  <c r="S260" i="5"/>
  <c r="R260" i="5"/>
  <c r="T229" i="5"/>
  <c r="U229" i="5" s="1"/>
  <c r="S229" i="5"/>
  <c r="R229" i="5"/>
  <c r="T185" i="5"/>
  <c r="U185" i="5" s="1"/>
  <c r="S185" i="5"/>
  <c r="R185" i="5"/>
  <c r="T150" i="5"/>
  <c r="U150" i="5" s="1"/>
  <c r="S150" i="5"/>
  <c r="R150" i="5"/>
  <c r="T105" i="5"/>
  <c r="U105" i="5" s="1"/>
  <c r="S105" i="5"/>
  <c r="R105" i="5"/>
  <c r="T22" i="5"/>
  <c r="U22" i="5" s="1"/>
  <c r="S22" i="5"/>
  <c r="R22" i="5"/>
  <c r="T20" i="5"/>
  <c r="U20" i="5" s="1"/>
  <c r="S20" i="5"/>
  <c r="R20" i="5"/>
  <c r="T19" i="5"/>
  <c r="U19" i="5" s="1"/>
  <c r="S19" i="5"/>
  <c r="R19" i="5"/>
  <c r="T175" i="5"/>
  <c r="U175" i="5" s="1"/>
  <c r="S175" i="5"/>
  <c r="R175" i="5"/>
  <c r="T174" i="5"/>
  <c r="U174" i="5" s="1"/>
  <c r="S174" i="5"/>
  <c r="R174" i="5"/>
  <c r="T92" i="5"/>
  <c r="U92" i="5" s="1"/>
  <c r="S92" i="5"/>
  <c r="R92" i="5"/>
  <c r="T45" i="5"/>
  <c r="U45" i="5" s="1"/>
  <c r="S45" i="5"/>
  <c r="R45" i="5"/>
  <c r="T9" i="5"/>
  <c r="U9" i="5" s="1"/>
  <c r="S9" i="5"/>
  <c r="R9" i="5"/>
  <c r="T57" i="5"/>
  <c r="U57" i="5" s="1"/>
  <c r="S57" i="5"/>
  <c r="R57" i="5"/>
  <c r="T6" i="5"/>
  <c r="U6" i="5" s="1"/>
  <c r="S6" i="5"/>
  <c r="R6" i="5"/>
  <c r="Q252" i="5"/>
  <c r="T5" i="5"/>
  <c r="S5" i="5"/>
  <c r="S252" i="5" s="1"/>
  <c r="R5" i="5"/>
  <c r="R252" i="5" s="1"/>
  <c r="T297" i="5"/>
  <c r="U297" i="5" s="1"/>
  <c r="S297" i="5"/>
  <c r="R297" i="5"/>
  <c r="T81" i="5"/>
  <c r="U81" i="5" s="1"/>
  <c r="S81" i="5"/>
  <c r="R81" i="5"/>
  <c r="T37" i="5"/>
  <c r="U37" i="5" s="1"/>
  <c r="S37" i="5"/>
  <c r="R37" i="5"/>
  <c r="T228" i="5"/>
  <c r="U228" i="5" s="1"/>
  <c r="S228" i="5"/>
  <c r="R228" i="5"/>
  <c r="T203" i="5"/>
  <c r="U203" i="5" s="1"/>
  <c r="S203" i="5"/>
  <c r="R203" i="5"/>
  <c r="T149" i="5"/>
  <c r="U149" i="5" s="1"/>
  <c r="S149" i="5"/>
  <c r="R149" i="5"/>
  <c r="T124" i="5"/>
  <c r="U124" i="5" s="1"/>
  <c r="S124" i="5"/>
  <c r="R124" i="5"/>
  <c r="T23" i="5"/>
  <c r="U23" i="5" s="1"/>
  <c r="S23" i="5"/>
  <c r="R23" i="5"/>
  <c r="T233" i="5"/>
  <c r="U233" i="5" s="1"/>
  <c r="S233" i="5"/>
  <c r="R233" i="5"/>
  <c r="T187" i="5"/>
  <c r="U187" i="5" s="1"/>
  <c r="S187" i="5"/>
  <c r="R187" i="5"/>
  <c r="T173" i="5"/>
  <c r="U173" i="5" s="1"/>
  <c r="S173" i="5"/>
  <c r="R173" i="5"/>
  <c r="T154" i="5"/>
  <c r="U154" i="5" s="1"/>
  <c r="S154" i="5"/>
  <c r="R154" i="5"/>
  <c r="T107" i="5"/>
  <c r="U107" i="5" s="1"/>
  <c r="S107" i="5"/>
  <c r="R107" i="5"/>
  <c r="T91" i="5"/>
  <c r="U91" i="5" s="1"/>
  <c r="S91" i="5"/>
  <c r="R91" i="5"/>
  <c r="T73" i="5"/>
  <c r="U73" i="5" s="1"/>
  <c r="S73" i="5"/>
  <c r="R73" i="5"/>
  <c r="T44" i="5"/>
  <c r="U44" i="5" s="1"/>
  <c r="S44" i="5"/>
  <c r="R44" i="5"/>
  <c r="T252" i="5" l="1"/>
  <c r="P252" i="5" s="1"/>
  <c r="U5" i="5"/>
  <c r="U252" i="5" s="1"/>
  <c r="T302" i="5"/>
  <c r="P302" i="5" s="1"/>
  <c r="U277" i="5"/>
  <c r="U302" i="5" s="1"/>
  <c r="T275" i="5"/>
  <c r="P275" i="5" s="1"/>
  <c r="U254" i="5"/>
  <c r="U275" i="5" s="1"/>
  <c r="M32" i="4"/>
  <c r="J29" i="4"/>
  <c r="Q25" i="2"/>
  <c r="Q24" i="2"/>
  <c r="Q23" i="2"/>
  <c r="Q22" i="2"/>
  <c r="Q21" i="2"/>
  <c r="Q20" i="2"/>
  <c r="P26" i="2" s="1"/>
  <c r="O25" i="2"/>
  <c r="O24" i="2"/>
  <c r="O23" i="2"/>
  <c r="O22" i="2"/>
  <c r="O21" i="2"/>
  <c r="O20" i="2"/>
  <c r="N26" i="2" s="1"/>
  <c r="M25" i="2"/>
  <c r="M24" i="2"/>
  <c r="M23" i="2"/>
  <c r="M22" i="2"/>
  <c r="M21" i="2"/>
  <c r="M20" i="2"/>
  <c r="L26" i="2" s="1"/>
  <c r="K25" i="2"/>
  <c r="K24" i="2"/>
  <c r="K23" i="2"/>
  <c r="K22" i="2"/>
  <c r="K21" i="2"/>
  <c r="K20" i="2"/>
  <c r="J26" i="2" s="1"/>
  <c r="I25" i="2"/>
  <c r="I24" i="2"/>
  <c r="I23" i="2"/>
  <c r="I22" i="2"/>
  <c r="I21" i="2"/>
  <c r="I20" i="2"/>
  <c r="H26" i="2" s="1"/>
  <c r="G25" i="2"/>
  <c r="G24" i="2"/>
  <c r="G23" i="2"/>
  <c r="G22" i="2"/>
  <c r="G21" i="2"/>
  <c r="G20" i="2"/>
  <c r="F26" i="2" s="1"/>
  <c r="E25" i="2"/>
  <c r="E24" i="2"/>
  <c r="E23" i="2"/>
  <c r="E22" i="2"/>
  <c r="E21" i="2"/>
  <c r="E20" i="2"/>
  <c r="D26" i="2" s="1"/>
  <c r="C25" i="2"/>
  <c r="C24" i="2"/>
  <c r="C23" i="2"/>
  <c r="C22" i="2"/>
  <c r="C21" i="2"/>
  <c r="C20" i="2"/>
  <c r="B26" i="2" s="1"/>
  <c r="D5" i="14"/>
  <c r="E5" i="14" s="1"/>
  <c r="L9" i="9"/>
  <c r="D7" i="14"/>
  <c r="E7" i="14" s="1"/>
  <c r="L18" i="12"/>
  <c r="C34" i="2" l="1"/>
  <c r="C33" i="2"/>
  <c r="C32" i="2"/>
  <c r="C31" i="2"/>
  <c r="C30" i="2"/>
  <c r="C29" i="2"/>
  <c r="C28" i="2"/>
  <c r="B35" i="2" s="1"/>
  <c r="C43" i="2"/>
  <c r="K47" i="2" s="1"/>
  <c r="C42" i="2"/>
  <c r="I47" i="2" s="1"/>
  <c r="C41" i="2"/>
  <c r="E34" i="2"/>
  <c r="E33" i="2"/>
  <c r="E32" i="2"/>
  <c r="E31" i="2"/>
  <c r="E30" i="2"/>
  <c r="E29" i="2"/>
  <c r="E28" i="2"/>
  <c r="D35" i="2" s="1"/>
  <c r="E43" i="2"/>
  <c r="K48" i="2" s="1"/>
  <c r="E42" i="2"/>
  <c r="I48" i="2" s="1"/>
  <c r="E41" i="2"/>
  <c r="G34" i="2"/>
  <c r="G33" i="2"/>
  <c r="G32" i="2"/>
  <c r="G31" i="2"/>
  <c r="G30" i="2"/>
  <c r="G29" i="2"/>
  <c r="G28" i="2"/>
  <c r="F35" i="2" s="1"/>
  <c r="G43" i="2"/>
  <c r="K49" i="2" s="1"/>
  <c r="G42" i="2"/>
  <c r="I49" i="2" s="1"/>
  <c r="G41" i="2"/>
  <c r="I34" i="2"/>
  <c r="I33" i="2"/>
  <c r="I32" i="2"/>
  <c r="I31" i="2"/>
  <c r="I30" i="2"/>
  <c r="I29" i="2"/>
  <c r="I28" i="2"/>
  <c r="H35" i="2" s="1"/>
  <c r="I43" i="2"/>
  <c r="K51" i="2" s="1"/>
  <c r="I42" i="2"/>
  <c r="I51" i="2" s="1"/>
  <c r="I41" i="2"/>
  <c r="K34" i="2"/>
  <c r="K33" i="2"/>
  <c r="K32" i="2"/>
  <c r="K31" i="2"/>
  <c r="K30" i="2"/>
  <c r="K29" i="2"/>
  <c r="K28" i="2"/>
  <c r="J35" i="2" s="1"/>
  <c r="K43" i="2"/>
  <c r="K52" i="2" s="1"/>
  <c r="K42" i="2"/>
  <c r="I52" i="2" s="1"/>
  <c r="K41" i="2"/>
  <c r="M34" i="2"/>
  <c r="M33" i="2"/>
  <c r="M32" i="2"/>
  <c r="M31" i="2"/>
  <c r="M30" i="2"/>
  <c r="M29" i="2"/>
  <c r="M28" i="2"/>
  <c r="L35" i="2" s="1"/>
  <c r="M43" i="2"/>
  <c r="M42" i="2"/>
  <c r="M41" i="2"/>
  <c r="O34" i="2"/>
  <c r="O33" i="2"/>
  <c r="O32" i="2"/>
  <c r="O31" i="2"/>
  <c r="O30" i="2"/>
  <c r="O29" i="2"/>
  <c r="O28" i="2"/>
  <c r="N35" i="2" s="1"/>
  <c r="O43" i="2"/>
  <c r="O42" i="2"/>
  <c r="O41" i="2"/>
  <c r="Q34" i="2"/>
  <c r="Q33" i="2"/>
  <c r="Q32" i="2"/>
  <c r="Q31" i="2"/>
  <c r="Q30" i="2"/>
  <c r="Q29" i="2"/>
  <c r="Q28" i="2"/>
  <c r="P35" i="2" s="1"/>
  <c r="Q43" i="2"/>
  <c r="Q42" i="2"/>
  <c r="Q41" i="2"/>
  <c r="F8" i="7"/>
  <c r="M8" i="7" s="1"/>
  <c r="F7" i="7"/>
  <c r="M7" i="7" s="1"/>
  <c r="F6" i="7"/>
  <c r="M6" i="7" s="1"/>
  <c r="Q37" i="2" l="1"/>
  <c r="P39" i="2" s="1"/>
  <c r="O37" i="2"/>
  <c r="N39" i="2" s="1"/>
  <c r="M37" i="2"/>
  <c r="L39" i="2" s="1"/>
  <c r="K37" i="2"/>
  <c r="J39" i="2" s="1"/>
  <c r="I37" i="2"/>
  <c r="H39" i="2" s="1"/>
  <c r="G37" i="2"/>
  <c r="F39" i="2" s="1"/>
  <c r="E37" i="2"/>
  <c r="D39" i="2" s="1"/>
  <c r="C37" i="2"/>
  <c r="B39" i="2" s="1"/>
  <c r="G47" i="2" l="1"/>
  <c r="E47" i="2"/>
  <c r="C47" i="2"/>
  <c r="G48" i="2"/>
  <c r="E48" i="2"/>
  <c r="C48" i="2"/>
  <c r="G49" i="2"/>
  <c r="E49" i="2"/>
  <c r="C49" i="2"/>
  <c r="G51" i="2"/>
  <c r="E51" i="2"/>
  <c r="C51" i="2"/>
  <c r="G52" i="2"/>
  <c r="E52" i="2"/>
  <c r="C52" i="2"/>
  <c r="E57" i="2"/>
  <c r="C57" i="2"/>
  <c r="E58" i="2"/>
  <c r="C58" i="2"/>
  <c r="E60" i="2"/>
  <c r="C60" i="2"/>
  <c r="L8" i="7"/>
  <c r="N8" i="7"/>
  <c r="Q8" i="7"/>
  <c r="R8" i="7"/>
  <c r="G6" i="8"/>
  <c r="H6" i="8"/>
  <c r="I6" i="8"/>
  <c r="H8" i="7"/>
  <c r="J8" i="7"/>
  <c r="O8" i="7"/>
  <c r="E6" i="8"/>
  <c r="G8" i="7"/>
  <c r="K8" i="7"/>
  <c r="P8" i="7"/>
  <c r="F6" i="8"/>
  <c r="L7" i="7"/>
  <c r="N7" i="7"/>
  <c r="Q7" i="7"/>
  <c r="R7" i="7"/>
  <c r="G5" i="8"/>
  <c r="H5" i="8"/>
  <c r="I5" i="8"/>
  <c r="H7" i="7"/>
  <c r="J7" i="7"/>
  <c r="O7" i="7"/>
  <c r="E5" i="8"/>
  <c r="G7" i="7"/>
  <c r="K7" i="7"/>
  <c r="P7" i="7"/>
  <c r="F5" i="8"/>
  <c r="L6" i="7"/>
  <c r="N6" i="7"/>
  <c r="Q6" i="7"/>
  <c r="R6" i="7"/>
  <c r="R9" i="7"/>
  <c r="R12" i="7"/>
  <c r="R14" i="7"/>
  <c r="Q9" i="7"/>
  <c r="Q12" i="7"/>
  <c r="Q14" i="7"/>
  <c r="G4" i="8"/>
  <c r="H4" i="8"/>
  <c r="I4" i="8"/>
  <c r="I8" i="8"/>
  <c r="H8" i="8"/>
  <c r="G8" i="8"/>
  <c r="D4" i="14"/>
  <c r="E4" i="14"/>
  <c r="C59" i="2"/>
  <c r="B61" i="2"/>
  <c r="G6" i="11"/>
  <c r="I6" i="11"/>
  <c r="J6" i="11"/>
  <c r="K6" i="11"/>
  <c r="E59" i="2"/>
  <c r="D61" i="2"/>
  <c r="G7" i="11"/>
  <c r="I7" i="11"/>
  <c r="J7" i="11"/>
  <c r="K7" i="11"/>
  <c r="G8" i="11"/>
  <c r="I8" i="11"/>
  <c r="J8" i="11"/>
  <c r="K8" i="11"/>
  <c r="K9" i="11"/>
  <c r="K11" i="11"/>
  <c r="D6" i="14"/>
  <c r="D9" i="14"/>
  <c r="E9" i="14"/>
  <c r="H6" i="7"/>
  <c r="J6" i="7"/>
  <c r="O6" i="7"/>
  <c r="O9" i="7"/>
  <c r="O12" i="7"/>
  <c r="E4" i="8"/>
  <c r="E8" i="8"/>
  <c r="C4" i="14"/>
  <c r="C9" i="14"/>
  <c r="G6" i="7"/>
  <c r="K6" i="7"/>
  <c r="P6" i="7"/>
  <c r="P9" i="7"/>
  <c r="P12" i="7"/>
  <c r="F4" i="8"/>
  <c r="F8" i="8"/>
  <c r="B4" i="14"/>
  <c r="B9" i="14"/>
  <c r="K50" i="2"/>
  <c r="J53" i="2"/>
  <c r="I50" i="2"/>
  <c r="H53" i="2"/>
  <c r="G50" i="2"/>
  <c r="F53" i="2"/>
  <c r="G6" i="9"/>
  <c r="E50" i="2"/>
  <c r="D53" i="2"/>
  <c r="G6" i="12"/>
  <c r="H6" i="13"/>
  <c r="G7" i="12"/>
  <c r="H18" i="13"/>
  <c r="G8" i="12"/>
  <c r="H13" i="13"/>
  <c r="G9" i="12"/>
  <c r="H14" i="13"/>
  <c r="G10" i="12"/>
  <c r="H7" i="13"/>
  <c r="G11" i="12"/>
  <c r="G12" i="12"/>
  <c r="G13" i="12"/>
  <c r="G14" i="12"/>
  <c r="H8" i="13"/>
  <c r="G15" i="12"/>
  <c r="H9" i="13"/>
  <c r="C50" i="2"/>
  <c r="B53" i="2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L8" i="11"/>
  <c r="L7" i="11"/>
  <c r="L6" i="11"/>
  <c r="L9" i="11"/>
  <c r="L11" i="11"/>
  <c r="E6" i="14"/>
</calcChain>
</file>

<file path=xl/sharedStrings.xml><?xml version="1.0" encoding="utf-8"?>
<sst xmlns="http://schemas.openxmlformats.org/spreadsheetml/2006/main" count="4173" uniqueCount="871">
  <si>
    <t>Blad 'Omreken'</t>
  </si>
  <si>
    <t>Dit blad mag niet worden gewijzigd!</t>
  </si>
  <si>
    <t>Type:</t>
  </si>
  <si>
    <t>Invultabel</t>
  </si>
  <si>
    <t>Werkdagen</t>
  </si>
  <si>
    <t xml:space="preserve">per jaar: </t>
  </si>
  <si>
    <t xml:space="preserve">per week: </t>
  </si>
  <si>
    <t>FREQ</t>
  </si>
  <si>
    <t>FACTOR</t>
  </si>
  <si>
    <t>5W</t>
  </si>
  <si>
    <t>4W</t>
  </si>
  <si>
    <t>3W</t>
  </si>
  <si>
    <t>2W</t>
  </si>
  <si>
    <t>1W</t>
  </si>
  <si>
    <t>26J</t>
  </si>
  <si>
    <t>12J</t>
  </si>
  <si>
    <t>10J</t>
  </si>
  <si>
    <t>6J</t>
  </si>
  <si>
    <t>4J</t>
  </si>
  <si>
    <t>3J</t>
  </si>
  <si>
    <t>2J</t>
  </si>
  <si>
    <t>1J</t>
  </si>
  <si>
    <t>Opbouw uurtarief</t>
  </si>
  <si>
    <t>Regulier werk</t>
  </si>
  <si>
    <t>Regie werk</t>
  </si>
  <si>
    <t>Uitvoering</t>
  </si>
  <si>
    <t>Directe leiding</t>
  </si>
  <si>
    <t>ONDERDEEL</t>
  </si>
  <si>
    <t>Vakvolwassene</t>
  </si>
  <si>
    <t>Leiding (meewerkend)</t>
  </si>
  <si>
    <t>Leiding (niet-meewerkend)</t>
  </si>
  <si>
    <t>Vakvolwassene regie</t>
  </si>
  <si>
    <t>Leiding regie</t>
  </si>
  <si>
    <t>Loongroep/ervaring</t>
  </si>
  <si>
    <t>&gt;3 dienstjaren</t>
  </si>
  <si>
    <t/>
  </si>
  <si>
    <t>voorman/vrouw</t>
  </si>
  <si>
    <t>objectleider</t>
  </si>
  <si>
    <t>specialist</t>
  </si>
  <si>
    <t>Basis uurloon (CAO)</t>
  </si>
  <si>
    <t>Basis toeslagen</t>
  </si>
  <si>
    <t>Totaal basisloon</t>
  </si>
  <si>
    <t>Vakantietoeslag</t>
  </si>
  <si>
    <t>Overige structurele uitkeringen</t>
  </si>
  <si>
    <t>Totaal uurloon inclusief toeslagen</t>
  </si>
  <si>
    <t>Sociale lasten</t>
  </si>
  <si>
    <t>Totaal uurloon inclusief sociale lasten</t>
  </si>
  <si>
    <t>Vakantiedagen</t>
  </si>
  <si>
    <t>Betaalde feestdagen</t>
  </si>
  <si>
    <t>Ziektedagen</t>
  </si>
  <si>
    <t>Overige niet werkbare dagen</t>
  </si>
  <si>
    <t>TOTAAL LOONKOSTEN PER UUR</t>
  </si>
  <si>
    <t>Materialen en middelen</t>
  </si>
  <si>
    <t>Machinekosten</t>
  </si>
  <si>
    <t>Werkkleding en uitrusting</t>
  </si>
  <si>
    <t>Afvalzakken</t>
  </si>
  <si>
    <t>Reiskosten/vervoerskosten/parkeergelden</t>
  </si>
  <si>
    <t>Overige directe kosten</t>
  </si>
  <si>
    <t>TOTAAL DIRECTE KOSTEN</t>
  </si>
  <si>
    <t>Indirecte leiding</t>
  </si>
  <si>
    <t>Managementkosten</t>
  </si>
  <si>
    <t>P.Z. kosten</t>
  </si>
  <si>
    <t>Opleiding</t>
  </si>
  <si>
    <t>Huisvesting</t>
  </si>
  <si>
    <t>Administratiekosten</t>
  </si>
  <si>
    <t>Overige overhead</t>
  </si>
  <si>
    <t>TOTAAL INDIRECTE KOSTEN</t>
  </si>
  <si>
    <t>RISICO EN WINST</t>
  </si>
  <si>
    <t>TOTAAL UURTARIEF (excl. BTW)</t>
  </si>
  <si>
    <t>Onregelmatigheids tijdstip:</t>
  </si>
  <si>
    <t>toeslag</t>
  </si>
  <si>
    <t>tarief</t>
  </si>
  <si>
    <t>- DN: ma-vr nacht</t>
  </si>
  <si>
    <t>- W: weekend</t>
  </si>
  <si>
    <t>- X: feestdag</t>
  </si>
  <si>
    <t>TARIEVEN REGULIER WERK</t>
  </si>
  <si>
    <t>Werkdag</t>
  </si>
  <si>
    <t>Glasbewassing</t>
  </si>
  <si>
    <t>Specialistisch vloeronderhoud</t>
  </si>
  <si>
    <t>Weekend</t>
  </si>
  <si>
    <t>Feestdag</t>
  </si>
  <si>
    <t>Aandeel</t>
  </si>
  <si>
    <t>Tarief</t>
  </si>
  <si>
    <t>Gewogen tarief uitvoering</t>
  </si>
  <si>
    <t>Tarieven regulier werk</t>
  </si>
  <si>
    <t>TARIEVEN REGIE WERK</t>
  </si>
  <si>
    <t>Regie</t>
  </si>
  <si>
    <t>Regie specialist</t>
  </si>
  <si>
    <t>Tarieven regie werk</t>
  </si>
  <si>
    <t>NORM-CODE</t>
  </si>
  <si>
    <t>CATEGORIE</t>
  </si>
  <si>
    <t>DAGEN/JAAR</t>
  </si>
  <si>
    <t>OMSCHRIJVING</t>
  </si>
  <si>
    <t>PRODUCTIE-NORM</t>
  </si>
  <si>
    <t>% HOOG-FREQUENT</t>
  </si>
  <si>
    <t>EENHEID</t>
  </si>
  <si>
    <t>TARIEF (EURO)</t>
  </si>
  <si>
    <t xml:space="preserve">WERKDAG                  </t>
  </si>
  <si>
    <t>BKHB</t>
  </si>
  <si>
    <t xml:space="preserve">B    </t>
  </si>
  <si>
    <t>Kantoorruimte hard (basis)</t>
  </si>
  <si>
    <t>m²/uur</t>
  </si>
  <si>
    <t>BKHV</t>
  </si>
  <si>
    <t>Kantoorruimte hard (volledig)</t>
  </si>
  <si>
    <t>BKZB</t>
  </si>
  <si>
    <t>Kantoorruimte zacht (basis)</t>
  </si>
  <si>
    <t>BKZV</t>
  </si>
  <si>
    <t>Kantoorruimte zacht (volledig)</t>
  </si>
  <si>
    <t>BRHB</t>
  </si>
  <si>
    <t>Receptie/ontvangst/wachtruimte - hard (basis)</t>
  </si>
  <si>
    <t>BRHV</t>
  </si>
  <si>
    <t>Receptie/ontvangst/wachtruimte - hard (volledig)</t>
  </si>
  <si>
    <t>BRZB</t>
  </si>
  <si>
    <t>Receptie/ontvangst/wachtruimte - zacht (basis)</t>
  </si>
  <si>
    <t>BRZV</t>
  </si>
  <si>
    <t>Receptie/ontvangst/wachtruimte -zacht (volledig)</t>
  </si>
  <si>
    <t>BVHB</t>
  </si>
  <si>
    <t>Spreek-/overleg-/vergaderruimte/studio hard (basis)</t>
  </si>
  <si>
    <t>Spreek-/overleg-/vergaderruimte/studio hard (volledig)</t>
  </si>
  <si>
    <t>BVZB</t>
  </si>
  <si>
    <t>Spreek-/overleg-/vergaderruimte/studio zacht (basis)</t>
  </si>
  <si>
    <t>BVZV</t>
  </si>
  <si>
    <t>Spreek-/overleg-/vergaderruimte/studio zacht (volledig)</t>
  </si>
  <si>
    <t>LOHB</t>
  </si>
  <si>
    <t>Multifunctionele ruimte harde vloer (basis)</t>
  </si>
  <si>
    <t>LOHV</t>
  </si>
  <si>
    <t>Multifunctionele ruimte harde vloer (volledig)</t>
  </si>
  <si>
    <t>SDHB</t>
  </si>
  <si>
    <t xml:space="preserve">S    </t>
  </si>
  <si>
    <t>Doucheruimte hard (basis)</t>
  </si>
  <si>
    <t>SDHV</t>
  </si>
  <si>
    <t>Doucheruimte hard (volledig)</t>
  </si>
  <si>
    <t>SKHB</t>
  </si>
  <si>
    <t>Kleedruimte hard (basis)</t>
  </si>
  <si>
    <t>SKHV</t>
  </si>
  <si>
    <t>Kleedruimte hard (volledig)</t>
  </si>
  <si>
    <t>STHB</t>
  </si>
  <si>
    <t>Sanitaire ruimte/toiletten hard (basis)</t>
  </si>
  <si>
    <t>STHV</t>
  </si>
  <si>
    <t>Sanitaire ruimte/toiletten hard (volledig)</t>
  </si>
  <si>
    <t>RKHB</t>
  </si>
  <si>
    <t xml:space="preserve">V    </t>
  </si>
  <si>
    <t>keuken  hard (basis)</t>
  </si>
  <si>
    <t>RKHV</t>
  </si>
  <si>
    <t>keuken  hard (volledig)</t>
  </si>
  <si>
    <t>RPHB</t>
  </si>
  <si>
    <t>Pantry/koffiehoek  hard (basis)</t>
  </si>
  <si>
    <t>RPHV</t>
  </si>
  <si>
    <t>Pantry/koffiehoek hard (volledig)</t>
  </si>
  <si>
    <t>RRHB</t>
  </si>
  <si>
    <t>Restaurant/kantine/verblijfsruimte hard (basis)</t>
  </si>
  <si>
    <t>RRHV</t>
  </si>
  <si>
    <t>Restaurant/kantine/verblijfsruimte hard (volledig)</t>
  </si>
  <si>
    <t>VAHB</t>
  </si>
  <si>
    <t>Verkeersruimte algemeen  hard (basis)</t>
  </si>
  <si>
    <t>VAHV</t>
  </si>
  <si>
    <t>Verkeersruimte algemeen hard (volledig)</t>
  </si>
  <si>
    <t>VAZB</t>
  </si>
  <si>
    <t>Verkeersruimte algemeen zacht (basis)</t>
  </si>
  <si>
    <t>VAZV</t>
  </si>
  <si>
    <t>Verkeersruimte algemeen zacht (volledig)</t>
  </si>
  <si>
    <t>VEHB</t>
  </si>
  <si>
    <t>Entree hard (basis)</t>
  </si>
  <si>
    <t>VEHV</t>
  </si>
  <si>
    <t>Entree hard (volledig)</t>
  </si>
  <si>
    <t>VEZB</t>
  </si>
  <si>
    <t>Entree zachte vloeren (basis)</t>
  </si>
  <si>
    <t>VEZV</t>
  </si>
  <si>
    <t>Entree zachte vloeren (volledig)</t>
  </si>
  <si>
    <t>VLHB</t>
  </si>
  <si>
    <t>Lift hard (basis)</t>
  </si>
  <si>
    <t>VLHV</t>
  </si>
  <si>
    <t>Lift hard (volledig)</t>
  </si>
  <si>
    <t>VOHB</t>
  </si>
  <si>
    <t>Kopieer/printer-kluis-/locker/,garderoberuimten, reprografi (basis)</t>
  </si>
  <si>
    <t>VOHV</t>
  </si>
  <si>
    <t>Kopieer/printer-kluis-/locker/,garderoberuimten, reprografi (volledig)</t>
  </si>
  <si>
    <t>VTHB</t>
  </si>
  <si>
    <t>Trappenhuis/trap hard (basis)</t>
  </si>
  <si>
    <t>VTHV</t>
  </si>
  <si>
    <t>Trappenhuis/tapr hard (volledig)</t>
  </si>
  <si>
    <t>TAAK</t>
  </si>
  <si>
    <t>WERK- SOORT</t>
  </si>
  <si>
    <t>OPP OF AANTAL</t>
  </si>
  <si>
    <t>OPP OF AANTAL /DAG</t>
  </si>
  <si>
    <t>UREN/ DAG</t>
  </si>
  <si>
    <t>PRIJS/ DAG</t>
  </si>
  <si>
    <t>UREN/ JAAR</t>
  </si>
  <si>
    <t>PRIJS/ JAAR</t>
  </si>
  <si>
    <t>BKH</t>
  </si>
  <si>
    <t>interieur</t>
  </si>
  <si>
    <t>Kantoorruimte harde vloer</t>
  </si>
  <si>
    <t>BKZ</t>
  </si>
  <si>
    <t>Kantoor/personeelsruimte zachte vloer</t>
  </si>
  <si>
    <t>BRH</t>
  </si>
  <si>
    <t>Receptie/ontvangst-/wachtruimte harde vloer</t>
  </si>
  <si>
    <t>BRZ</t>
  </si>
  <si>
    <t>Receptie/ontvangst-/wachtruimte zachte vloer</t>
  </si>
  <si>
    <t>BVH</t>
  </si>
  <si>
    <t>Spreek-/overleg-/vergaderruimte/studio harde vloer</t>
  </si>
  <si>
    <t>BVZ</t>
  </si>
  <si>
    <t>Spreek-/overleg-/vergaderruimte/studio zachte vloer</t>
  </si>
  <si>
    <t>LOH</t>
  </si>
  <si>
    <t>Multifunctionele ruimte harde vloeren</t>
  </si>
  <si>
    <t>RKH</t>
  </si>
  <si>
    <t>Keuken harde vloer</t>
  </si>
  <si>
    <t>RPH</t>
  </si>
  <si>
    <t>Pantry/koffiehoek harde vloer</t>
  </si>
  <si>
    <t>RRH</t>
  </si>
  <si>
    <t>Restaurant/kantine/verblijfsruimte harde vloer</t>
  </si>
  <si>
    <t>SDH</t>
  </si>
  <si>
    <t>Douche/wasruimte harde vloer</t>
  </si>
  <si>
    <t>SKH</t>
  </si>
  <si>
    <t>Kleedruimte harde vloer</t>
  </si>
  <si>
    <t>STH</t>
  </si>
  <si>
    <t>Sanitaire ruimte/toiletten harde vloer</t>
  </si>
  <si>
    <t>VAH</t>
  </si>
  <si>
    <t>Verkeersruimte algemeen harde vloer</t>
  </si>
  <si>
    <t>VAZ</t>
  </si>
  <si>
    <t>Verkeersruimte algemeen zachte vloer</t>
  </si>
  <si>
    <t>VEH</t>
  </si>
  <si>
    <t>Entree harde vloer</t>
  </si>
  <si>
    <t>VEZ</t>
  </si>
  <si>
    <t>Entree zachte vloer</t>
  </si>
  <si>
    <t>VLH</t>
  </si>
  <si>
    <t>Lift harde vloer</t>
  </si>
  <si>
    <t>VOH</t>
  </si>
  <si>
    <t>Kopieer/printer ruimten, reprografie, garderoberuimten, kluisjesruimte</t>
  </si>
  <si>
    <t>VTH</t>
  </si>
  <si>
    <t>Trappenhuis harde vloer</t>
  </si>
  <si>
    <t xml:space="preserve">Totaal werkdag                  </t>
  </si>
  <si>
    <t xml:space="preserve">Gemiddeld uurtarief werkdag                  </t>
  </si>
  <si>
    <t>Totaal regulier werk excl. BTW</t>
  </si>
  <si>
    <t>OBJECT</t>
  </si>
  <si>
    <t>BOUW-DEEL</t>
  </si>
  <si>
    <t>ETAGE</t>
  </si>
  <si>
    <t>RUIMTENR</t>
  </si>
  <si>
    <t>RUIMTENAAM</t>
  </si>
  <si>
    <t>VLOER</t>
  </si>
  <si>
    <t>WERK-SOORT</t>
  </si>
  <si>
    <t>TAAK OMSCHRIJVING</t>
  </si>
  <si>
    <t>UREN HOOG-FREQUENT/ DAG</t>
  </si>
  <si>
    <t>001 - Gemeentehuis Montferland, Bergvredestraat 10, Didam</t>
  </si>
  <si>
    <t>001</t>
  </si>
  <si>
    <t>00</t>
  </si>
  <si>
    <t>0.01</t>
  </si>
  <si>
    <t>Tochtsluis</t>
  </si>
  <si>
    <t>schoonloopmat</t>
  </si>
  <si>
    <t>0.02</t>
  </si>
  <si>
    <t>Entree</t>
  </si>
  <si>
    <t>tegelvloer</t>
  </si>
  <si>
    <t>0.03</t>
  </si>
  <si>
    <t>Wachtruimte/ expositie</t>
  </si>
  <si>
    <t>projecttapijt</t>
  </si>
  <si>
    <t>0.04</t>
  </si>
  <si>
    <t>Receptie</t>
  </si>
  <si>
    <t>0.05</t>
  </si>
  <si>
    <t>Hoofdgang</t>
  </si>
  <si>
    <t>marmoleum</t>
  </si>
  <si>
    <t>0.06</t>
  </si>
  <si>
    <t>callcenter</t>
  </si>
  <si>
    <t>0.07</t>
  </si>
  <si>
    <t>Spreekkamer</t>
  </si>
  <si>
    <t>0.08</t>
  </si>
  <si>
    <t>0.09</t>
  </si>
  <si>
    <t>0.10</t>
  </si>
  <si>
    <t>0.11</t>
  </si>
  <si>
    <t>Spreekkamer WMO</t>
  </si>
  <si>
    <t>0.12</t>
  </si>
  <si>
    <t>Balies</t>
  </si>
  <si>
    <t>0.13</t>
  </si>
  <si>
    <t>0.14</t>
  </si>
  <si>
    <t>Gang</t>
  </si>
  <si>
    <t>0.14a</t>
  </si>
  <si>
    <t>Portaal</t>
  </si>
  <si>
    <t>0.14b</t>
  </si>
  <si>
    <t>0.16</t>
  </si>
  <si>
    <t>garderobe</t>
  </si>
  <si>
    <t>0.17</t>
  </si>
  <si>
    <t>machineruimte</t>
  </si>
  <si>
    <t>geen afwerking</t>
  </si>
  <si>
    <t>N.I.O.</t>
  </si>
  <si>
    <t>0.18</t>
  </si>
  <si>
    <t>Facilitair</t>
  </si>
  <si>
    <t>0.19</t>
  </si>
  <si>
    <t>Raasruimte</t>
  </si>
  <si>
    <t>0.21</t>
  </si>
  <si>
    <t>leidingschacht</t>
  </si>
  <si>
    <t>0.22</t>
  </si>
  <si>
    <t>kantoor</t>
  </si>
  <si>
    <t>0.23</t>
  </si>
  <si>
    <t>0.24</t>
  </si>
  <si>
    <t>0.26</t>
  </si>
  <si>
    <t>0.27</t>
  </si>
  <si>
    <t>0.28</t>
  </si>
  <si>
    <t>0.29</t>
  </si>
  <si>
    <t>0.29a</t>
  </si>
  <si>
    <t>0.30</t>
  </si>
  <si>
    <t>lift gang</t>
  </si>
  <si>
    <t>0.30a</t>
  </si>
  <si>
    <t>lift</t>
  </si>
  <si>
    <t>0.31</t>
  </si>
  <si>
    <t>sluis</t>
  </si>
  <si>
    <t>0.32</t>
  </si>
  <si>
    <t>Schoonmaakruimte</t>
  </si>
  <si>
    <t>0.33</t>
  </si>
  <si>
    <t>Dames toilet</t>
  </si>
  <si>
    <t>pvc-vloerafwerking</t>
  </si>
  <si>
    <t>0.34</t>
  </si>
  <si>
    <t>Dames toilet hok 1</t>
  </si>
  <si>
    <t>0.35</t>
  </si>
  <si>
    <t>Dames toilet hok 2</t>
  </si>
  <si>
    <t>0.36</t>
  </si>
  <si>
    <t>Dames toilet hok 3</t>
  </si>
  <si>
    <t>0.37</t>
  </si>
  <si>
    <t>Trappenhuis</t>
  </si>
  <si>
    <t>0.37a</t>
  </si>
  <si>
    <t>hoofdgang</t>
  </si>
  <si>
    <t>0.38</t>
  </si>
  <si>
    <t>opslag diversen</t>
  </si>
  <si>
    <t>0.39</t>
  </si>
  <si>
    <t>Verdeelkast</t>
  </si>
  <si>
    <t>0.40</t>
  </si>
  <si>
    <t>opslag</t>
  </si>
  <si>
    <t>0.40a</t>
  </si>
  <si>
    <t>papier</t>
  </si>
  <si>
    <t>0.41</t>
  </si>
  <si>
    <t>gang</t>
  </si>
  <si>
    <t>0.42</t>
  </si>
  <si>
    <t>Heren kleedruimte</t>
  </si>
  <si>
    <t>0.43</t>
  </si>
  <si>
    <t>Heren douche</t>
  </si>
  <si>
    <t>0.44</t>
  </si>
  <si>
    <t>Dames kleedruimte</t>
  </si>
  <si>
    <t>0.45</t>
  </si>
  <si>
    <t>Dames douche</t>
  </si>
  <si>
    <t>0.46</t>
  </si>
  <si>
    <t>0.47</t>
  </si>
  <si>
    <t>centrale repro-/boderuimte</t>
  </si>
  <si>
    <t>0.48</t>
  </si>
  <si>
    <t>Personeelentree</t>
  </si>
  <si>
    <t>0.49</t>
  </si>
  <si>
    <t>Kolf BHV</t>
  </si>
  <si>
    <t>0.50</t>
  </si>
  <si>
    <t>Ruimte bode postkamer</t>
  </si>
  <si>
    <t>0.51</t>
  </si>
  <si>
    <t>bestaand techniekruimte</t>
  </si>
  <si>
    <t>0.52</t>
  </si>
  <si>
    <t>berging</t>
  </si>
  <si>
    <t>0.53</t>
  </si>
  <si>
    <t>0.54</t>
  </si>
  <si>
    <t>Laad en los ruimte</t>
  </si>
  <si>
    <t>0.55</t>
  </si>
  <si>
    <t>0.55a</t>
  </si>
  <si>
    <t>0.55b</t>
  </si>
  <si>
    <t>0.56</t>
  </si>
  <si>
    <t>Keuken</t>
  </si>
  <si>
    <t>troffelvloer</t>
  </si>
  <si>
    <t>0.56b</t>
  </si>
  <si>
    <t>Spoelkeuken</t>
  </si>
  <si>
    <t>0.56c</t>
  </si>
  <si>
    <t>magazijn</t>
  </si>
  <si>
    <t>0.57</t>
  </si>
  <si>
    <t>0.58</t>
  </si>
  <si>
    <t>uitgifte keuken</t>
  </si>
  <si>
    <t>0.59</t>
  </si>
  <si>
    <t>vergaderruimte sHeerenberg</t>
  </si>
  <si>
    <t>0.61</t>
  </si>
  <si>
    <t>0.63</t>
  </si>
  <si>
    <t>vergaderruimte Didam</t>
  </si>
  <si>
    <t>0.64</t>
  </si>
  <si>
    <t>kleedruimte</t>
  </si>
  <si>
    <t>0.65</t>
  </si>
  <si>
    <t>Trouwzaal</t>
  </si>
  <si>
    <t>0.66</t>
  </si>
  <si>
    <t>Werkcafé</t>
  </si>
  <si>
    <t>0.67</t>
  </si>
  <si>
    <t>Server ruimte</t>
  </si>
  <si>
    <t>bestaande computervloer</t>
  </si>
  <si>
    <t>0.68</t>
  </si>
  <si>
    <t>Opslag ICT</t>
  </si>
  <si>
    <t>0.69</t>
  </si>
  <si>
    <t>Kantoorartikelen</t>
  </si>
  <si>
    <t>0.70</t>
  </si>
  <si>
    <t>Lift</t>
  </si>
  <si>
    <t>0.71</t>
  </si>
  <si>
    <t>Toilet publiek</t>
  </si>
  <si>
    <t>0.72</t>
  </si>
  <si>
    <t>Toilet</t>
  </si>
  <si>
    <t>0.74</t>
  </si>
  <si>
    <t>heren toilet</t>
  </si>
  <si>
    <t>0.75</t>
  </si>
  <si>
    <t>0.76</t>
  </si>
  <si>
    <t>urinoir</t>
  </si>
  <si>
    <t>0.77</t>
  </si>
  <si>
    <t>0.78</t>
  </si>
  <si>
    <t>Elektrakast</t>
  </si>
  <si>
    <t>0.79</t>
  </si>
  <si>
    <t>E-kast</t>
  </si>
  <si>
    <t>0.81</t>
  </si>
  <si>
    <t>Gas-kast</t>
  </si>
  <si>
    <t>01</t>
  </si>
  <si>
    <t>1.01</t>
  </si>
  <si>
    <t>Hoofdtrappenhuis</t>
  </si>
  <si>
    <t>1.02</t>
  </si>
  <si>
    <t>1.03a</t>
  </si>
  <si>
    <t>Vergader/lounge</t>
  </si>
  <si>
    <t>1.03b</t>
  </si>
  <si>
    <t>1.04</t>
  </si>
  <si>
    <t>1.05</t>
  </si>
  <si>
    <t>1.06</t>
  </si>
  <si>
    <t>1.07</t>
  </si>
  <si>
    <t>vergaderuimte Lengel</t>
  </si>
  <si>
    <t>1.08</t>
  </si>
  <si>
    <t>1.09</t>
  </si>
  <si>
    <t>1.10</t>
  </si>
  <si>
    <t>1.11</t>
  </si>
  <si>
    <t>1.12</t>
  </si>
  <si>
    <t>1.13</t>
  </si>
  <si>
    <t>1.14</t>
  </si>
  <si>
    <t>Gangpad A</t>
  </si>
  <si>
    <t>1.15</t>
  </si>
  <si>
    <t>Vergaderruimte Nevelhorst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</si>
  <si>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</si>
  <si>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</si>
  <si>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</si>
  <si>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</si>
  <si>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</si>
  <si>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</si>
  <si>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</si>
  <si>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</si>
  <si>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</si>
  <si>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</si>
  <si>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</si>
  <si>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</si>
  <si>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</si>
  <si>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</si>
  <si>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</si>
  <si>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</si>
  <si>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</si>
  <si>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</si>
  <si>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</si>
  <si>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werkkast</t>
  </si>
  <si>
    <t>1.35</t>
  </si>
  <si>
    <t>1.36</t>
  </si>
  <si>
    <t>1.37</t>
  </si>
  <si>
    <t>1.38</t>
  </si>
  <si>
    <t>Lounge</t>
  </si>
  <si>
    <t>1.39</t>
  </si>
  <si>
    <t>keuken</t>
  </si>
  <si>
    <t>1.40</t>
  </si>
  <si>
    <t>1.41</t>
  </si>
  <si>
    <t>1.42</t>
  </si>
  <si>
    <t>1.43</t>
  </si>
  <si>
    <t>1.44</t>
  </si>
  <si>
    <t>1.45</t>
  </si>
  <si>
    <t>1.46</t>
  </si>
  <si>
    <t>1.47</t>
  </si>
  <si>
    <t>vergaderruimte Loerbeek</t>
  </si>
  <si>
    <t>1.48</t>
  </si>
  <si>
    <t>1.49</t>
  </si>
  <si>
    <t>1.50</t>
  </si>
  <si>
    <t>1.51</t>
  </si>
  <si>
    <t>1.52</t>
  </si>
  <si>
    <t>1.53</t>
  </si>
  <si>
    <t>1.54</t>
  </si>
  <si>
    <t>Patchruimte</t>
  </si>
  <si>
    <t>1.55</t>
  </si>
  <si>
    <t>1.56</t>
  </si>
  <si>
    <t>1.57</t>
  </si>
  <si>
    <t>1.58</t>
  </si>
  <si>
    <t>1.59</t>
  </si>
  <si>
    <t>Gangpad B</t>
  </si>
  <si>
    <t>1.60a</t>
  </si>
  <si>
    <t>Vergaderruimte Velthuizen</t>
  </si>
  <si>
    <t>1.60b</t>
  </si>
  <si>
    <t>vergaderruimte Zeddam</t>
  </si>
  <si>
    <t>1.61</t>
  </si>
  <si>
    <t>Vergaderruimte Byvanck</t>
  </si>
  <si>
    <t>1.62</t>
  </si>
  <si>
    <t>1.63</t>
  </si>
  <si>
    <t>1.64</t>
  </si>
  <si>
    <t>1.65</t>
  </si>
  <si>
    <t>1.66</t>
  </si>
  <si>
    <t>1.67</t>
  </si>
  <si>
    <t>1.68</t>
  </si>
  <si>
    <t>1.69</t>
  </si>
  <si>
    <t>1.70</t>
  </si>
  <si>
    <t>1.71</t>
  </si>
  <si>
    <t>1.72</t>
  </si>
  <si>
    <t>1.73</t>
  </si>
  <si>
    <t>1.74</t>
  </si>
  <si>
    <t>1.75</t>
  </si>
  <si>
    <t>1.76</t>
  </si>
  <si>
    <t>1.77</t>
  </si>
  <si>
    <t>1.78</t>
  </si>
  <si>
    <t>1.79</t>
  </si>
  <si>
    <t>1.80</t>
  </si>
  <si>
    <t>02</t>
  </si>
  <si>
    <t>2.01</t>
  </si>
  <si>
    <t>2.02</t>
  </si>
  <si>
    <t>2.02b</t>
  </si>
  <si>
    <t>2.03</t>
  </si>
  <si>
    <t>Aanland</t>
  </si>
  <si>
    <t>2.04</t>
  </si>
  <si>
    <t>2.05</t>
  </si>
  <si>
    <t>Pantry</t>
  </si>
  <si>
    <t>2.06</t>
  </si>
  <si>
    <t>kantoor Oud-dijk</t>
  </si>
  <si>
    <t>2.07</t>
  </si>
  <si>
    <t>vergaderuimte Braamt</t>
  </si>
  <si>
    <t>2.08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</si>
  <si>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</si>
  <si>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</si>
  <si>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</si>
  <si>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</si>
  <si>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</si>
  <si>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</si>
  <si>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</si>
  <si>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</si>
  <si>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</si>
  <si>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2.19a</t>
  </si>
  <si>
    <t>2.20</t>
  </si>
  <si>
    <t>2.20a</t>
  </si>
  <si>
    <t>2.21</t>
  </si>
  <si>
    <t>2.21a</t>
  </si>
  <si>
    <t>2.22</t>
  </si>
  <si>
    <t>2.22a</t>
  </si>
  <si>
    <t>2.23</t>
  </si>
  <si>
    <t>2.23a</t>
  </si>
  <si>
    <t>2.24</t>
  </si>
  <si>
    <t>2.24a</t>
  </si>
  <si>
    <t>2.25</t>
  </si>
  <si>
    <t>2.26</t>
  </si>
  <si>
    <t>2.27</t>
  </si>
  <si>
    <t>2.28</t>
  </si>
  <si>
    <t>2.29</t>
  </si>
  <si>
    <t>2.30</t>
  </si>
  <si>
    <t>2.31</t>
  </si>
  <si>
    <t>2.32</t>
  </si>
  <si>
    <t>pantry</t>
  </si>
  <si>
    <t>2.33</t>
  </si>
  <si>
    <t>2.34</t>
  </si>
  <si>
    <t>2.35</t>
  </si>
  <si>
    <t>2.36</t>
  </si>
  <si>
    <t>2.37</t>
  </si>
  <si>
    <t>2.38</t>
  </si>
  <si>
    <t>2.39</t>
  </si>
  <si>
    <t>2.40</t>
  </si>
  <si>
    <t>vergaderruimte</t>
  </si>
  <si>
    <t>2.41</t>
  </si>
  <si>
    <t>2.42</t>
  </si>
  <si>
    <t>2.43</t>
  </si>
  <si>
    <t>2.44</t>
  </si>
  <si>
    <t>2.45</t>
  </si>
  <si>
    <t>2.46</t>
  </si>
  <si>
    <t>2.47</t>
  </si>
  <si>
    <t>2.48</t>
  </si>
  <si>
    <t>2.49</t>
  </si>
  <si>
    <t>2.50</t>
  </si>
  <si>
    <t>2.51</t>
  </si>
  <si>
    <t>2.52</t>
  </si>
  <si>
    <t>2.53a</t>
  </si>
  <si>
    <t>Vergaderruimte Wijnbergen</t>
  </si>
  <si>
    <t>2.53b</t>
  </si>
  <si>
    <t>vergaderruimte Beek</t>
  </si>
  <si>
    <t>2.54</t>
  </si>
  <si>
    <t>2.55</t>
  </si>
  <si>
    <t>2.56</t>
  </si>
  <si>
    <t>2.57</t>
  </si>
  <si>
    <t>2.58</t>
  </si>
  <si>
    <t>2.59</t>
  </si>
  <si>
    <t>2.60</t>
  </si>
  <si>
    <t>2.61</t>
  </si>
  <si>
    <t>2.62</t>
  </si>
  <si>
    <t>2.63</t>
  </si>
  <si>
    <t>2.64</t>
  </si>
  <si>
    <t>2.65</t>
  </si>
  <si>
    <t>2.66</t>
  </si>
  <si>
    <t>2.67</t>
  </si>
  <si>
    <t>2.68</t>
  </si>
  <si>
    <t>2.69</t>
  </si>
  <si>
    <t>2.70</t>
  </si>
  <si>
    <t>2.71</t>
  </si>
  <si>
    <t>2.72</t>
  </si>
  <si>
    <t>2.73</t>
  </si>
  <si>
    <t>Totaal werkdag</t>
  </si>
  <si>
    <t>002 - Gouden Handen, Emmerikseweg 17, 's-Heerenberg</t>
  </si>
  <si>
    <t>002</t>
  </si>
  <si>
    <t>A001a</t>
  </si>
  <si>
    <t>Publieksbalie</t>
  </si>
  <si>
    <t>parket</t>
  </si>
  <si>
    <t>A001b</t>
  </si>
  <si>
    <t>vloerbedekking</t>
  </si>
  <si>
    <t>A001c</t>
  </si>
  <si>
    <t>A002a</t>
  </si>
  <si>
    <t>Raadszaal</t>
  </si>
  <si>
    <t>A002b</t>
  </si>
  <si>
    <t>tegels</t>
  </si>
  <si>
    <t>A003a</t>
  </si>
  <si>
    <t>Centrale hal</t>
  </si>
  <si>
    <t>gietvloer</t>
  </si>
  <si>
    <t>A003b</t>
  </si>
  <si>
    <t>A004</t>
  </si>
  <si>
    <t>Werkplekken</t>
  </si>
  <si>
    <t>A005</t>
  </si>
  <si>
    <t>Ruimte Arts</t>
  </si>
  <si>
    <t>A006</t>
  </si>
  <si>
    <t>Babykamer</t>
  </si>
  <si>
    <t>A007</t>
  </si>
  <si>
    <t>A007a</t>
  </si>
  <si>
    <t>Kast</t>
  </si>
  <si>
    <t>A008a</t>
  </si>
  <si>
    <t>A008b</t>
  </si>
  <si>
    <t>A009</t>
  </si>
  <si>
    <t>Ruimte Verpleegkundige</t>
  </si>
  <si>
    <t>A010</t>
  </si>
  <si>
    <t>Hal</t>
  </si>
  <si>
    <t>A011</t>
  </si>
  <si>
    <t>A012</t>
  </si>
  <si>
    <t>Miva</t>
  </si>
  <si>
    <t>A013</t>
  </si>
  <si>
    <t>A014</t>
  </si>
  <si>
    <t>Toiletruimten</t>
  </si>
  <si>
    <t>A015</t>
  </si>
  <si>
    <t>Centrale gang</t>
  </si>
  <si>
    <t>003 - Gemeentewerf Montferland, Leigraaf 9, Beek</t>
  </si>
  <si>
    <t>003</t>
  </si>
  <si>
    <t>Hal 2</t>
  </si>
  <si>
    <t>Voorraad</t>
  </si>
  <si>
    <t>Werkkast</t>
  </si>
  <si>
    <t>toilet heren</t>
  </si>
  <si>
    <t>toilet dames</t>
  </si>
  <si>
    <t>hal1</t>
  </si>
  <si>
    <t>inloopmat</t>
  </si>
  <si>
    <t>0.20</t>
  </si>
  <si>
    <t>boas ruimte</t>
  </si>
  <si>
    <t>tapijt</t>
  </si>
  <si>
    <t>administratie</t>
  </si>
  <si>
    <t>uitvoerders</t>
  </si>
  <si>
    <t>spreekkamer 1</t>
  </si>
  <si>
    <t>bedrijfsleider</t>
  </si>
  <si>
    <t>0.25</t>
  </si>
  <si>
    <t>spreekkamer 2</t>
  </si>
  <si>
    <t>cv ruimte</t>
  </si>
  <si>
    <t>wasruimte</t>
  </si>
  <si>
    <t>toilet mag</t>
  </si>
  <si>
    <t>linoleum</t>
  </si>
  <si>
    <t>overloop</t>
  </si>
  <si>
    <t>voorraad</t>
  </si>
  <si>
    <t>kantine</t>
  </si>
  <si>
    <t>overloop 2</t>
  </si>
  <si>
    <t>Omrekentabel t.b.v. Invultabel Objecten (niet afdrukken)</t>
  </si>
  <si>
    <t>DAGSOORT</t>
  </si>
  <si>
    <t>WERKSOORT</t>
  </si>
  <si>
    <t>FREQ DECIMAAL</t>
  </si>
  <si>
    <t>UURFACTOR</t>
  </si>
  <si>
    <t xml:space="preserve">KENGETAL </t>
  </si>
  <si>
    <t xml:space="preserve">% HOOG-FREQUENT </t>
  </si>
  <si>
    <t>TARIEF</t>
  </si>
  <si>
    <t xml:space="preserve">     001</t>
  </si>
  <si>
    <t xml:space="preserve">     002</t>
  </si>
  <si>
    <t xml:space="preserve">     003</t>
  </si>
  <si>
    <t>werkdag</t>
  </si>
  <si>
    <t>NAAM</t>
  </si>
  <si>
    <t>ADRES</t>
  </si>
  <si>
    <t>PLAATS</t>
  </si>
  <si>
    <t>BASIS UUR- TARIEF</t>
  </si>
  <si>
    <t>UREN/ UITVOERING</t>
  </si>
  <si>
    <t>UREN HOOG-FREQUENT/ UITVOERING</t>
  </si>
  <si>
    <t>UREN HOOG-FREQUENT SUPPLETIE/ UITVOERING</t>
  </si>
  <si>
    <t>UREN HOOG-FREQUENT TOTAAL/ UITVOERING</t>
  </si>
  <si>
    <t>UREN TOTAAL/ UITVOERING</t>
  </si>
  <si>
    <t>PRIJS/ UITVOERING</t>
  </si>
  <si>
    <t>PRIJS SUPPLETIE/ UITVOERING</t>
  </si>
  <si>
    <t>PRIJS TOTAAL/ UITVOERING</t>
  </si>
  <si>
    <t>UREN HOOG-FREQUENT/ JAAR</t>
  </si>
  <si>
    <t>PRIJS/ MAAND (EURO)</t>
  </si>
  <si>
    <t>Gemeentehuis Montferland</t>
  </si>
  <si>
    <t>Bergvredestraat 10</t>
  </si>
  <si>
    <t>Didam</t>
  </si>
  <si>
    <t>Gouden Handen</t>
  </si>
  <si>
    <t>Emmerikseweg 17</t>
  </si>
  <si>
    <t>s-Heerenberg</t>
  </si>
  <si>
    <t>Gemeentewerf Montferland</t>
  </si>
  <si>
    <t>Leigraaf 9</t>
  </si>
  <si>
    <t>Beek</t>
  </si>
  <si>
    <t>Totaal regulier werk incl. suppleties (excl. BTW)</t>
  </si>
  <si>
    <t>Totaal regulier werk incl. suppleties (incl. BTW)</t>
  </si>
  <si>
    <t>PRIJS/ MAAND EXCL.BTW</t>
  </si>
  <si>
    <t>PRIJS/ MAAND INCL.BTW</t>
  </si>
  <si>
    <t>Totaal van alle objecten</t>
  </si>
  <si>
    <t>BEURT</t>
  </si>
  <si>
    <t>FREQ (DAGEN)</t>
  </si>
  <si>
    <t>HOEVEELHEID /KEER</t>
  </si>
  <si>
    <t>UURTARIEF (EURO)</t>
  </si>
  <si>
    <t>NORM</t>
  </si>
  <si>
    <t>PRIJS/ EENHEID (EURO)</t>
  </si>
  <si>
    <t>PRIJS/ KEER</t>
  </si>
  <si>
    <t>9700</t>
  </si>
  <si>
    <t>Periodiek beschermde vloeren</t>
  </si>
  <si>
    <t>tijdsnorm in vloer m²/uur</t>
  </si>
  <si>
    <t>Totaal additioneel werk excl. BTW</t>
  </si>
  <si>
    <t>STAFFEL</t>
  </si>
  <si>
    <t>2000A</t>
  </si>
  <si>
    <t>Systeemkast/monitor reinigen</t>
  </si>
  <si>
    <t>prijs per stuk</t>
  </si>
  <si>
    <t>&lt; 25 stuks</t>
  </si>
  <si>
    <t>2000B</t>
  </si>
  <si>
    <t>25 tot 100 stuks</t>
  </si>
  <si>
    <t>2000C</t>
  </si>
  <si>
    <t>100 tot 500 stuks</t>
  </si>
  <si>
    <t>2000D</t>
  </si>
  <si>
    <t>&gt;= 500 stuks</t>
  </si>
  <si>
    <t>2010A</t>
  </si>
  <si>
    <t>Printer uitwendig reinigen</t>
  </si>
  <si>
    <t>2010B</t>
  </si>
  <si>
    <t>2010C</t>
  </si>
  <si>
    <t>2010D</t>
  </si>
  <si>
    <t>2030A</t>
  </si>
  <si>
    <t>Toetsenbord reinigen</t>
  </si>
  <si>
    <t>2030B</t>
  </si>
  <si>
    <t>2030C</t>
  </si>
  <si>
    <t>2030D</t>
  </si>
  <si>
    <t>3000A</t>
  </si>
  <si>
    <t>Lamellen (horizontaal) reinigen (alumin)</t>
  </si>
  <si>
    <t>prijs per m²</t>
  </si>
  <si>
    <t>&lt; 5 m²</t>
  </si>
  <si>
    <t>3000B</t>
  </si>
  <si>
    <t>5 &lt; 25 m²</t>
  </si>
  <si>
    <t>3000C</t>
  </si>
  <si>
    <t>25 &lt; 100 m²</t>
  </si>
  <si>
    <t>3000D</t>
  </si>
  <si>
    <t>&gt;=100 m²</t>
  </si>
  <si>
    <t>3001A</t>
  </si>
  <si>
    <t>Lamellen (horizontaal) reinigen (stof)</t>
  </si>
  <si>
    <t>3001B</t>
  </si>
  <si>
    <t>3001C</t>
  </si>
  <si>
    <t>3001D</t>
  </si>
  <si>
    <t>3002A</t>
  </si>
  <si>
    <t>Lamellen (horizontaal) reinigen (kunst)</t>
  </si>
  <si>
    <t>3002B</t>
  </si>
  <si>
    <t>3002C</t>
  </si>
  <si>
    <t>3002D</t>
  </si>
  <si>
    <t>3010A</t>
  </si>
  <si>
    <t>Lamellen (verticaal) reinigen (alumin)</t>
  </si>
  <si>
    <t>3010B</t>
  </si>
  <si>
    <t>3010C</t>
  </si>
  <si>
    <t>3010D</t>
  </si>
  <si>
    <t>3011A</t>
  </si>
  <si>
    <t>Lamellen (verticaal) reinigen (stof)</t>
  </si>
  <si>
    <t>3011B</t>
  </si>
  <si>
    <t>3011C</t>
  </si>
  <si>
    <t>3011D</t>
  </si>
  <si>
    <t>3012A</t>
  </si>
  <si>
    <t>Lamellen (verticaal) reinigen (kunst)</t>
  </si>
  <si>
    <t>3012B</t>
  </si>
  <si>
    <t>3012C</t>
  </si>
  <si>
    <t>3012D</t>
  </si>
  <si>
    <t>3020A</t>
  </si>
  <si>
    <t>Gordijnen reinigen</t>
  </si>
  <si>
    <t>3020B</t>
  </si>
  <si>
    <t>3020C</t>
  </si>
  <si>
    <t>3020D</t>
  </si>
  <si>
    <t>3030</t>
  </si>
  <si>
    <t>Graffiti verwijderen</t>
  </si>
  <si>
    <t>3040</t>
  </si>
  <si>
    <t>Graffiti verwijderen spec.</t>
  </si>
  <si>
    <t>prijs per uur</t>
  </si>
  <si>
    <t>4000A</t>
  </si>
  <si>
    <t>Vloer schrobben/waterzuigen</t>
  </si>
  <si>
    <t>&lt; 500 m²</t>
  </si>
  <si>
    <t>4000B</t>
  </si>
  <si>
    <t>500 &lt; 1000 m²</t>
  </si>
  <si>
    <t>4000C</t>
  </si>
  <si>
    <t>1000 &lt; 2000 m²</t>
  </si>
  <si>
    <t>4000D</t>
  </si>
  <si>
    <t>&gt;= 2000 m²</t>
  </si>
  <si>
    <t>4010A</t>
  </si>
  <si>
    <t>Sure step vloeren opwrijven</t>
  </si>
  <si>
    <t>4010B</t>
  </si>
  <si>
    <t>4010C</t>
  </si>
  <si>
    <t>4010D</t>
  </si>
  <si>
    <t>4020A</t>
  </si>
  <si>
    <t>Linoleum sprayen /opwrijven</t>
  </si>
  <si>
    <t>4020B</t>
  </si>
  <si>
    <t>4020C</t>
  </si>
  <si>
    <t>4020D</t>
  </si>
  <si>
    <t>4030A</t>
  </si>
  <si>
    <t>Linoleum vloeren strippen/conserveren</t>
  </si>
  <si>
    <t>4030B</t>
  </si>
  <si>
    <t>4030C</t>
  </si>
  <si>
    <t>4030D</t>
  </si>
  <si>
    <t>4040A</t>
  </si>
  <si>
    <t>Tapijt reinigen droge methode (Bonet)</t>
  </si>
  <si>
    <t>4040B</t>
  </si>
  <si>
    <t>4040C</t>
  </si>
  <si>
    <t>Tapijt reinigen droge methode (Bonett)</t>
  </si>
  <si>
    <t>4040D</t>
  </si>
  <si>
    <t>Tapijt reinigen droge methode (Boent)</t>
  </si>
  <si>
    <t>4050A</t>
  </si>
  <si>
    <t>Tapijt reinigen op koolzuur basis</t>
  </si>
  <si>
    <t>4050B</t>
  </si>
  <si>
    <t>4050C</t>
  </si>
  <si>
    <t>4050D</t>
  </si>
  <si>
    <t>4060A</t>
  </si>
  <si>
    <t>Tapijt reinigen sproei/extractie methode</t>
  </si>
  <si>
    <t>4060B</t>
  </si>
  <si>
    <t>4060C</t>
  </si>
  <si>
    <t>4060D</t>
  </si>
  <si>
    <t>4065A</t>
  </si>
  <si>
    <t>Tapijt reinigen encapulation methode</t>
  </si>
  <si>
    <t>4065B</t>
  </si>
  <si>
    <t>4065C</t>
  </si>
  <si>
    <t>4065D</t>
  </si>
  <si>
    <t>4070A</t>
  </si>
  <si>
    <t>Tapijt borstelzuigen</t>
  </si>
  <si>
    <t>4070B</t>
  </si>
  <si>
    <t>4070C</t>
  </si>
  <si>
    <t>4070D</t>
  </si>
  <si>
    <t>4080A</t>
  </si>
  <si>
    <t>Sanitair vloer reinigen d.m.v. "stomen"</t>
  </si>
  <si>
    <t>4080B</t>
  </si>
  <si>
    <t>4080C</t>
  </si>
  <si>
    <t>4080D</t>
  </si>
  <si>
    <t>4090A</t>
  </si>
  <si>
    <t>Inloopmatten uitkloppen</t>
  </si>
  <si>
    <t>4090B</t>
  </si>
  <si>
    <t>4090C</t>
  </si>
  <si>
    <t>4090D</t>
  </si>
  <si>
    <t>Totaal afroep incidenteel excl. BTW</t>
  </si>
  <si>
    <t>9000</t>
  </si>
  <si>
    <t>Medewerker regiewerkzaamheden</t>
  </si>
  <si>
    <t>9100</t>
  </si>
  <si>
    <t>Medewerker specialistische werkzaamheden</t>
  </si>
  <si>
    <t>9200</t>
  </si>
  <si>
    <t>Uurtarief vervanging eigen beheer</t>
  </si>
  <si>
    <t>Totaal regiewerk excl. BTW</t>
  </si>
  <si>
    <t>8000</t>
  </si>
  <si>
    <t>Gevelglas buitenzijde</t>
  </si>
  <si>
    <t>8010</t>
  </si>
  <si>
    <t>Gevelglas binnenzijde</t>
  </si>
  <si>
    <t>8020</t>
  </si>
  <si>
    <t>Separatieglas (m ² is totaal)</t>
  </si>
  <si>
    <t>8070</t>
  </si>
  <si>
    <t>Videglas totaal</t>
  </si>
  <si>
    <t>8080</t>
  </si>
  <si>
    <t>Lichtkoepel binnenzijde</t>
  </si>
  <si>
    <t>8090</t>
  </si>
  <si>
    <t>Lichtkoepel buitenzijde</t>
  </si>
  <si>
    <t>8095</t>
  </si>
  <si>
    <t>Reinigen zonnepanelen</t>
  </si>
  <si>
    <t>8100</t>
  </si>
  <si>
    <t>Inzet hoogwerker Gemeentehuis</t>
  </si>
  <si>
    <t>totaalprijs</t>
  </si>
  <si>
    <t>8200</t>
  </si>
  <si>
    <t>Inzet tuckerpole Gemeentehuis</t>
  </si>
  <si>
    <t>Totaal glas excl. BTW</t>
  </si>
  <si>
    <t>Totaal 001 - Gemeentehuis Montferland, Bergvredestraat 10, Didam</t>
  </si>
  <si>
    <t>Totaal 002 - Gouden Handen, Emmerikseweg 17, 's-Heerenberg</t>
  </si>
  <si>
    <t>Totaal 003 - Gemeentewerf Montferland, Leigraaf 9, Beek</t>
  </si>
  <si>
    <t>Soort werk</t>
  </si>
  <si>
    <t>Uren per jaar uitvoering</t>
  </si>
  <si>
    <t>Uren hoogfrequent per jaar uitvoering</t>
  </si>
  <si>
    <t>Bedrag per jaar excl. BTW (euro)</t>
  </si>
  <si>
    <t>Bedrag per jaar incl. BTW (euro)</t>
  </si>
  <si>
    <t xml:space="preserve">Regulier werk </t>
  </si>
  <si>
    <t>Additioneel werk</t>
  </si>
  <si>
    <t>Regie (geschat)</t>
  </si>
  <si>
    <t>Glas (geschat)</t>
  </si>
  <si>
    <t>Totaal generaal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</si>
</sst>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#,##0.0000"/>
  </numFmts>
  <fonts count="2" x14ac:knownFonts="1"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49" fontId="1" fillId="3" borderId="12" xfId="0" applyNumberFormat="1" applyFont="1" applyFill="1" applyBorder="1"/>
    <xf numFmtId="49" fontId="1" fillId="3" borderId="13" xfId="0" applyNumberFormat="1" applyFont="1" applyFill="1" applyBorder="1"/>
    <xf numFmtId="49" fontId="1" fillId="3" borderId="14" xfId="0" applyNumberFormat="1" applyFont="1" applyFill="1" applyBorder="1"/>
    <xf numFmtId="49" fontId="1" fillId="3" borderId="15" xfId="0" applyNumberFormat="1" applyFont="1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49" fontId="1" fillId="3" borderId="15" xfId="0" applyNumberFormat="1" applyFont="1" applyFill="1" applyBorder="1" applyAlignment="1">
      <alignment wrapText="1"/>
    </xf>
    <xf numFmtId="49" fontId="1" fillId="4" borderId="16" xfId="0" applyNumberFormat="1" applyFont="1" applyFill="1" applyBorder="1" applyAlignment="1">
      <alignment wrapText="1"/>
    </xf>
    <xf numFmtId="49" fontId="1" fillId="4" borderId="17" xfId="0" applyNumberFormat="1" applyFont="1" applyFill="1" applyBorder="1" applyAlignment="1">
      <alignment wrapText="1"/>
    </xf>
    <xf numFmtId="49" fontId="0" fillId="3" borderId="15" xfId="0" applyNumberFormat="1" applyFill="1" applyBorder="1" applyAlignment="1">
      <alignment wrapText="1"/>
    </xf>
    <xf numFmtId="49" fontId="1" fillId="0" borderId="16" xfId="0" applyNumberFormat="1" applyFont="1" applyBorder="1" applyAlignment="1" applyProtection="1">
      <alignment wrapText="1"/>
      <protection locked="0"/>
    </xf>
    <xf numFmtId="49" fontId="1" fillId="0" borderId="17" xfId="0" applyNumberFormat="1" applyFont="1" applyBorder="1" applyAlignment="1" applyProtection="1">
      <alignment wrapText="1"/>
      <protection locked="0"/>
    </xf>
    <xf numFmtId="49" fontId="0" fillId="3" borderId="15" xfId="0" applyNumberFormat="1" applyFill="1" applyBorder="1"/>
    <xf numFmtId="164" fontId="0" fillId="0" borderId="16" xfId="0" applyNumberFormat="1" applyBorder="1" applyProtection="1">
      <protection locked="0"/>
    </xf>
    <xf numFmtId="164" fontId="0" fillId="0" borderId="17" xfId="0" applyNumberFormat="1" applyBorder="1" applyProtection="1">
      <protection locked="0"/>
    </xf>
    <xf numFmtId="164" fontId="0" fillId="2" borderId="16" xfId="0" applyNumberFormat="1" applyFill="1" applyBorder="1"/>
    <xf numFmtId="164" fontId="0" fillId="2" borderId="17" xfId="0" applyNumberFormat="1" applyFill="1" applyBorder="1"/>
    <xf numFmtId="10" fontId="0" fillId="0" borderId="16" xfId="0" applyNumberFormat="1" applyBorder="1" applyProtection="1">
      <protection locked="0"/>
    </xf>
    <xf numFmtId="164" fontId="0" fillId="2" borderId="16" xfId="0" applyNumberFormat="1" applyFill="1" applyBorder="1"/>
    <xf numFmtId="164" fontId="0" fillId="2" borderId="17" xfId="0" applyNumberFormat="1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10" fontId="0" fillId="4" borderId="16" xfId="0" applyNumberFormat="1" applyFill="1" applyBorder="1" applyProtection="1">
      <protection locked="0"/>
    </xf>
    <xf numFmtId="49" fontId="1" fillId="3" borderId="18" xfId="0" applyNumberFormat="1" applyFont="1" applyFill="1" applyBorder="1"/>
    <xf numFmtId="10" fontId="0" fillId="4" borderId="19" xfId="0" applyNumberFormat="1" applyFill="1" applyBorder="1" applyProtection="1">
      <protection locked="0"/>
    </xf>
    <xf numFmtId="164" fontId="0" fillId="2" borderId="19" xfId="0" applyNumberFormat="1" applyFill="1" applyBorder="1"/>
    <xf numFmtId="164" fontId="0" fillId="2" borderId="20" xfId="0" applyNumberFormat="1" applyFill="1" applyBorder="1"/>
    <xf numFmtId="49" fontId="1" fillId="3" borderId="13" xfId="0" applyNumberFormat="1" applyFont="1" applyFill="1" applyBorder="1" applyAlignment="1">
      <alignment wrapText="1"/>
    </xf>
    <xf numFmtId="49" fontId="1" fillId="3" borderId="14" xfId="0" applyNumberFormat="1" applyFont="1" applyFill="1" applyBorder="1" applyAlignment="1">
      <alignment wrapText="1"/>
    </xf>
    <xf numFmtId="0" fontId="0" fillId="2" borderId="15" xfId="0" applyFill="1" applyBorder="1" applyAlignment="1">
      <alignment wrapText="1"/>
    </xf>
    <xf numFmtId="10" fontId="0" fillId="2" borderId="16" xfId="0" applyNumberFormat="1" applyFill="1" applyBorder="1"/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49" fontId="0" fillId="3" borderId="6" xfId="0" applyNumberFormat="1" applyFill="1" applyBorder="1" applyAlignment="1">
      <alignment wrapText="1"/>
    </xf>
    <xf numFmtId="0" fontId="0" fillId="3" borderId="4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0" xfId="0" applyFill="1" applyBorder="1"/>
    <xf numFmtId="0" fontId="0" fillId="3" borderId="8" xfId="0" applyFill="1" applyBorder="1"/>
    <xf numFmtId="49" fontId="0" fillId="2" borderId="24" xfId="0" applyNumberFormat="1" applyFill="1" applyBorder="1"/>
    <xf numFmtId="1" fontId="0" fillId="2" borderId="24" xfId="0" applyNumberFormat="1" applyFill="1" applyBorder="1"/>
    <xf numFmtId="4" fontId="0" fillId="0" borderId="24" xfId="0" applyNumberFormat="1" applyBorder="1" applyProtection="1">
      <protection locked="0"/>
    </xf>
    <xf numFmtId="10" fontId="0" fillId="0" borderId="24" xfId="0" applyNumberFormat="1" applyBorder="1" applyProtection="1">
      <protection locked="0"/>
    </xf>
    <xf numFmtId="164" fontId="0" fillId="2" borderId="24" xfId="0" applyNumberFormat="1" applyFill="1" applyBorder="1"/>
    <xf numFmtId="49" fontId="0" fillId="2" borderId="25" xfId="0" applyNumberFormat="1" applyFill="1" applyBorder="1"/>
    <xf numFmtId="1" fontId="0" fillId="2" borderId="25" xfId="0" applyNumberFormat="1" applyFill="1" applyBorder="1"/>
    <xf numFmtId="4" fontId="0" fillId="0" borderId="25" xfId="0" applyNumberFormat="1" applyBorder="1" applyProtection="1">
      <protection locked="0"/>
    </xf>
    <xf numFmtId="10" fontId="0" fillId="0" borderId="25" xfId="0" applyNumberFormat="1" applyBorder="1" applyProtection="1">
      <protection locked="0"/>
    </xf>
    <xf numFmtId="164" fontId="0" fillId="2" borderId="25" xfId="0" applyNumberFormat="1" applyFill="1" applyBorder="1"/>
    <xf numFmtId="49" fontId="0" fillId="2" borderId="26" xfId="0" applyNumberFormat="1" applyFill="1" applyBorder="1"/>
    <xf numFmtId="1" fontId="0" fillId="2" borderId="26" xfId="0" applyNumberFormat="1" applyFill="1" applyBorder="1"/>
    <xf numFmtId="4" fontId="0" fillId="0" borderId="26" xfId="0" applyNumberFormat="1" applyBorder="1" applyProtection="1">
      <protection locked="0"/>
    </xf>
    <xf numFmtId="10" fontId="0" fillId="0" borderId="26" xfId="0" applyNumberFormat="1" applyBorder="1" applyProtection="1">
      <protection locked="0"/>
    </xf>
    <xf numFmtId="164" fontId="0" fillId="2" borderId="26" xfId="0" applyNumberFormat="1" applyFill="1" applyBorder="1"/>
    <xf numFmtId="4" fontId="0" fillId="2" borderId="24" xfId="0" applyNumberFormat="1" applyFill="1" applyBorder="1"/>
    <xf numFmtId="165" fontId="0" fillId="2" borderId="24" xfId="0" applyNumberFormat="1" applyFill="1" applyBorder="1"/>
    <xf numFmtId="10" fontId="0" fillId="2" borderId="24" xfId="0" applyNumberFormat="1" applyFill="1" applyBorder="1"/>
    <xf numFmtId="4" fontId="0" fillId="2" borderId="25" xfId="0" applyNumberFormat="1" applyFill="1" applyBorder="1"/>
    <xf numFmtId="165" fontId="0" fillId="2" borderId="25" xfId="0" applyNumberFormat="1" applyFill="1" applyBorder="1"/>
    <xf numFmtId="10" fontId="0" fillId="2" borderId="25" xfId="0" applyNumberFormat="1" applyFill="1" applyBorder="1"/>
    <xf numFmtId="4" fontId="0" fillId="2" borderId="26" xfId="0" applyNumberFormat="1" applyFill="1" applyBorder="1"/>
    <xf numFmtId="165" fontId="0" fillId="2" borderId="26" xfId="0" applyNumberFormat="1" applyFill="1" applyBorder="1"/>
    <xf numFmtId="10" fontId="0" fillId="2" borderId="26" xfId="0" applyNumberFormat="1" applyFill="1" applyBorder="1"/>
    <xf numFmtId="0" fontId="0" fillId="3" borderId="28" xfId="0" applyFill="1" applyBorder="1"/>
    <xf numFmtId="49" fontId="0" fillId="3" borderId="21" xfId="0" applyNumberFormat="1" applyFill="1" applyBorder="1"/>
    <xf numFmtId="0" fontId="0" fillId="3" borderId="22" xfId="0" applyFill="1" applyBorder="1"/>
    <xf numFmtId="4" fontId="0" fillId="3" borderId="6" xfId="0" applyNumberFormat="1" applyFill="1" applyBorder="1"/>
    <xf numFmtId="164" fontId="0" fillId="3" borderId="6" xfId="0" applyNumberFormat="1" applyFill="1" applyBorder="1"/>
    <xf numFmtId="164" fontId="0" fillId="3" borderId="27" xfId="0" applyNumberFormat="1" applyFill="1" applyBorder="1"/>
    <xf numFmtId="0" fontId="0" fillId="3" borderId="21" xfId="0" applyFill="1" applyBorder="1"/>
    <xf numFmtId="0" fontId="0" fillId="3" borderId="29" xfId="0" applyFill="1" applyBorder="1"/>
    <xf numFmtId="49" fontId="0" fillId="3" borderId="30" xfId="0" applyNumberFormat="1" applyFill="1" applyBorder="1" applyAlignment="1">
      <alignment wrapText="1"/>
    </xf>
    <xf numFmtId="49" fontId="0" fillId="3" borderId="27" xfId="0" applyNumberFormat="1" applyFill="1" applyBorder="1" applyAlignment="1">
      <alignment wrapText="1"/>
    </xf>
    <xf numFmtId="0" fontId="0" fillId="3" borderId="31" xfId="0" applyFill="1" applyBorder="1"/>
    <xf numFmtId="49" fontId="0" fillId="2" borderId="12" xfId="0" applyNumberFormat="1" applyFill="1" applyBorder="1"/>
    <xf numFmtId="49" fontId="0" fillId="2" borderId="13" xfId="0" applyNumberFormat="1" applyFill="1" applyBorder="1"/>
    <xf numFmtId="49" fontId="0" fillId="2" borderId="13" xfId="0" applyNumberFormat="1" applyFill="1" applyBorder="1" applyAlignment="1">
      <alignment wrapText="1"/>
    </xf>
    <xf numFmtId="4" fontId="0" fillId="2" borderId="13" xfId="0" applyNumberFormat="1" applyFill="1" applyBorder="1"/>
    <xf numFmtId="165" fontId="0" fillId="2" borderId="13" xfId="0" applyNumberFormat="1" applyFill="1" applyBorder="1"/>
    <xf numFmtId="10" fontId="0" fillId="2" borderId="13" xfId="0" applyNumberFormat="1" applyFill="1" applyBorder="1"/>
    <xf numFmtId="164" fontId="0" fillId="2" borderId="13" xfId="0" applyNumberFormat="1" applyFill="1" applyBorder="1"/>
    <xf numFmtId="164" fontId="0" fillId="2" borderId="14" xfId="0" applyNumberFormat="1" applyFill="1" applyBorder="1"/>
    <xf numFmtId="49" fontId="0" fillId="2" borderId="15" xfId="0" applyNumberFormat="1" applyFill="1" applyBorder="1"/>
    <xf numFmtId="49" fontId="0" fillId="2" borderId="16" xfId="0" applyNumberFormat="1" applyFill="1" applyBorder="1"/>
    <xf numFmtId="49" fontId="0" fillId="2" borderId="16" xfId="0" applyNumberFormat="1" applyFill="1" applyBorder="1" applyAlignment="1">
      <alignment wrapText="1"/>
    </xf>
    <xf numFmtId="4" fontId="0" fillId="2" borderId="16" xfId="0" applyNumberFormat="1" applyFill="1" applyBorder="1"/>
    <xf numFmtId="165" fontId="0" fillId="2" borderId="16" xfId="0" applyNumberFormat="1" applyFill="1" applyBorder="1"/>
    <xf numFmtId="0" fontId="0" fillId="2" borderId="16" xfId="0" applyFill="1" applyBorder="1"/>
    <xf numFmtId="49" fontId="0" fillId="2" borderId="18" xfId="0" applyNumberFormat="1" applyFill="1" applyBorder="1"/>
    <xf numFmtId="49" fontId="0" fillId="2" borderId="19" xfId="0" applyNumberFormat="1" applyFill="1" applyBorder="1"/>
    <xf numFmtId="49" fontId="0" fillId="2" borderId="19" xfId="0" applyNumberFormat="1" applyFill="1" applyBorder="1" applyAlignment="1">
      <alignment wrapText="1"/>
    </xf>
    <xf numFmtId="4" fontId="0" fillId="2" borderId="19" xfId="0" applyNumberFormat="1" applyFill="1" applyBorder="1"/>
    <xf numFmtId="165" fontId="0" fillId="2" borderId="19" xfId="0" applyNumberFormat="1" applyFill="1" applyBorder="1"/>
    <xf numFmtId="10" fontId="0" fillId="2" borderId="19" xfId="0" applyNumberFormat="1" applyFill="1" applyBorder="1"/>
    <xf numFmtId="49" fontId="0" fillId="3" borderId="32" xfId="0" applyNumberFormat="1" applyFill="1" applyBorder="1"/>
    <xf numFmtId="49" fontId="0" fillId="3" borderId="3" xfId="0" applyNumberFormat="1" applyFill="1" applyBorder="1"/>
    <xf numFmtId="49" fontId="0" fillId="3" borderId="3" xfId="0" applyNumberFormat="1" applyFill="1" applyBorder="1" applyAlignment="1">
      <alignment wrapText="1"/>
    </xf>
    <xf numFmtId="0" fontId="0" fillId="3" borderId="11" xfId="0" applyFill="1" applyBorder="1"/>
    <xf numFmtId="49" fontId="0" fillId="3" borderId="11" xfId="0" applyNumberFormat="1" applyFill="1" applyBorder="1"/>
    <xf numFmtId="0" fontId="0" fillId="3" borderId="6" xfId="0" applyFill="1" applyBorder="1"/>
    <xf numFmtId="49" fontId="0" fillId="4" borderId="24" xfId="0" applyNumberFormat="1" applyFill="1" applyBorder="1" applyProtection="1">
      <protection locked="0"/>
    </xf>
    <xf numFmtId="164" fontId="0" fillId="4" borderId="24" xfId="0" applyNumberFormat="1" applyFill="1" applyBorder="1" applyProtection="1">
      <protection locked="0"/>
    </xf>
    <xf numFmtId="49" fontId="0" fillId="2" borderId="25" xfId="0" quotePrefix="1" applyNumberFormat="1" applyFill="1" applyBorder="1"/>
    <xf numFmtId="49" fontId="0" fillId="4" borderId="25" xfId="0" applyNumberFormat="1" applyFill="1" applyBorder="1" applyProtection="1">
      <protection locked="0"/>
    </xf>
    <xf numFmtId="164" fontId="0" fillId="4" borderId="25" xfId="0" applyNumberFormat="1" applyFill="1" applyBorder="1" applyProtection="1">
      <protection locked="0"/>
    </xf>
    <xf numFmtId="49" fontId="0" fillId="4" borderId="26" xfId="0" applyNumberFormat="1" applyFill="1" applyBorder="1" applyProtection="1">
      <protection locked="0"/>
    </xf>
    <xf numFmtId="164" fontId="0" fillId="4" borderId="26" xfId="0" applyNumberFormat="1" applyFill="1" applyBorder="1" applyProtection="1">
      <protection locked="0"/>
    </xf>
    <xf numFmtId="49" fontId="0" fillId="2" borderId="6" xfId="0" applyNumberFormat="1" applyFill="1" applyBorder="1"/>
    <xf numFmtId="1" fontId="0" fillId="2" borderId="6" xfId="0" applyNumberFormat="1" applyFill="1" applyBorder="1"/>
    <xf numFmtId="4" fontId="0" fillId="4" borderId="6" xfId="0" applyNumberFormat="1" applyFill="1" applyBorder="1"/>
    <xf numFmtId="164" fontId="0" fillId="2" borderId="6" xfId="0" applyNumberFormat="1" applyFill="1" applyBorder="1" applyProtection="1"/>
    <xf numFmtId="4" fontId="0" fillId="0" borderId="6" xfId="0" applyNumberFormat="1" applyBorder="1" applyProtection="1">
      <protection locked="0"/>
    </xf>
    <xf numFmtId="164" fontId="0" fillId="3" borderId="6" xfId="0" applyNumberFormat="1" applyFill="1" applyBorder="1" applyProtection="1"/>
    <xf numFmtId="164" fontId="0" fillId="2" borderId="6" xfId="0" applyNumberFormat="1" applyFill="1" applyBorder="1"/>
    <xf numFmtId="164" fontId="0" fillId="3" borderId="23" xfId="0" applyNumberFormat="1" applyFill="1" applyBorder="1"/>
    <xf numFmtId="164" fontId="0" fillId="0" borderId="24" xfId="0" applyNumberFormat="1" applyBorder="1" applyProtection="1">
      <protection locked="0"/>
    </xf>
    <xf numFmtId="164" fontId="0" fillId="0" borderId="25" xfId="0" applyNumberFormat="1" applyBorder="1" applyProtection="1">
      <protection locked="0"/>
    </xf>
    <xf numFmtId="164" fontId="0" fillId="0" borderId="26" xfId="0" applyNumberFormat="1" applyBorder="1" applyProtection="1">
      <protection locked="0"/>
    </xf>
    <xf numFmtId="0" fontId="0" fillId="3" borderId="23" xfId="0" applyFill="1" applyBorder="1"/>
    <xf numFmtId="4" fontId="0" fillId="4" borderId="24" xfId="0" applyNumberFormat="1" applyFill="1" applyBorder="1"/>
    <xf numFmtId="164" fontId="0" fillId="2" borderId="24" xfId="0" applyNumberFormat="1" applyFill="1" applyBorder="1" applyProtection="1"/>
    <xf numFmtId="4" fontId="0" fillId="3" borderId="24" xfId="0" applyNumberFormat="1" applyFill="1" applyBorder="1" applyProtection="1"/>
    <xf numFmtId="4" fontId="0" fillId="4" borderId="25" xfId="0" applyNumberFormat="1" applyFill="1" applyBorder="1"/>
    <xf numFmtId="164" fontId="0" fillId="2" borderId="25" xfId="0" applyNumberFormat="1" applyFill="1" applyBorder="1" applyProtection="1"/>
    <xf numFmtId="4" fontId="0" fillId="3" borderId="25" xfId="0" applyNumberFormat="1" applyFill="1" applyBorder="1" applyProtection="1"/>
    <xf numFmtId="4" fontId="0" fillId="4" borderId="26" xfId="0" applyNumberFormat="1" applyFill="1" applyBorder="1"/>
    <xf numFmtId="164" fontId="0" fillId="2" borderId="26" xfId="0" applyNumberFormat="1" applyFill="1" applyBorder="1" applyProtection="1"/>
    <xf numFmtId="4" fontId="0" fillId="3" borderId="26" xfId="0" applyNumberFormat="1" applyFill="1" applyBorder="1" applyProtection="1"/>
    <xf numFmtId="0" fontId="0" fillId="3" borderId="21" xfId="0" applyFill="1" applyBorder="1" applyAlignment="1"/>
    <xf numFmtId="49" fontId="0" fillId="3" borderId="21" xfId="0" applyNumberFormat="1" applyFill="1" applyBorder="1" applyAlignment="1"/>
    <xf numFmtId="4" fontId="0" fillId="3" borderId="6" xfId="0" applyNumberFormat="1" applyFill="1" applyBorder="1" applyProtection="1"/>
    <xf numFmtId="49" fontId="0" fillId="3" borderId="24" xfId="0" applyNumberFormat="1" applyFill="1" applyBorder="1" applyAlignment="1">
      <alignment wrapText="1"/>
    </xf>
    <xf numFmtId="49" fontId="0" fillId="3" borderId="25" xfId="0" applyNumberFormat="1" applyFill="1" applyBorder="1" applyAlignment="1">
      <alignment wrapText="1"/>
    </xf>
    <xf numFmtId="4" fontId="0" fillId="3" borderId="25" xfId="0" applyNumberFormat="1" applyFill="1" applyBorder="1"/>
    <xf numFmtId="49" fontId="0" fillId="3" borderId="26" xfId="0" applyNumberFormat="1" applyFill="1" applyBorder="1" applyAlignment="1">
      <alignment wrapText="1"/>
    </xf>
    <xf numFmtId="4" fontId="0" fillId="3" borderId="26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21F4D-00AB-4D84-A172-B0306F34F1F2}">
  <dimension ref="A1:B25"/>
  <sheetViews>
    <sheetView workbookViewId="0"/>
  </sheetViews>
  <sheetFormatPr defaultRowHeight="12.75" x14ac:dyDescent="0.2"/>
  <sheetData>
    <row r="1" spans="1:2" x14ac:dyDescent="0.2">
      <c r="A1" s="1" t="s">
        <v>0</v>
      </c>
    </row>
    <row r="3" spans="1:2" x14ac:dyDescent="0.2">
      <c r="A3" t="s">
        <v>1</v>
      </c>
    </row>
    <row r="5" spans="1:2" x14ac:dyDescent="0.2">
      <c r="A5" t="s">
        <v>2</v>
      </c>
      <c r="B5" t="s">
        <v>3</v>
      </c>
    </row>
    <row r="7" spans="1:2" x14ac:dyDescent="0.2">
      <c r="A7" s="4" t="s">
        <v>4</v>
      </c>
      <c r="B7" s="5"/>
    </row>
    <row r="8" spans="1:2" x14ac:dyDescent="0.2">
      <c r="A8" s="2"/>
      <c r="B8" s="3"/>
    </row>
    <row r="9" spans="1:2" x14ac:dyDescent="0.2">
      <c r="A9" s="2" t="s">
        <v>5</v>
      </c>
      <c r="B9" s="3">
        <v>255</v>
      </c>
    </row>
    <row r="10" spans="1:2" x14ac:dyDescent="0.2">
      <c r="A10" s="2" t="s">
        <v>6</v>
      </c>
      <c r="B10" s="3">
        <v>5</v>
      </c>
    </row>
    <row r="11" spans="1:2" x14ac:dyDescent="0.2">
      <c r="A11" s="2"/>
      <c r="B11" s="3"/>
    </row>
    <row r="12" spans="1:2" x14ac:dyDescent="0.2">
      <c r="A12" s="2" t="s">
        <v>7</v>
      </c>
      <c r="B12" s="3" t="s">
        <v>8</v>
      </c>
    </row>
    <row r="13" spans="1:2" x14ac:dyDescent="0.2">
      <c r="A13" s="2" t="s">
        <v>9</v>
      </c>
      <c r="B13" s="3">
        <f>IF(A13="2½W",2.5/dagenperweek1,IF(RIGHT(A13,1)="W",VALUE(LEFT(A13,LEN(A13)-1))/dagenperweek1,IF(RIGHT(A13,1)="J",VALUE(LEFT(A13,LEN(A13)-1))/dagenperjaar1,IF(RIGHT(A13,1)="D",VALUE(LEFT(A13,LEN(A13)-1)),"handmatig!"))))</f>
        <v>1</v>
      </c>
    </row>
    <row r="14" spans="1:2" x14ac:dyDescent="0.2">
      <c r="A14" s="2" t="s">
        <v>10</v>
      </c>
      <c r="B14" s="3">
        <f>IF(A14="2½W",2.5/dagenperweek1,IF(RIGHT(A14,1)="W",VALUE(LEFT(A14,LEN(A14)-1))/dagenperweek1,IF(RIGHT(A14,1)="J",VALUE(LEFT(A14,LEN(A14)-1))/dagenperjaar1,IF(RIGHT(A14,1)="D",VALUE(LEFT(A14,LEN(A14)-1)),"handmatig!"))))</f>
        <v>0.8</v>
      </c>
    </row>
    <row r="15" spans="1:2" x14ac:dyDescent="0.2">
      <c r="A15" s="2" t="s">
        <v>11</v>
      </c>
      <c r="B15" s="3">
        <f>IF(A15="2½W",2.5/dagenperweek1,IF(RIGHT(A15,1)="W",VALUE(LEFT(A15,LEN(A15)-1))/dagenperweek1,IF(RIGHT(A15,1)="J",VALUE(LEFT(A15,LEN(A15)-1))/dagenperjaar1,IF(RIGHT(A15,1)="D",VALUE(LEFT(A15,LEN(A15)-1)),"handmatig!"))))</f>
        <v>0.6</v>
      </c>
    </row>
    <row r="16" spans="1:2" x14ac:dyDescent="0.2">
      <c r="A16" s="2" t="s">
        <v>12</v>
      </c>
      <c r="B16" s="3">
        <f>IF(A16="2½W",2.5/dagenperweek1,IF(RIGHT(A16,1)="W",VALUE(LEFT(A16,LEN(A16)-1))/dagenperweek1,IF(RIGHT(A16,1)="J",VALUE(LEFT(A16,LEN(A16)-1))/dagenperjaar1,IF(RIGHT(A16,1)="D",VALUE(LEFT(A16,LEN(A16)-1)),"handmatig!"))))</f>
        <v>0.4</v>
      </c>
    </row>
    <row r="17" spans="1:2" x14ac:dyDescent="0.2">
      <c r="A17" s="2" t="s">
        <v>13</v>
      </c>
      <c r="B17" s="3">
        <f>IF(A17="2½W",2.5/dagenperweek1,IF(RIGHT(A17,1)="W",VALUE(LEFT(A17,LEN(A17)-1))/dagenperweek1,IF(RIGHT(A17,1)="J",VALUE(LEFT(A17,LEN(A17)-1))/dagenperjaar1,IF(RIGHT(A17,1)="D",VALUE(LEFT(A17,LEN(A17)-1)),"handmatig!"))))</f>
        <v>0.2</v>
      </c>
    </row>
    <row r="18" spans="1:2" x14ac:dyDescent="0.2">
      <c r="A18" s="2" t="s">
        <v>14</v>
      </c>
      <c r="B18" s="3">
        <f>IF(A18="2½W",2.5/dagenperweek1,IF(RIGHT(A18,1)="W",VALUE(LEFT(A18,LEN(A18)-1))/dagenperweek1,IF(RIGHT(A18,1)="J",VALUE(LEFT(A18,LEN(A18)-1))/dagenperjaar1,IF(RIGHT(A18,1)="D",VALUE(LEFT(A18,LEN(A18)-1)),"handmatig!"))))</f>
        <v>0.10196078431372549</v>
      </c>
    </row>
    <row r="19" spans="1:2" x14ac:dyDescent="0.2">
      <c r="A19" s="2" t="s">
        <v>15</v>
      </c>
      <c r="B19" s="3">
        <f>IF(A19="2½W",2.5/dagenperweek1,IF(RIGHT(A19,1)="W",VALUE(LEFT(A19,LEN(A19)-1))/dagenperweek1,IF(RIGHT(A19,1)="J",VALUE(LEFT(A19,LEN(A19)-1))/dagenperjaar1,IF(RIGHT(A19,1)="D",VALUE(LEFT(A19,LEN(A19)-1)),"handmatig!"))))</f>
        <v>4.7058823529411764E-2</v>
      </c>
    </row>
    <row r="20" spans="1:2" x14ac:dyDescent="0.2">
      <c r="A20" s="2" t="s">
        <v>16</v>
      </c>
      <c r="B20" s="3">
        <f>IF(A20="2½W",2.5/dagenperweek1,IF(RIGHT(A20,1)="W",VALUE(LEFT(A20,LEN(A20)-1))/dagenperweek1,IF(RIGHT(A20,1)="J",VALUE(LEFT(A20,LEN(A20)-1))/dagenperjaar1,IF(RIGHT(A20,1)="D",VALUE(LEFT(A20,LEN(A20)-1)),"handmatig!"))))</f>
        <v>3.9215686274509803E-2</v>
      </c>
    </row>
    <row r="21" spans="1:2" x14ac:dyDescent="0.2">
      <c r="A21" s="2" t="s">
        <v>17</v>
      </c>
      <c r="B21" s="3">
        <f>IF(A21="2½W",2.5/dagenperweek1,IF(RIGHT(A21,1)="W",VALUE(LEFT(A21,LEN(A21)-1))/dagenperweek1,IF(RIGHT(A21,1)="J",VALUE(LEFT(A21,LEN(A21)-1))/dagenperjaar1,IF(RIGHT(A21,1)="D",VALUE(LEFT(A21,LEN(A21)-1)),"handmatig!"))))</f>
        <v>2.3529411764705882E-2</v>
      </c>
    </row>
    <row r="22" spans="1:2" x14ac:dyDescent="0.2">
      <c r="A22" s="2" t="s">
        <v>18</v>
      </c>
      <c r="B22" s="3">
        <f>IF(A22="2½W",2.5/dagenperweek1,IF(RIGHT(A22,1)="W",VALUE(LEFT(A22,LEN(A22)-1))/dagenperweek1,IF(RIGHT(A22,1)="J",VALUE(LEFT(A22,LEN(A22)-1))/dagenperjaar1,IF(RIGHT(A22,1)="D",VALUE(LEFT(A22,LEN(A22)-1)),"handmatig!"))))</f>
        <v>1.5686274509803921E-2</v>
      </c>
    </row>
    <row r="23" spans="1:2" x14ac:dyDescent="0.2">
      <c r="A23" s="2" t="s">
        <v>19</v>
      </c>
      <c r="B23" s="3">
        <f>IF(A23="2½W",2.5/dagenperweek1,IF(RIGHT(A23,1)="W",VALUE(LEFT(A23,LEN(A23)-1))/dagenperweek1,IF(RIGHT(A23,1)="J",VALUE(LEFT(A23,LEN(A23)-1))/dagenperjaar1,IF(RIGHT(A23,1)="D",VALUE(LEFT(A23,LEN(A23)-1)),"handmatig!"))))</f>
        <v>1.1764705882352941E-2</v>
      </c>
    </row>
    <row r="24" spans="1:2" x14ac:dyDescent="0.2">
      <c r="A24" s="2" t="s">
        <v>20</v>
      </c>
      <c r="B24" s="3">
        <f>IF(A24="2½W",2.5/dagenperweek1,IF(RIGHT(A24,1)="W",VALUE(LEFT(A24,LEN(A24)-1))/dagenperweek1,IF(RIGHT(A24,1)="J",VALUE(LEFT(A24,LEN(A24)-1))/dagenperjaar1,IF(RIGHT(A24,1)="D",VALUE(LEFT(A24,LEN(A24)-1)),"handmatig!"))))</f>
        <v>7.8431372549019607E-3</v>
      </c>
    </row>
    <row r="25" spans="1:2" x14ac:dyDescent="0.2">
      <c r="A25" s="6" t="s">
        <v>21</v>
      </c>
      <c r="B25" s="7">
        <f>IF(A25="2½W",2.5/dagenperweek1,IF(RIGHT(A25,1)="W",VALUE(LEFT(A25,LEN(A25)-1))/dagenperweek1,IF(RIGHT(A25,1)="J",VALUE(LEFT(A25,LEN(A25)-1))/dagenperjaar1,IF(RIGHT(A25,1)="D",VALUE(LEFT(A25,LEN(A25)-1)),"handmatig!"))))</f>
        <v>3.9215686274509803E-3</v>
      </c>
    </row>
  </sheetData>
  <sheetProtection algorithmName="SHA-512" hashValue="bQS5sz/kxYuurCEmx39yJcoac+K/0cR8yJsdAw8ymX/bOcOvpR+YE6T/dFgJ8gvz143psG0nk9cYI1zp6m7QOA==" saltValue="AhGdV8AYYrTAzAd+N1OHfw==" spinCount="100000" sheet="1" objects="1" scenarios="1" autoFilter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5F051-F927-4447-B61A-C8CB9CA7D872}">
  <dimension ref="A1:Q61"/>
  <sheetViews>
    <sheetView workbookViewId="0"/>
  </sheetViews>
  <sheetFormatPr defaultRowHeight="12.75" x14ac:dyDescent="0.2"/>
  <cols>
    <col min="1" max="1" width="40.625" customWidth="1"/>
    <col min="2" max="2" width="8.125" customWidth="1"/>
    <col min="3" max="3" width="10.625" customWidth="1"/>
    <col min="4" max="4" width="8.125" customWidth="1"/>
    <col min="5" max="5" width="10.625" customWidth="1"/>
    <col min="6" max="6" width="8.125" customWidth="1"/>
    <col min="7" max="7" width="10.625" customWidth="1"/>
    <col min="8" max="8" width="8.125" customWidth="1"/>
    <col min="9" max="9" width="10.625" customWidth="1"/>
    <col min="10" max="10" width="8.125" customWidth="1"/>
    <col min="11" max="11" width="10.625" customWidth="1"/>
    <col min="12" max="12" width="8.125" customWidth="1"/>
    <col min="13" max="13" width="10.625" customWidth="1"/>
    <col min="14" max="14" width="8.125" customWidth="1"/>
    <col min="15" max="15" width="10.625" customWidth="1"/>
    <col min="16" max="16" width="8.125" customWidth="1"/>
    <col min="17" max="17" width="10.625" customWidth="1"/>
  </cols>
  <sheetData>
    <row r="1" spans="1:17" x14ac:dyDescent="0.2">
      <c r="A1" s="1" t="s">
        <v>22</v>
      </c>
    </row>
    <row r="3" spans="1:17" x14ac:dyDescent="0.2">
      <c r="A3" s="8"/>
      <c r="B3" s="9" t="s">
        <v>23</v>
      </c>
      <c r="C3" s="9"/>
      <c r="D3" s="9" t="s">
        <v>23</v>
      </c>
      <c r="E3" s="9"/>
      <c r="F3" s="9" t="s">
        <v>23</v>
      </c>
      <c r="G3" s="9"/>
      <c r="H3" s="9" t="s">
        <v>23</v>
      </c>
      <c r="I3" s="9"/>
      <c r="J3" s="9" t="s">
        <v>23</v>
      </c>
      <c r="K3" s="9"/>
      <c r="L3" s="9" t="s">
        <v>24</v>
      </c>
      <c r="M3" s="9"/>
      <c r="N3" s="9" t="s">
        <v>24</v>
      </c>
      <c r="O3" s="9"/>
      <c r="P3" s="9" t="s">
        <v>24</v>
      </c>
      <c r="Q3" s="10"/>
    </row>
    <row r="4" spans="1:17" x14ac:dyDescent="0.2">
      <c r="A4" s="11"/>
      <c r="B4" s="12" t="s">
        <v>25</v>
      </c>
      <c r="C4" s="12"/>
      <c r="D4" s="12" t="s">
        <v>25</v>
      </c>
      <c r="E4" s="12"/>
      <c r="F4" s="12" t="s">
        <v>25</v>
      </c>
      <c r="G4" s="12"/>
      <c r="H4" s="12" t="s">
        <v>26</v>
      </c>
      <c r="I4" s="12"/>
      <c r="J4" s="12" t="s">
        <v>26</v>
      </c>
      <c r="K4" s="12"/>
      <c r="L4" s="12" t="s">
        <v>25</v>
      </c>
      <c r="M4" s="12"/>
      <c r="N4" s="12" t="s">
        <v>25</v>
      </c>
      <c r="O4" s="12"/>
      <c r="P4" s="12" t="s">
        <v>26</v>
      </c>
      <c r="Q4" s="13"/>
    </row>
    <row r="5" spans="1:17" ht="25.5" customHeight="1" x14ac:dyDescent="0.2">
      <c r="A5" s="14" t="s">
        <v>27</v>
      </c>
      <c r="B5" s="15" t="s">
        <v>28</v>
      </c>
      <c r="C5" s="15"/>
      <c r="D5" s="15" t="s">
        <v>28</v>
      </c>
      <c r="E5" s="15"/>
      <c r="F5" s="15" t="s">
        <v>29</v>
      </c>
      <c r="G5" s="15"/>
      <c r="H5" s="15" t="s">
        <v>30</v>
      </c>
      <c r="I5" s="15"/>
      <c r="J5" s="15" t="s">
        <v>30</v>
      </c>
      <c r="K5" s="15"/>
      <c r="L5" s="15" t="s">
        <v>31</v>
      </c>
      <c r="M5" s="15"/>
      <c r="N5" s="15" t="s">
        <v>31</v>
      </c>
      <c r="O5" s="15"/>
      <c r="P5" s="15" t="s">
        <v>32</v>
      </c>
      <c r="Q5" s="16"/>
    </row>
    <row r="6" spans="1:17" ht="38.25" customHeight="1" x14ac:dyDescent="0.2">
      <c r="A6" s="17" t="s">
        <v>33</v>
      </c>
      <c r="B6" s="15" t="s">
        <v>34</v>
      </c>
      <c r="C6" s="15"/>
      <c r="D6" s="18" t="s">
        <v>35</v>
      </c>
      <c r="E6" s="18"/>
      <c r="F6" s="15" t="s">
        <v>36</v>
      </c>
      <c r="G6" s="15"/>
      <c r="H6" s="15" t="s">
        <v>36</v>
      </c>
      <c r="I6" s="15"/>
      <c r="J6" s="15" t="s">
        <v>37</v>
      </c>
      <c r="K6" s="15"/>
      <c r="L6" s="18" t="s">
        <v>35</v>
      </c>
      <c r="M6" s="18"/>
      <c r="N6" s="15" t="s">
        <v>38</v>
      </c>
      <c r="O6" s="15"/>
      <c r="P6" s="18" t="s">
        <v>35</v>
      </c>
      <c r="Q6" s="19"/>
    </row>
    <row r="7" spans="1:17" x14ac:dyDescent="0.2">
      <c r="A7" s="20" t="s">
        <v>39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2"/>
    </row>
    <row r="8" spans="1:17" x14ac:dyDescent="0.2">
      <c r="A8" s="20" t="s">
        <v>40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2"/>
    </row>
    <row r="9" spans="1:17" x14ac:dyDescent="0.2">
      <c r="A9" s="11" t="s">
        <v>41</v>
      </c>
      <c r="B9" s="23">
        <f>SUM(B7:B8)</f>
        <v>0</v>
      </c>
      <c r="C9" s="23"/>
      <c r="D9" s="23">
        <f>SUM(D7:D8)</f>
        <v>0</v>
      </c>
      <c r="E9" s="23"/>
      <c r="F9" s="23">
        <f>SUM(F7:F8)</f>
        <v>0</v>
      </c>
      <c r="G9" s="23"/>
      <c r="H9" s="23">
        <f>SUM(H7:H8)</f>
        <v>0</v>
      </c>
      <c r="I9" s="23"/>
      <c r="J9" s="23">
        <f>SUM(J7:J8)</f>
        <v>0</v>
      </c>
      <c r="K9" s="23"/>
      <c r="L9" s="23">
        <f>SUM(L7:L8)</f>
        <v>0</v>
      </c>
      <c r="M9" s="23"/>
      <c r="N9" s="23">
        <f>SUM(N7:N8)</f>
        <v>0</v>
      </c>
      <c r="O9" s="23"/>
      <c r="P9" s="23">
        <f>SUM(P7:P8)</f>
        <v>0</v>
      </c>
      <c r="Q9" s="24"/>
    </row>
    <row r="10" spans="1:17" x14ac:dyDescent="0.2">
      <c r="A10" s="20" t="s">
        <v>42</v>
      </c>
      <c r="B10" s="25"/>
      <c r="C10" s="26">
        <f>TariefOpbouwBasisloon1*B10</f>
        <v>0</v>
      </c>
      <c r="D10" s="25"/>
      <c r="E10" s="26">
        <f>TariefOpbouwBasisloon2*D10</f>
        <v>0</v>
      </c>
      <c r="F10" s="25"/>
      <c r="G10" s="26">
        <f>TariefOpbouwBasisloon3*F10</f>
        <v>0</v>
      </c>
      <c r="H10" s="25"/>
      <c r="I10" s="26">
        <f>TariefOpbouwBasisloon4*H10</f>
        <v>0</v>
      </c>
      <c r="J10" s="25"/>
      <c r="K10" s="26">
        <f>TariefOpbouwBasisloon5*J10</f>
        <v>0</v>
      </c>
      <c r="L10" s="25"/>
      <c r="M10" s="26">
        <f>TariefOpbouwBasisloon6*L10</f>
        <v>0</v>
      </c>
      <c r="N10" s="25"/>
      <c r="O10" s="26">
        <f>TariefOpbouwBasisloon7*N10</f>
        <v>0</v>
      </c>
      <c r="P10" s="25"/>
      <c r="Q10" s="27">
        <f>TariefOpbouwBasisloon8*P10</f>
        <v>0</v>
      </c>
    </row>
    <row r="11" spans="1:17" x14ac:dyDescent="0.2">
      <c r="A11" s="20" t="s">
        <v>43</v>
      </c>
      <c r="B11" s="25"/>
      <c r="C11" s="26">
        <f>TariefOpbouwBasisloon1*B11</f>
        <v>0</v>
      </c>
      <c r="D11" s="25"/>
      <c r="E11" s="26">
        <f>TariefOpbouwBasisloon2*D11</f>
        <v>0</v>
      </c>
      <c r="F11" s="25"/>
      <c r="G11" s="26">
        <f>TariefOpbouwBasisloon3*F11</f>
        <v>0</v>
      </c>
      <c r="H11" s="25"/>
      <c r="I11" s="26">
        <f>TariefOpbouwBasisloon4*H11</f>
        <v>0</v>
      </c>
      <c r="J11" s="25"/>
      <c r="K11" s="26">
        <f>TariefOpbouwBasisloon5*J11</f>
        <v>0</v>
      </c>
      <c r="L11" s="25"/>
      <c r="M11" s="26">
        <f>TariefOpbouwBasisloon6*L11</f>
        <v>0</v>
      </c>
      <c r="N11" s="25"/>
      <c r="O11" s="26">
        <f>TariefOpbouwBasisloon7*N11</f>
        <v>0</v>
      </c>
      <c r="P11" s="25"/>
      <c r="Q11" s="27">
        <f>TariefOpbouwBasisloon8*P11</f>
        <v>0</v>
      </c>
    </row>
    <row r="12" spans="1:17" x14ac:dyDescent="0.2">
      <c r="A12" s="11" t="s">
        <v>44</v>
      </c>
      <c r="B12" s="23">
        <f>SUM(TariefOpbouwBasisloon1,C10:C11)</f>
        <v>0</v>
      </c>
      <c r="C12" s="23"/>
      <c r="D12" s="23">
        <f>SUM(TariefOpbouwBasisloon2,E10:E11)</f>
        <v>0</v>
      </c>
      <c r="E12" s="23"/>
      <c r="F12" s="23">
        <f>SUM(TariefOpbouwBasisloon3,G10:G11)</f>
        <v>0</v>
      </c>
      <c r="G12" s="23"/>
      <c r="H12" s="23">
        <f>SUM(TariefOpbouwBasisloon4,I10:I11)</f>
        <v>0</v>
      </c>
      <c r="I12" s="23"/>
      <c r="J12" s="23">
        <f>SUM(TariefOpbouwBasisloon5,K10:K11)</f>
        <v>0</v>
      </c>
      <c r="K12" s="23"/>
      <c r="L12" s="23">
        <f>SUM(TariefOpbouwBasisloon6,M10:M11)</f>
        <v>0</v>
      </c>
      <c r="M12" s="23"/>
      <c r="N12" s="23">
        <f>SUM(TariefOpbouwBasisloon7,O10:O11)</f>
        <v>0</v>
      </c>
      <c r="O12" s="23"/>
      <c r="P12" s="23">
        <f>SUM(TariefOpbouwBasisloon8,Q10:Q11)</f>
        <v>0</v>
      </c>
      <c r="Q12" s="24"/>
    </row>
    <row r="13" spans="1:17" x14ac:dyDescent="0.2">
      <c r="A13" s="20" t="s">
        <v>45</v>
      </c>
      <c r="B13" s="25"/>
      <c r="C13" s="26">
        <f>TariefOpbouwUurloon1*B13</f>
        <v>0</v>
      </c>
      <c r="D13" s="25"/>
      <c r="E13" s="26">
        <f>TariefOpbouwUurloon2*D13</f>
        <v>0</v>
      </c>
      <c r="F13" s="25"/>
      <c r="G13" s="26">
        <f>TariefOpbouwUurloon3*F13</f>
        <v>0</v>
      </c>
      <c r="H13" s="25"/>
      <c r="I13" s="26">
        <f>TariefOpbouwUurloon4*H13</f>
        <v>0</v>
      </c>
      <c r="J13" s="25"/>
      <c r="K13" s="26">
        <f>TariefOpbouwUurloon5*J13</f>
        <v>0</v>
      </c>
      <c r="L13" s="25"/>
      <c r="M13" s="26">
        <f>TariefOpbouwUurloon6*L13</f>
        <v>0</v>
      </c>
      <c r="N13" s="25"/>
      <c r="O13" s="26">
        <f>TariefOpbouwUurloon7*N13</f>
        <v>0</v>
      </c>
      <c r="P13" s="25"/>
      <c r="Q13" s="27">
        <f>TariefOpbouwUurloon8*P13</f>
        <v>0</v>
      </c>
    </row>
    <row r="14" spans="1:17" x14ac:dyDescent="0.2">
      <c r="A14" s="11" t="s">
        <v>46</v>
      </c>
      <c r="B14" s="23">
        <f>SUM(TariefOpbouwUurloon1,C13:C13)</f>
        <v>0</v>
      </c>
      <c r="C14" s="23"/>
      <c r="D14" s="23">
        <f>SUM(TariefOpbouwUurloon2,E13:E13)</f>
        <v>0</v>
      </c>
      <c r="E14" s="23"/>
      <c r="F14" s="23">
        <f>SUM(TariefOpbouwUurloon3,G13:G13)</f>
        <v>0</v>
      </c>
      <c r="G14" s="23"/>
      <c r="H14" s="23">
        <f>SUM(TariefOpbouwUurloon4,I13:I13)</f>
        <v>0</v>
      </c>
      <c r="I14" s="23"/>
      <c r="J14" s="23">
        <f>SUM(TariefOpbouwUurloon5,K13:K13)</f>
        <v>0</v>
      </c>
      <c r="K14" s="23"/>
      <c r="L14" s="23">
        <f>SUM(TariefOpbouwUurloon6,M13:M13)</f>
        <v>0</v>
      </c>
      <c r="M14" s="23"/>
      <c r="N14" s="23">
        <f>SUM(TariefOpbouwUurloon7,O13:O13)</f>
        <v>0</v>
      </c>
      <c r="O14" s="23"/>
      <c r="P14" s="23">
        <f>SUM(TariefOpbouwUurloon8,Q13:Q13)</f>
        <v>0</v>
      </c>
      <c r="Q14" s="24"/>
    </row>
    <row r="15" spans="1:17" x14ac:dyDescent="0.2">
      <c r="A15" s="20" t="s">
        <v>47</v>
      </c>
      <c r="B15" s="25"/>
      <c r="C15" s="26">
        <f>TariefOpbouwUurloonkosten1*B15</f>
        <v>0</v>
      </c>
      <c r="D15" s="25"/>
      <c r="E15" s="26">
        <f>TariefOpbouwUurloonkosten2*D15</f>
        <v>0</v>
      </c>
      <c r="F15" s="25"/>
      <c r="G15" s="26">
        <f>TariefOpbouwUurloonkosten3*F15</f>
        <v>0</v>
      </c>
      <c r="H15" s="25"/>
      <c r="I15" s="26">
        <f>TariefOpbouwUurloonkosten4*H15</f>
        <v>0</v>
      </c>
      <c r="J15" s="25"/>
      <c r="K15" s="26">
        <f>TariefOpbouwUurloonkosten5*J15</f>
        <v>0</v>
      </c>
      <c r="L15" s="25"/>
      <c r="M15" s="26">
        <f>TariefOpbouwUurloonkosten6*L15</f>
        <v>0</v>
      </c>
      <c r="N15" s="25"/>
      <c r="O15" s="26">
        <f>TariefOpbouwUurloonkosten7*N15</f>
        <v>0</v>
      </c>
      <c r="P15" s="25"/>
      <c r="Q15" s="27">
        <f>TariefOpbouwUurloonkosten8*P15</f>
        <v>0</v>
      </c>
    </row>
    <row r="16" spans="1:17" x14ac:dyDescent="0.2">
      <c r="A16" s="20" t="s">
        <v>48</v>
      </c>
      <c r="B16" s="25"/>
      <c r="C16" s="26">
        <f>TariefOpbouwUurloonkosten1*B16</f>
        <v>0</v>
      </c>
      <c r="D16" s="25"/>
      <c r="E16" s="26">
        <f>TariefOpbouwUurloonkosten2*D16</f>
        <v>0</v>
      </c>
      <c r="F16" s="25"/>
      <c r="G16" s="26">
        <f>TariefOpbouwUurloonkosten3*F16</f>
        <v>0</v>
      </c>
      <c r="H16" s="25"/>
      <c r="I16" s="26">
        <f>TariefOpbouwUurloonkosten4*H16</f>
        <v>0</v>
      </c>
      <c r="J16" s="25"/>
      <c r="K16" s="26">
        <f>TariefOpbouwUurloonkosten5*J16</f>
        <v>0</v>
      </c>
      <c r="L16" s="25"/>
      <c r="M16" s="26">
        <f>TariefOpbouwUurloonkosten6*L16</f>
        <v>0</v>
      </c>
      <c r="N16" s="25"/>
      <c r="O16" s="26">
        <f>TariefOpbouwUurloonkosten7*N16</f>
        <v>0</v>
      </c>
      <c r="P16" s="25"/>
      <c r="Q16" s="27">
        <f>TariefOpbouwUurloonkosten8*P16</f>
        <v>0</v>
      </c>
    </row>
    <row r="17" spans="1:17" x14ac:dyDescent="0.2">
      <c r="A17" s="20" t="s">
        <v>49</v>
      </c>
      <c r="B17" s="25"/>
      <c r="C17" s="26">
        <f>TariefOpbouwUurloonkosten1*B17</f>
        <v>0</v>
      </c>
      <c r="D17" s="25"/>
      <c r="E17" s="26">
        <f>TariefOpbouwUurloonkosten2*D17</f>
        <v>0</v>
      </c>
      <c r="F17" s="25"/>
      <c r="G17" s="26">
        <f>TariefOpbouwUurloonkosten3*F17</f>
        <v>0</v>
      </c>
      <c r="H17" s="25"/>
      <c r="I17" s="26">
        <f>TariefOpbouwUurloonkosten4*H17</f>
        <v>0</v>
      </c>
      <c r="J17" s="25"/>
      <c r="K17" s="26">
        <f>TariefOpbouwUurloonkosten5*J17</f>
        <v>0</v>
      </c>
      <c r="L17" s="25"/>
      <c r="M17" s="26">
        <f>TariefOpbouwUurloonkosten6*L17</f>
        <v>0</v>
      </c>
      <c r="N17" s="25"/>
      <c r="O17" s="26">
        <f>TariefOpbouwUurloonkosten7*N17</f>
        <v>0</v>
      </c>
      <c r="P17" s="25"/>
      <c r="Q17" s="27">
        <f>TariefOpbouwUurloonkosten8*P17</f>
        <v>0</v>
      </c>
    </row>
    <row r="18" spans="1:17" x14ac:dyDescent="0.2">
      <c r="A18" s="20" t="s">
        <v>50</v>
      </c>
      <c r="B18" s="25"/>
      <c r="C18" s="26">
        <f>TariefOpbouwUurloonkosten1*B18</f>
        <v>0</v>
      </c>
      <c r="D18" s="25"/>
      <c r="E18" s="26">
        <f>TariefOpbouwUurloonkosten2*D18</f>
        <v>0</v>
      </c>
      <c r="F18" s="25"/>
      <c r="G18" s="26">
        <f>TariefOpbouwUurloonkosten3*F18</f>
        <v>0</v>
      </c>
      <c r="H18" s="25"/>
      <c r="I18" s="26">
        <f>TariefOpbouwUurloonkosten4*H18</f>
        <v>0</v>
      </c>
      <c r="J18" s="25"/>
      <c r="K18" s="26">
        <f>TariefOpbouwUurloonkosten5*J18</f>
        <v>0</v>
      </c>
      <c r="L18" s="25"/>
      <c r="M18" s="26">
        <f>TariefOpbouwUurloonkosten6*L18</f>
        <v>0</v>
      </c>
      <c r="N18" s="25"/>
      <c r="O18" s="26">
        <f>TariefOpbouwUurloonkosten7*N18</f>
        <v>0</v>
      </c>
      <c r="P18" s="25"/>
      <c r="Q18" s="27">
        <f>TariefOpbouwUurloonkosten8*P18</f>
        <v>0</v>
      </c>
    </row>
    <row r="19" spans="1:17" x14ac:dyDescent="0.2">
      <c r="A19" s="11" t="s">
        <v>51</v>
      </c>
      <c r="B19" s="23">
        <f>SUM(TariefOpbouwUurloonkosten1,C15:C18)</f>
        <v>0</v>
      </c>
      <c r="C19" s="23"/>
      <c r="D19" s="23">
        <f>SUM(TariefOpbouwUurloonkosten2,E15:E18)</f>
        <v>0</v>
      </c>
      <c r="E19" s="23"/>
      <c r="F19" s="23">
        <f>SUM(TariefOpbouwUurloonkosten3,G15:G18)</f>
        <v>0</v>
      </c>
      <c r="G19" s="23"/>
      <c r="H19" s="23">
        <f>SUM(TariefOpbouwUurloonkosten4,I15:I18)</f>
        <v>0</v>
      </c>
      <c r="I19" s="23"/>
      <c r="J19" s="23">
        <f>SUM(TariefOpbouwUurloonkosten5,K15:K18)</f>
        <v>0</v>
      </c>
      <c r="K19" s="23"/>
      <c r="L19" s="23">
        <f>SUM(TariefOpbouwUurloonkosten6,M15:M18)</f>
        <v>0</v>
      </c>
      <c r="M19" s="23"/>
      <c r="N19" s="23">
        <f>SUM(TariefOpbouwUurloonkosten7,O15:O18)</f>
        <v>0</v>
      </c>
      <c r="O19" s="23"/>
      <c r="P19" s="23">
        <f>SUM(TariefOpbouwUurloonkosten8,Q15:Q18)</f>
        <v>0</v>
      </c>
      <c r="Q19" s="24"/>
    </row>
    <row r="20" spans="1:17" x14ac:dyDescent="0.2">
      <c r="A20" s="20" t="s">
        <v>52</v>
      </c>
      <c r="B20" s="25"/>
      <c r="C20" s="26">
        <f>TariefOpbouwTotaalLoonkosten1*B20</f>
        <v>0</v>
      </c>
      <c r="D20" s="25"/>
      <c r="E20" s="26">
        <f>TariefOpbouwTotaalLoonkosten2*D20</f>
        <v>0</v>
      </c>
      <c r="F20" s="25"/>
      <c r="G20" s="26">
        <f>TariefOpbouwTotaalLoonkosten3*F20</f>
        <v>0</v>
      </c>
      <c r="H20" s="25"/>
      <c r="I20" s="26">
        <f>TariefOpbouwTotaalLoonkosten4*H20</f>
        <v>0</v>
      </c>
      <c r="J20" s="25"/>
      <c r="K20" s="26">
        <f>TariefOpbouwTotaalLoonkosten5*J20</f>
        <v>0</v>
      </c>
      <c r="L20" s="25"/>
      <c r="M20" s="26">
        <f>TariefOpbouwTotaalLoonkosten6*L20</f>
        <v>0</v>
      </c>
      <c r="N20" s="25"/>
      <c r="O20" s="26">
        <f>TariefOpbouwTotaalLoonkosten7*N20</f>
        <v>0</v>
      </c>
      <c r="P20" s="25"/>
      <c r="Q20" s="27">
        <f>TariefOpbouwTotaalLoonkosten8*P20</f>
        <v>0</v>
      </c>
    </row>
    <row r="21" spans="1:17" x14ac:dyDescent="0.2">
      <c r="A21" s="20" t="s">
        <v>53</v>
      </c>
      <c r="B21" s="25"/>
      <c r="C21" s="26">
        <f>TariefOpbouwTotaalLoonkosten1*B21</f>
        <v>0</v>
      </c>
      <c r="D21" s="25"/>
      <c r="E21" s="26">
        <f>TariefOpbouwTotaalLoonkosten2*D21</f>
        <v>0</v>
      </c>
      <c r="F21" s="25"/>
      <c r="G21" s="26">
        <f>TariefOpbouwTotaalLoonkosten3*F21</f>
        <v>0</v>
      </c>
      <c r="H21" s="25"/>
      <c r="I21" s="26">
        <f>TariefOpbouwTotaalLoonkosten4*H21</f>
        <v>0</v>
      </c>
      <c r="J21" s="25"/>
      <c r="K21" s="26">
        <f>TariefOpbouwTotaalLoonkosten5*J21</f>
        <v>0</v>
      </c>
      <c r="L21" s="25"/>
      <c r="M21" s="26">
        <f>TariefOpbouwTotaalLoonkosten6*L21</f>
        <v>0</v>
      </c>
      <c r="N21" s="25"/>
      <c r="O21" s="26">
        <f>TariefOpbouwTotaalLoonkosten7*N21</f>
        <v>0</v>
      </c>
      <c r="P21" s="25"/>
      <c r="Q21" s="27">
        <f>TariefOpbouwTotaalLoonkosten8*P21</f>
        <v>0</v>
      </c>
    </row>
    <row r="22" spans="1:17" x14ac:dyDescent="0.2">
      <c r="A22" s="20" t="s">
        <v>54</v>
      </c>
      <c r="B22" s="25"/>
      <c r="C22" s="26">
        <f>TariefOpbouwTotaalLoonkosten1*B22</f>
        <v>0</v>
      </c>
      <c r="D22" s="25"/>
      <c r="E22" s="26">
        <f>TariefOpbouwTotaalLoonkosten2*D22</f>
        <v>0</v>
      </c>
      <c r="F22" s="25"/>
      <c r="G22" s="26">
        <f>TariefOpbouwTotaalLoonkosten3*F22</f>
        <v>0</v>
      </c>
      <c r="H22" s="25"/>
      <c r="I22" s="26">
        <f>TariefOpbouwTotaalLoonkosten4*H22</f>
        <v>0</v>
      </c>
      <c r="J22" s="25"/>
      <c r="K22" s="26">
        <f>TariefOpbouwTotaalLoonkosten5*J22</f>
        <v>0</v>
      </c>
      <c r="L22" s="25"/>
      <c r="M22" s="26">
        <f>TariefOpbouwTotaalLoonkosten6*L22</f>
        <v>0</v>
      </c>
      <c r="N22" s="25"/>
      <c r="O22" s="26">
        <f>TariefOpbouwTotaalLoonkosten7*N22</f>
        <v>0</v>
      </c>
      <c r="P22" s="25"/>
      <c r="Q22" s="27">
        <f>TariefOpbouwTotaalLoonkosten8*P22</f>
        <v>0</v>
      </c>
    </row>
    <row r="23" spans="1:17" x14ac:dyDescent="0.2">
      <c r="A23" s="20" t="s">
        <v>55</v>
      </c>
      <c r="B23" s="25"/>
      <c r="C23" s="26">
        <f>TariefOpbouwTotaalLoonkosten1*B23</f>
        <v>0</v>
      </c>
      <c r="D23" s="25"/>
      <c r="E23" s="26">
        <f>TariefOpbouwTotaalLoonkosten2*D23</f>
        <v>0</v>
      </c>
      <c r="F23" s="25"/>
      <c r="G23" s="26">
        <f>TariefOpbouwTotaalLoonkosten3*F23</f>
        <v>0</v>
      </c>
      <c r="H23" s="25"/>
      <c r="I23" s="26">
        <f>TariefOpbouwTotaalLoonkosten4*H23</f>
        <v>0</v>
      </c>
      <c r="J23" s="25"/>
      <c r="K23" s="26">
        <f>TariefOpbouwTotaalLoonkosten5*J23</f>
        <v>0</v>
      </c>
      <c r="L23" s="25"/>
      <c r="M23" s="26">
        <f>TariefOpbouwTotaalLoonkosten6*L23</f>
        <v>0</v>
      </c>
      <c r="N23" s="25"/>
      <c r="O23" s="26">
        <f>TariefOpbouwTotaalLoonkosten7*N23</f>
        <v>0</v>
      </c>
      <c r="P23" s="25"/>
      <c r="Q23" s="27">
        <f>TariefOpbouwTotaalLoonkosten8*P23</f>
        <v>0</v>
      </c>
    </row>
    <row r="24" spans="1:17" x14ac:dyDescent="0.2">
      <c r="A24" s="20" t="s">
        <v>56</v>
      </c>
      <c r="B24" s="25"/>
      <c r="C24" s="26">
        <f>TariefOpbouwTotaalLoonkosten1*B24</f>
        <v>0</v>
      </c>
      <c r="D24" s="25"/>
      <c r="E24" s="26">
        <f>TariefOpbouwTotaalLoonkosten2*D24</f>
        <v>0</v>
      </c>
      <c r="F24" s="25"/>
      <c r="G24" s="26">
        <f>TariefOpbouwTotaalLoonkosten3*F24</f>
        <v>0</v>
      </c>
      <c r="H24" s="25"/>
      <c r="I24" s="26">
        <f>TariefOpbouwTotaalLoonkosten4*H24</f>
        <v>0</v>
      </c>
      <c r="J24" s="25"/>
      <c r="K24" s="26">
        <f>TariefOpbouwTotaalLoonkosten5*J24</f>
        <v>0</v>
      </c>
      <c r="L24" s="25"/>
      <c r="M24" s="26">
        <f>TariefOpbouwTotaalLoonkosten6*L24</f>
        <v>0</v>
      </c>
      <c r="N24" s="25"/>
      <c r="O24" s="26">
        <f>TariefOpbouwTotaalLoonkosten7*N24</f>
        <v>0</v>
      </c>
      <c r="P24" s="25"/>
      <c r="Q24" s="27">
        <f>TariefOpbouwTotaalLoonkosten8*P24</f>
        <v>0</v>
      </c>
    </row>
    <row r="25" spans="1:17" x14ac:dyDescent="0.2">
      <c r="A25" s="20" t="s">
        <v>57</v>
      </c>
      <c r="B25" s="25"/>
      <c r="C25" s="26">
        <f>TariefOpbouwTotaalLoonkosten1*B25</f>
        <v>0</v>
      </c>
      <c r="D25" s="25"/>
      <c r="E25" s="26">
        <f>TariefOpbouwTotaalLoonkosten2*D25</f>
        <v>0</v>
      </c>
      <c r="F25" s="25"/>
      <c r="G25" s="26">
        <f>TariefOpbouwTotaalLoonkosten3*F25</f>
        <v>0</v>
      </c>
      <c r="H25" s="25"/>
      <c r="I25" s="26">
        <f>TariefOpbouwTotaalLoonkosten4*H25</f>
        <v>0</v>
      </c>
      <c r="J25" s="25"/>
      <c r="K25" s="26">
        <f>TariefOpbouwTotaalLoonkosten5*J25</f>
        <v>0</v>
      </c>
      <c r="L25" s="25"/>
      <c r="M25" s="26">
        <f>TariefOpbouwTotaalLoonkosten6*L25</f>
        <v>0</v>
      </c>
      <c r="N25" s="25"/>
      <c r="O25" s="26">
        <f>TariefOpbouwTotaalLoonkosten7*N25</f>
        <v>0</v>
      </c>
      <c r="P25" s="25"/>
      <c r="Q25" s="27">
        <f>TariefOpbouwTotaalLoonkosten8*P25</f>
        <v>0</v>
      </c>
    </row>
    <row r="26" spans="1:17" x14ac:dyDescent="0.2">
      <c r="A26" s="11" t="s">
        <v>58</v>
      </c>
      <c r="B26" s="23">
        <f>SUM(TariefOpbouwTotaalLoonkosten1,C20:C25)</f>
        <v>0</v>
      </c>
      <c r="C26" s="23"/>
      <c r="D26" s="23">
        <f>SUM(TariefOpbouwTotaalLoonkosten2,E20:E25)</f>
        <v>0</v>
      </c>
      <c r="E26" s="23"/>
      <c r="F26" s="23">
        <f>SUM(TariefOpbouwTotaalLoonkosten3,G20:G25)</f>
        <v>0</v>
      </c>
      <c r="G26" s="23"/>
      <c r="H26" s="23">
        <f>SUM(TariefOpbouwTotaalLoonkosten4,I20:I25)</f>
        <v>0</v>
      </c>
      <c r="I26" s="23"/>
      <c r="J26" s="23">
        <f>SUM(TariefOpbouwTotaalLoonkosten5,K20:K25)</f>
        <v>0</v>
      </c>
      <c r="K26" s="23"/>
      <c r="L26" s="23">
        <f>SUM(TariefOpbouwTotaalLoonkosten6,M20:M25)</f>
        <v>0</v>
      </c>
      <c r="M26" s="23"/>
      <c r="N26" s="23">
        <f>SUM(TariefOpbouwTotaalLoonkosten7,O20:O25)</f>
        <v>0</v>
      </c>
      <c r="O26" s="23"/>
      <c r="P26" s="23">
        <f>SUM(TariefOpbouwTotaalLoonkosten8,Q20:Q25)</f>
        <v>0</v>
      </c>
      <c r="Q26" s="24"/>
    </row>
    <row r="27" spans="1:17" x14ac:dyDescent="0.2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30"/>
    </row>
    <row r="28" spans="1:17" x14ac:dyDescent="0.2">
      <c r="A28" s="20" t="s">
        <v>59</v>
      </c>
      <c r="B28" s="25"/>
      <c r="C28" s="26">
        <f>TariefOpbouwDirecteKosten1*B28</f>
        <v>0</v>
      </c>
      <c r="D28" s="25"/>
      <c r="E28" s="26">
        <f>TariefOpbouwDirecteKosten2*D28</f>
        <v>0</v>
      </c>
      <c r="F28" s="25"/>
      <c r="G28" s="26">
        <f>TariefOpbouwDirecteKosten3*F28</f>
        <v>0</v>
      </c>
      <c r="H28" s="25"/>
      <c r="I28" s="26">
        <f>TariefOpbouwDirecteKosten4*H28</f>
        <v>0</v>
      </c>
      <c r="J28" s="25"/>
      <c r="K28" s="26">
        <f>TariefOpbouwDirecteKosten5*J28</f>
        <v>0</v>
      </c>
      <c r="L28" s="25"/>
      <c r="M28" s="26">
        <f>TariefOpbouwDirecteKosten6*L28</f>
        <v>0</v>
      </c>
      <c r="N28" s="25"/>
      <c r="O28" s="26">
        <f>TariefOpbouwDirecteKosten7*N28</f>
        <v>0</v>
      </c>
      <c r="P28" s="25"/>
      <c r="Q28" s="27">
        <f>TariefOpbouwDirecteKosten8*P28</f>
        <v>0</v>
      </c>
    </row>
    <row r="29" spans="1:17" x14ac:dyDescent="0.2">
      <c r="A29" s="20" t="s">
        <v>60</v>
      </c>
      <c r="B29" s="25"/>
      <c r="C29" s="26">
        <f>TariefOpbouwDirecteKosten1*B29</f>
        <v>0</v>
      </c>
      <c r="D29" s="25"/>
      <c r="E29" s="26">
        <f>TariefOpbouwDirecteKosten2*D29</f>
        <v>0</v>
      </c>
      <c r="F29" s="25"/>
      <c r="G29" s="26">
        <f>TariefOpbouwDirecteKosten3*F29</f>
        <v>0</v>
      </c>
      <c r="H29" s="25"/>
      <c r="I29" s="26">
        <f>TariefOpbouwDirecteKosten4*H29</f>
        <v>0</v>
      </c>
      <c r="J29" s="25"/>
      <c r="K29" s="26">
        <f>TariefOpbouwDirecteKosten5*J29</f>
        <v>0</v>
      </c>
      <c r="L29" s="25"/>
      <c r="M29" s="26">
        <f>TariefOpbouwDirecteKosten6*L29</f>
        <v>0</v>
      </c>
      <c r="N29" s="25"/>
      <c r="O29" s="26">
        <f>TariefOpbouwDirecteKosten7*N29</f>
        <v>0</v>
      </c>
      <c r="P29" s="25"/>
      <c r="Q29" s="27">
        <f>TariefOpbouwDirecteKosten8*P29</f>
        <v>0</v>
      </c>
    </row>
    <row r="30" spans="1:17" x14ac:dyDescent="0.2">
      <c r="A30" s="20" t="s">
        <v>61</v>
      </c>
      <c r="B30" s="25"/>
      <c r="C30" s="26">
        <f>TariefOpbouwDirecteKosten1*B30</f>
        <v>0</v>
      </c>
      <c r="D30" s="25"/>
      <c r="E30" s="26">
        <f>TariefOpbouwDirecteKosten2*D30</f>
        <v>0</v>
      </c>
      <c r="F30" s="25"/>
      <c r="G30" s="26">
        <f>TariefOpbouwDirecteKosten3*F30</f>
        <v>0</v>
      </c>
      <c r="H30" s="25"/>
      <c r="I30" s="26">
        <f>TariefOpbouwDirecteKosten4*H30</f>
        <v>0</v>
      </c>
      <c r="J30" s="25"/>
      <c r="K30" s="26">
        <f>TariefOpbouwDirecteKosten5*J30</f>
        <v>0</v>
      </c>
      <c r="L30" s="25"/>
      <c r="M30" s="26">
        <f>TariefOpbouwDirecteKosten6*L30</f>
        <v>0</v>
      </c>
      <c r="N30" s="25"/>
      <c r="O30" s="26">
        <f>TariefOpbouwDirecteKosten7*N30</f>
        <v>0</v>
      </c>
      <c r="P30" s="25"/>
      <c r="Q30" s="27">
        <f>TariefOpbouwDirecteKosten8*P30</f>
        <v>0</v>
      </c>
    </row>
    <row r="31" spans="1:17" x14ac:dyDescent="0.2">
      <c r="A31" s="20" t="s">
        <v>62</v>
      </c>
      <c r="B31" s="25"/>
      <c r="C31" s="26">
        <f>TariefOpbouwDirecteKosten1*B31</f>
        <v>0</v>
      </c>
      <c r="D31" s="25"/>
      <c r="E31" s="26">
        <f>TariefOpbouwDirecteKosten2*D31</f>
        <v>0</v>
      </c>
      <c r="F31" s="25"/>
      <c r="G31" s="26">
        <f>TariefOpbouwDirecteKosten3*F31</f>
        <v>0</v>
      </c>
      <c r="H31" s="25"/>
      <c r="I31" s="26">
        <f>TariefOpbouwDirecteKosten4*H31</f>
        <v>0</v>
      </c>
      <c r="J31" s="25"/>
      <c r="K31" s="26">
        <f>TariefOpbouwDirecteKosten5*J31</f>
        <v>0</v>
      </c>
      <c r="L31" s="25"/>
      <c r="M31" s="26">
        <f>TariefOpbouwDirecteKosten6*L31</f>
        <v>0</v>
      </c>
      <c r="N31" s="25"/>
      <c r="O31" s="26">
        <f>TariefOpbouwDirecteKosten7*N31</f>
        <v>0</v>
      </c>
      <c r="P31" s="25"/>
      <c r="Q31" s="27">
        <f>TariefOpbouwDirecteKosten8*P31</f>
        <v>0</v>
      </c>
    </row>
    <row r="32" spans="1:17" x14ac:dyDescent="0.2">
      <c r="A32" s="20" t="s">
        <v>63</v>
      </c>
      <c r="B32" s="25"/>
      <c r="C32" s="26">
        <f>TariefOpbouwDirecteKosten1*B32</f>
        <v>0</v>
      </c>
      <c r="D32" s="25"/>
      <c r="E32" s="26">
        <f>TariefOpbouwDirecteKosten2*D32</f>
        <v>0</v>
      </c>
      <c r="F32" s="25"/>
      <c r="G32" s="26">
        <f>TariefOpbouwDirecteKosten3*F32</f>
        <v>0</v>
      </c>
      <c r="H32" s="25"/>
      <c r="I32" s="26">
        <f>TariefOpbouwDirecteKosten4*H32</f>
        <v>0</v>
      </c>
      <c r="J32" s="25"/>
      <c r="K32" s="26">
        <f>TariefOpbouwDirecteKosten5*J32</f>
        <v>0</v>
      </c>
      <c r="L32" s="25"/>
      <c r="M32" s="26">
        <f>TariefOpbouwDirecteKosten6*L32</f>
        <v>0</v>
      </c>
      <c r="N32" s="25"/>
      <c r="O32" s="26">
        <f>TariefOpbouwDirecteKosten7*N32</f>
        <v>0</v>
      </c>
      <c r="P32" s="25"/>
      <c r="Q32" s="27">
        <f>TariefOpbouwDirecteKosten8*P32</f>
        <v>0</v>
      </c>
    </row>
    <row r="33" spans="1:17" x14ac:dyDescent="0.2">
      <c r="A33" s="20" t="s">
        <v>64</v>
      </c>
      <c r="B33" s="25"/>
      <c r="C33" s="26">
        <f>TariefOpbouwDirecteKosten1*B33</f>
        <v>0</v>
      </c>
      <c r="D33" s="25"/>
      <c r="E33" s="26">
        <f>TariefOpbouwDirecteKosten2*D33</f>
        <v>0</v>
      </c>
      <c r="F33" s="25"/>
      <c r="G33" s="26">
        <f>TariefOpbouwDirecteKosten3*F33</f>
        <v>0</v>
      </c>
      <c r="H33" s="25"/>
      <c r="I33" s="26">
        <f>TariefOpbouwDirecteKosten4*H33</f>
        <v>0</v>
      </c>
      <c r="J33" s="25"/>
      <c r="K33" s="26">
        <f>TariefOpbouwDirecteKosten5*J33</f>
        <v>0</v>
      </c>
      <c r="L33" s="25"/>
      <c r="M33" s="26">
        <f>TariefOpbouwDirecteKosten6*L33</f>
        <v>0</v>
      </c>
      <c r="N33" s="25"/>
      <c r="O33" s="26">
        <f>TariefOpbouwDirecteKosten7*N33</f>
        <v>0</v>
      </c>
      <c r="P33" s="25"/>
      <c r="Q33" s="27">
        <f>TariefOpbouwDirecteKosten8*P33</f>
        <v>0</v>
      </c>
    </row>
    <row r="34" spans="1:17" x14ac:dyDescent="0.2">
      <c r="A34" s="20" t="s">
        <v>65</v>
      </c>
      <c r="B34" s="25"/>
      <c r="C34" s="26">
        <f>TariefOpbouwDirecteKosten1*B34</f>
        <v>0</v>
      </c>
      <c r="D34" s="25"/>
      <c r="E34" s="26">
        <f>TariefOpbouwDirecteKosten2*D34</f>
        <v>0</v>
      </c>
      <c r="F34" s="25"/>
      <c r="G34" s="26">
        <f>TariefOpbouwDirecteKosten3*F34</f>
        <v>0</v>
      </c>
      <c r="H34" s="25"/>
      <c r="I34" s="26">
        <f>TariefOpbouwDirecteKosten4*H34</f>
        <v>0</v>
      </c>
      <c r="J34" s="25"/>
      <c r="K34" s="26">
        <f>TariefOpbouwDirecteKosten5*J34</f>
        <v>0</v>
      </c>
      <c r="L34" s="25"/>
      <c r="M34" s="26">
        <f>TariefOpbouwDirecteKosten6*L34</f>
        <v>0</v>
      </c>
      <c r="N34" s="25"/>
      <c r="O34" s="26">
        <f>TariefOpbouwDirecteKosten7*N34</f>
        <v>0</v>
      </c>
      <c r="P34" s="25"/>
      <c r="Q34" s="27">
        <f>TariefOpbouwDirecteKosten8*P34</f>
        <v>0</v>
      </c>
    </row>
    <row r="35" spans="1:17" x14ac:dyDescent="0.2">
      <c r="A35" s="11" t="s">
        <v>66</v>
      </c>
      <c r="B35" s="23">
        <f>SUM(C28:C34)</f>
        <v>0</v>
      </c>
      <c r="C35" s="23"/>
      <c r="D35" s="23">
        <f>SUM(E28:E34)</f>
        <v>0</v>
      </c>
      <c r="E35" s="23"/>
      <c r="F35" s="23">
        <f>SUM(G28:G34)</f>
        <v>0</v>
      </c>
      <c r="G35" s="23"/>
      <c r="H35" s="23">
        <f>SUM(I28:I34)</f>
        <v>0</v>
      </c>
      <c r="I35" s="23"/>
      <c r="J35" s="23">
        <f>SUM(K28:K34)</f>
        <v>0</v>
      </c>
      <c r="K35" s="23"/>
      <c r="L35" s="23">
        <f>SUM(M28:M34)</f>
        <v>0</v>
      </c>
      <c r="M35" s="23"/>
      <c r="N35" s="23">
        <f>SUM(O28:O34)</f>
        <v>0</v>
      </c>
      <c r="O35" s="23"/>
      <c r="P35" s="23">
        <f>SUM(Q28:Q34)</f>
        <v>0</v>
      </c>
      <c r="Q35" s="24"/>
    </row>
    <row r="36" spans="1:17" x14ac:dyDescent="0.2">
      <c r="A36" s="28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30"/>
    </row>
    <row r="37" spans="1:17" x14ac:dyDescent="0.2">
      <c r="A37" s="11" t="s">
        <v>67</v>
      </c>
      <c r="B37" s="25"/>
      <c r="C37" s="26">
        <f>(TariefOpbouwDirecteKosten1+TariefOpbouwIndirecteKosten1)*B37</f>
        <v>0</v>
      </c>
      <c r="D37" s="25"/>
      <c r="E37" s="26">
        <f>(TariefOpbouwDirecteKosten2+TariefOpbouwIndirecteKosten2)*D37</f>
        <v>0</v>
      </c>
      <c r="F37" s="25"/>
      <c r="G37" s="26">
        <f>(TariefOpbouwDirecteKosten3+TariefOpbouwIndirecteKosten3)*F37</f>
        <v>0</v>
      </c>
      <c r="H37" s="25"/>
      <c r="I37" s="26">
        <f>(TariefOpbouwDirecteKosten4+TariefOpbouwIndirecteKosten4)*H37</f>
        <v>0</v>
      </c>
      <c r="J37" s="25"/>
      <c r="K37" s="26">
        <f>(TariefOpbouwDirecteKosten5+TariefOpbouwIndirecteKosten5)*J37</f>
        <v>0</v>
      </c>
      <c r="L37" s="25"/>
      <c r="M37" s="26">
        <f>(TariefOpbouwDirecteKosten6+TariefOpbouwIndirecteKosten6)*L37</f>
        <v>0</v>
      </c>
      <c r="N37" s="25"/>
      <c r="O37" s="26">
        <f>(TariefOpbouwDirecteKosten7+TariefOpbouwIndirecteKosten7)*N37</f>
        <v>0</v>
      </c>
      <c r="P37" s="25"/>
      <c r="Q37" s="27">
        <f>(TariefOpbouwDirecteKosten8+TariefOpbouwIndirecteKosten8)*P37</f>
        <v>0</v>
      </c>
    </row>
    <row r="38" spans="1:17" x14ac:dyDescent="0.2">
      <c r="A38" s="28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30"/>
    </row>
    <row r="39" spans="1:17" x14ac:dyDescent="0.2">
      <c r="A39" s="11" t="s">
        <v>68</v>
      </c>
      <c r="B39" s="23">
        <f>TariefOpbouwDirecteKosten1+TariefOpbouwIndirecteKosten1+TariefOpbouwRisicoWinst1</f>
        <v>0</v>
      </c>
      <c r="C39" s="23"/>
      <c r="D39" s="23">
        <f>TariefOpbouwDirecteKosten2+TariefOpbouwIndirecteKosten2+TariefOpbouwRisicoWinst2</f>
        <v>0</v>
      </c>
      <c r="E39" s="23"/>
      <c r="F39" s="23">
        <f>TariefOpbouwDirecteKosten3+TariefOpbouwIndirecteKosten3+TariefOpbouwRisicoWinst3</f>
        <v>0</v>
      </c>
      <c r="G39" s="23"/>
      <c r="H39" s="23">
        <f>TariefOpbouwDirecteKosten4+TariefOpbouwIndirecteKosten4+TariefOpbouwRisicoWinst4</f>
        <v>0</v>
      </c>
      <c r="I39" s="23"/>
      <c r="J39" s="23">
        <f>TariefOpbouwDirecteKosten5+TariefOpbouwIndirecteKosten5+TariefOpbouwRisicoWinst5</f>
        <v>0</v>
      </c>
      <c r="K39" s="23"/>
      <c r="L39" s="23">
        <f>TariefOpbouwDirecteKosten6+TariefOpbouwIndirecteKosten6+TariefOpbouwRisicoWinst6</f>
        <v>0</v>
      </c>
      <c r="M39" s="23"/>
      <c r="N39" s="23">
        <f>TariefOpbouwDirecteKosten7+TariefOpbouwIndirecteKosten7+TariefOpbouwRisicoWinst7</f>
        <v>0</v>
      </c>
      <c r="O39" s="23"/>
      <c r="P39" s="23">
        <f>TariefOpbouwDirecteKosten8+TariefOpbouwIndirecteKosten8+TariefOpbouwRisicoWinst8</f>
        <v>0</v>
      </c>
      <c r="Q39" s="24"/>
    </row>
    <row r="40" spans="1:17" x14ac:dyDescent="0.2">
      <c r="A40" s="11" t="s">
        <v>69</v>
      </c>
      <c r="B40" s="31" t="s">
        <v>70</v>
      </c>
      <c r="C40" s="31" t="s">
        <v>71</v>
      </c>
      <c r="D40" s="31" t="s">
        <v>70</v>
      </c>
      <c r="E40" s="31" t="s">
        <v>71</v>
      </c>
      <c r="F40" s="31" t="s">
        <v>70</v>
      </c>
      <c r="G40" s="31" t="s">
        <v>71</v>
      </c>
      <c r="H40" s="31" t="s">
        <v>70</v>
      </c>
      <c r="I40" s="31" t="s">
        <v>71</v>
      </c>
      <c r="J40" s="31" t="s">
        <v>70</v>
      </c>
      <c r="K40" s="31" t="s">
        <v>71</v>
      </c>
      <c r="L40" s="31" t="s">
        <v>70</v>
      </c>
      <c r="M40" s="31" t="s">
        <v>71</v>
      </c>
      <c r="N40" s="31" t="s">
        <v>70</v>
      </c>
      <c r="O40" s="31" t="s">
        <v>71</v>
      </c>
      <c r="P40" s="31" t="s">
        <v>70</v>
      </c>
      <c r="Q40" s="32" t="s">
        <v>71</v>
      </c>
    </row>
    <row r="41" spans="1:17" x14ac:dyDescent="0.2">
      <c r="A41" s="11" t="s">
        <v>72</v>
      </c>
      <c r="B41" s="33">
        <v>0.3</v>
      </c>
      <c r="C41" s="26">
        <f>((1+B41)*TariefOpbouwTotaalLoonkosten1+TariefOpbouwDirecteKosten1-TariefOpbouwTotaalLoonkosten1+TariefOpbouwIndirecteKosten1)*(1+TariefOpbouwRisicoWinstPercentage1)</f>
        <v>0</v>
      </c>
      <c r="D41" s="33">
        <v>0.3</v>
      </c>
      <c r="E41" s="26">
        <f>((1+D41)*TariefOpbouwTotaalLoonkosten2+TariefOpbouwDirecteKosten2-TariefOpbouwTotaalLoonkosten2+TariefOpbouwIndirecteKosten2)*(1+TariefOpbouwRisicoWinstPercentage2)</f>
        <v>0</v>
      </c>
      <c r="F41" s="33">
        <v>0.3</v>
      </c>
      <c r="G41" s="26">
        <f>((1+F41)*TariefOpbouwTotaalLoonkosten3+TariefOpbouwDirecteKosten3-TariefOpbouwTotaalLoonkosten3+TariefOpbouwIndirecteKosten3)*(1+TariefOpbouwRisicoWinstPercentage3)</f>
        <v>0</v>
      </c>
      <c r="H41" s="33">
        <v>0.3</v>
      </c>
      <c r="I41" s="26">
        <f>((1+H41)*TariefOpbouwTotaalLoonkosten4+TariefOpbouwDirecteKosten4-TariefOpbouwTotaalLoonkosten4+TariefOpbouwIndirecteKosten4)*(1+TariefOpbouwRisicoWinstPercentage4)</f>
        <v>0</v>
      </c>
      <c r="J41" s="33">
        <v>0.3</v>
      </c>
      <c r="K41" s="26">
        <f>((1+J41)*TariefOpbouwTotaalLoonkosten5+TariefOpbouwDirecteKosten5-TariefOpbouwTotaalLoonkosten5+TariefOpbouwIndirecteKosten5)*(1+TariefOpbouwRisicoWinstPercentage5)</f>
        <v>0</v>
      </c>
      <c r="L41" s="33">
        <v>0.3</v>
      </c>
      <c r="M41" s="26">
        <f>((1+L41)*TariefOpbouwTotaalLoonkosten6+TariefOpbouwDirecteKosten6-TariefOpbouwTotaalLoonkosten6+TariefOpbouwIndirecteKosten6)*(1+TariefOpbouwRisicoWinstPercentage6)</f>
        <v>0</v>
      </c>
      <c r="N41" s="33">
        <v>0.3</v>
      </c>
      <c r="O41" s="26">
        <f>((1+N41)*TariefOpbouwTotaalLoonkosten7+TariefOpbouwDirecteKosten7-TariefOpbouwTotaalLoonkosten7+TariefOpbouwIndirecteKosten7)*(1+TariefOpbouwRisicoWinstPercentage7)</f>
        <v>0</v>
      </c>
      <c r="P41" s="33">
        <v>0.3</v>
      </c>
      <c r="Q41" s="27">
        <f>((1+P41)*TariefOpbouwTotaalLoonkosten8+TariefOpbouwDirecteKosten8-TariefOpbouwTotaalLoonkosten8+TariefOpbouwIndirecteKosten8)*(1+TariefOpbouwRisicoWinstPercentage8)</f>
        <v>0</v>
      </c>
    </row>
    <row r="42" spans="1:17" x14ac:dyDescent="0.2">
      <c r="A42" s="11" t="s">
        <v>73</v>
      </c>
      <c r="B42" s="33">
        <v>0.5</v>
      </c>
      <c r="C42" s="26">
        <f>((1+B42)*TariefOpbouwTotaalLoonkosten1+TariefOpbouwDirecteKosten1-TariefOpbouwTotaalLoonkosten1+TariefOpbouwIndirecteKosten1)*(1+TariefOpbouwRisicoWinstPercentage1)</f>
        <v>0</v>
      </c>
      <c r="D42" s="33">
        <v>0.5</v>
      </c>
      <c r="E42" s="26">
        <f>((1+D42)*TariefOpbouwTotaalLoonkosten2+TariefOpbouwDirecteKosten2-TariefOpbouwTotaalLoonkosten2+TariefOpbouwIndirecteKosten2)*(1+TariefOpbouwRisicoWinstPercentage2)</f>
        <v>0</v>
      </c>
      <c r="F42" s="33">
        <v>0.5</v>
      </c>
      <c r="G42" s="26">
        <f>((1+F42)*TariefOpbouwTotaalLoonkosten3+TariefOpbouwDirecteKosten3-TariefOpbouwTotaalLoonkosten3+TariefOpbouwIndirecteKosten3)*(1+TariefOpbouwRisicoWinstPercentage3)</f>
        <v>0</v>
      </c>
      <c r="H42" s="33">
        <v>0.5</v>
      </c>
      <c r="I42" s="26">
        <f>((1+H42)*TariefOpbouwTotaalLoonkosten4+TariefOpbouwDirecteKosten4-TariefOpbouwTotaalLoonkosten4+TariefOpbouwIndirecteKosten4)*(1+TariefOpbouwRisicoWinstPercentage4)</f>
        <v>0</v>
      </c>
      <c r="J42" s="33">
        <v>0.5</v>
      </c>
      <c r="K42" s="26">
        <f>((1+J42)*TariefOpbouwTotaalLoonkosten5+TariefOpbouwDirecteKosten5-TariefOpbouwTotaalLoonkosten5+TariefOpbouwIndirecteKosten5)*(1+TariefOpbouwRisicoWinstPercentage5)</f>
        <v>0</v>
      </c>
      <c r="L42" s="33">
        <v>0.5</v>
      </c>
      <c r="M42" s="26">
        <f>((1+L42)*TariefOpbouwTotaalLoonkosten6+TariefOpbouwDirecteKosten6-TariefOpbouwTotaalLoonkosten6+TariefOpbouwIndirecteKosten6)*(1+TariefOpbouwRisicoWinstPercentage6)</f>
        <v>0</v>
      </c>
      <c r="N42" s="33">
        <v>0.5</v>
      </c>
      <c r="O42" s="26">
        <f>((1+N42)*TariefOpbouwTotaalLoonkosten7+TariefOpbouwDirecteKosten7-TariefOpbouwTotaalLoonkosten7+TariefOpbouwIndirecteKosten7)*(1+TariefOpbouwRisicoWinstPercentage7)</f>
        <v>0</v>
      </c>
      <c r="P42" s="33">
        <v>0.5</v>
      </c>
      <c r="Q42" s="27">
        <f>((1+P42)*TariefOpbouwTotaalLoonkosten8+TariefOpbouwDirecteKosten8-TariefOpbouwTotaalLoonkosten8+TariefOpbouwIndirecteKosten8)*(1+TariefOpbouwRisicoWinstPercentage8)</f>
        <v>0</v>
      </c>
    </row>
    <row r="43" spans="1:17" x14ac:dyDescent="0.2">
      <c r="A43" s="34" t="s">
        <v>74</v>
      </c>
      <c r="B43" s="35">
        <v>1.5</v>
      </c>
      <c r="C43" s="36">
        <f>((1+B43)*TariefOpbouwTotaalLoonkosten1+TariefOpbouwDirecteKosten1-TariefOpbouwTotaalLoonkosten1+TariefOpbouwIndirecteKosten1)*(1+TariefOpbouwRisicoWinstPercentage1)</f>
        <v>0</v>
      </c>
      <c r="D43" s="35">
        <v>1.5</v>
      </c>
      <c r="E43" s="36">
        <f>((1+D43)*TariefOpbouwTotaalLoonkosten2+TariefOpbouwDirecteKosten2-TariefOpbouwTotaalLoonkosten2+TariefOpbouwIndirecteKosten2)*(1+TariefOpbouwRisicoWinstPercentage2)</f>
        <v>0</v>
      </c>
      <c r="F43" s="35">
        <v>1.5</v>
      </c>
      <c r="G43" s="36">
        <f>((1+F43)*TariefOpbouwTotaalLoonkosten3+TariefOpbouwDirecteKosten3-TariefOpbouwTotaalLoonkosten3+TariefOpbouwIndirecteKosten3)*(1+TariefOpbouwRisicoWinstPercentage3)</f>
        <v>0</v>
      </c>
      <c r="H43" s="35">
        <v>1.5</v>
      </c>
      <c r="I43" s="36">
        <f>((1+H43)*TariefOpbouwTotaalLoonkosten4+TariefOpbouwDirecteKosten4-TariefOpbouwTotaalLoonkosten4+TariefOpbouwIndirecteKosten4)*(1+TariefOpbouwRisicoWinstPercentage4)</f>
        <v>0</v>
      </c>
      <c r="J43" s="35">
        <v>1.5</v>
      </c>
      <c r="K43" s="36">
        <f>((1+J43)*TariefOpbouwTotaalLoonkosten5+TariefOpbouwDirecteKosten5-TariefOpbouwTotaalLoonkosten5+TariefOpbouwIndirecteKosten5)*(1+TariefOpbouwRisicoWinstPercentage5)</f>
        <v>0</v>
      </c>
      <c r="L43" s="35">
        <v>1.5</v>
      </c>
      <c r="M43" s="36">
        <f>((1+L43)*TariefOpbouwTotaalLoonkosten6+TariefOpbouwDirecteKosten6-TariefOpbouwTotaalLoonkosten6+TariefOpbouwIndirecteKosten6)*(1+TariefOpbouwRisicoWinstPercentage6)</f>
        <v>0</v>
      </c>
      <c r="N43" s="35">
        <v>1.5</v>
      </c>
      <c r="O43" s="36">
        <f>((1+N43)*TariefOpbouwTotaalLoonkosten7+TariefOpbouwDirecteKosten7-TariefOpbouwTotaalLoonkosten7+TariefOpbouwIndirecteKosten7)*(1+TariefOpbouwRisicoWinstPercentage7)</f>
        <v>0</v>
      </c>
      <c r="P43" s="35">
        <v>1.5</v>
      </c>
      <c r="Q43" s="37">
        <f>((1+P43)*TariefOpbouwTotaalLoonkosten8+TariefOpbouwDirecteKosten8-TariefOpbouwTotaalLoonkosten8+TariefOpbouwIndirecteKosten8)*(1+TariefOpbouwRisicoWinstPercentage8)</f>
        <v>0</v>
      </c>
    </row>
    <row r="45" spans="1:17" ht="25.5" customHeight="1" x14ac:dyDescent="0.2">
      <c r="A45" s="8" t="s">
        <v>75</v>
      </c>
      <c r="B45" s="38" t="s">
        <v>76</v>
      </c>
      <c r="C45" s="38"/>
      <c r="D45" s="38" t="s">
        <v>77</v>
      </c>
      <c r="E45" s="38"/>
      <c r="F45" s="38" t="s">
        <v>78</v>
      </c>
      <c r="G45" s="38"/>
      <c r="H45" s="38" t="s">
        <v>79</v>
      </c>
      <c r="I45" s="38"/>
      <c r="J45" s="38" t="s">
        <v>80</v>
      </c>
      <c r="K45" s="39"/>
    </row>
    <row r="46" spans="1:17" x14ac:dyDescent="0.2">
      <c r="A46" s="28"/>
      <c r="B46" s="31" t="s">
        <v>81</v>
      </c>
      <c r="C46" s="31" t="s">
        <v>82</v>
      </c>
      <c r="D46" s="31" t="s">
        <v>81</v>
      </c>
      <c r="E46" s="31" t="s">
        <v>82</v>
      </c>
      <c r="F46" s="31" t="s">
        <v>81</v>
      </c>
      <c r="G46" s="31" t="s">
        <v>82</v>
      </c>
      <c r="H46" s="31" t="s">
        <v>81</v>
      </c>
      <c r="I46" s="31" t="s">
        <v>82</v>
      </c>
      <c r="J46" s="31" t="s">
        <v>81</v>
      </c>
      <c r="K46" s="32" t="s">
        <v>82</v>
      </c>
    </row>
    <row r="47" spans="1:17" x14ac:dyDescent="0.2">
      <c r="A47" s="40" t="str">
        <f>TariefOpbouwNaam1&amp;" "&amp;TariefOpbouwErvaring1</f>
        <v>Vakvolwassene &gt;3 dienstjaren</v>
      </c>
      <c r="B47" s="25"/>
      <c r="C47" s="26">
        <f>TariefOpbouwTarief1</f>
        <v>0</v>
      </c>
      <c r="D47" s="25"/>
      <c r="E47" s="26">
        <f>TariefOpbouwTarief1</f>
        <v>0</v>
      </c>
      <c r="F47" s="25"/>
      <c r="G47" s="26">
        <f>TariefOpbouwTarief1</f>
        <v>0</v>
      </c>
      <c r="H47" s="25"/>
      <c r="I47" s="26">
        <f>TariefOpbouwTarief1W</f>
        <v>0</v>
      </c>
      <c r="J47" s="25"/>
      <c r="K47" s="27">
        <f>TariefOpbouwTarief1X</f>
        <v>0</v>
      </c>
    </row>
    <row r="48" spans="1:17" x14ac:dyDescent="0.2">
      <c r="A48" s="40" t="str">
        <f>TariefOpbouwNaam2&amp;" "&amp;TariefOpbouwErvaring2</f>
        <v xml:space="preserve">Vakvolwassene </v>
      </c>
      <c r="B48" s="25"/>
      <c r="C48" s="26">
        <f>TariefOpbouwTarief2</f>
        <v>0</v>
      </c>
      <c r="D48" s="25"/>
      <c r="E48" s="26">
        <f>TariefOpbouwTarief2</f>
        <v>0</v>
      </c>
      <c r="F48" s="25"/>
      <c r="G48" s="26">
        <f>TariefOpbouwTarief2</f>
        <v>0</v>
      </c>
      <c r="H48" s="25"/>
      <c r="I48" s="26">
        <f>TariefOpbouwTarief2W</f>
        <v>0</v>
      </c>
      <c r="J48" s="25"/>
      <c r="K48" s="27">
        <f>TariefOpbouwTarief2X</f>
        <v>0</v>
      </c>
    </row>
    <row r="49" spans="1:11" x14ac:dyDescent="0.2">
      <c r="A49" s="40" t="str">
        <f>TariefOpbouwNaam3&amp;" "&amp;TariefOpbouwErvaring3</f>
        <v>Leiding (meewerkend) voorman/vrouw</v>
      </c>
      <c r="B49" s="25"/>
      <c r="C49" s="26">
        <f>TariefOpbouwTarief3</f>
        <v>0</v>
      </c>
      <c r="D49" s="25"/>
      <c r="E49" s="26">
        <f>TariefOpbouwTarief3</f>
        <v>0</v>
      </c>
      <c r="F49" s="25"/>
      <c r="G49" s="26">
        <f>TariefOpbouwTarief3</f>
        <v>0</v>
      </c>
      <c r="H49" s="25"/>
      <c r="I49" s="26">
        <f>TariefOpbouwTarief3W</f>
        <v>0</v>
      </c>
      <c r="J49" s="25"/>
      <c r="K49" s="27">
        <f>TariefOpbouwTarief3X</f>
        <v>0</v>
      </c>
    </row>
    <row r="50" spans="1:11" x14ac:dyDescent="0.2">
      <c r="A50" s="11" t="s">
        <v>83</v>
      </c>
      <c r="B50" s="41" t="str">
        <f>IF(SUM(B47:B49)=1,SUM(B47:B49),"ongeldig")</f>
        <v>ongeldig</v>
      </c>
      <c r="C50" s="26">
        <f>SUMPRODUCT(B47:B49,C47:C49)</f>
        <v>0</v>
      </c>
      <c r="D50" s="41" t="str">
        <f>IF(SUM(D47:D49)=1,SUM(D47:D49),"ongeldig")</f>
        <v>ongeldig</v>
      </c>
      <c r="E50" s="26">
        <f>SUMPRODUCT(D47:D49,E47:E49)</f>
        <v>0</v>
      </c>
      <c r="F50" s="41" t="str">
        <f>IF(SUM(F47:F49)=1,SUM(F47:F49),"ongeldig")</f>
        <v>ongeldig</v>
      </c>
      <c r="G50" s="26">
        <f>SUMPRODUCT(F47:F49,G47:G49)</f>
        <v>0</v>
      </c>
      <c r="H50" s="41" t="str">
        <f>IF(SUM(H47:H49)=1,SUM(H47:H49),"ongeldig")</f>
        <v>ongeldig</v>
      </c>
      <c r="I50" s="26">
        <f>SUMPRODUCT(H47:H49,I47:I49)</f>
        <v>0</v>
      </c>
      <c r="J50" s="41" t="str">
        <f>IF(SUM(J47:J49)=1,SUM(J47:J49),"ongeldig")</f>
        <v>ongeldig</v>
      </c>
      <c r="K50" s="27">
        <f>SUMPRODUCT(J47:J49,K47:K49)</f>
        <v>0</v>
      </c>
    </row>
    <row r="51" spans="1:11" x14ac:dyDescent="0.2">
      <c r="A51" s="40" t="str">
        <f>TariefOpbouwNaam4&amp;" "&amp;TariefOpbouwErvaring4</f>
        <v>Leiding (niet-meewerkend) voorman/vrouw</v>
      </c>
      <c r="B51" s="25"/>
      <c r="C51" s="26">
        <f>TariefOpbouwTarief4</f>
        <v>0</v>
      </c>
      <c r="D51" s="25"/>
      <c r="E51" s="26">
        <f>TariefOpbouwTarief4</f>
        <v>0</v>
      </c>
      <c r="F51" s="25"/>
      <c r="G51" s="26">
        <f>TariefOpbouwTarief4</f>
        <v>0</v>
      </c>
      <c r="H51" s="25"/>
      <c r="I51" s="26">
        <f>TariefOpbouwTarief4W</f>
        <v>0</v>
      </c>
      <c r="J51" s="25"/>
      <c r="K51" s="27">
        <f>TariefOpbouwTarief4X</f>
        <v>0</v>
      </c>
    </row>
    <row r="52" spans="1:11" x14ac:dyDescent="0.2">
      <c r="A52" s="40" t="str">
        <f>TariefOpbouwNaam5&amp;" "&amp;TariefOpbouwErvaring5</f>
        <v>Leiding (niet-meewerkend) objectleider</v>
      </c>
      <c r="B52" s="25"/>
      <c r="C52" s="26">
        <f>TariefOpbouwTarief5</f>
        <v>0</v>
      </c>
      <c r="D52" s="25"/>
      <c r="E52" s="26">
        <f>TariefOpbouwTarief5</f>
        <v>0</v>
      </c>
      <c r="F52" s="25"/>
      <c r="G52" s="26">
        <f>TariefOpbouwTarief5</f>
        <v>0</v>
      </c>
      <c r="H52" s="25"/>
      <c r="I52" s="26">
        <f>TariefOpbouwTarief5W</f>
        <v>0</v>
      </c>
      <c r="J52" s="25"/>
      <c r="K52" s="27">
        <f>TariefOpbouwTarief5X</f>
        <v>0</v>
      </c>
    </row>
    <row r="53" spans="1:11" x14ac:dyDescent="0.2">
      <c r="A53" s="34" t="s">
        <v>84</v>
      </c>
      <c r="B53" s="42">
        <f>TariefUitvoering1+IF(SUM(B51:B52)&gt;0,SUMPRODUCT(B51:B52,C51:C52))</f>
        <v>0</v>
      </c>
      <c r="C53" s="42"/>
      <c r="D53" s="42">
        <f>TariefUitvoering4+IF(SUM(D51:D52)&gt;0,SUMPRODUCT(D51:D52,E51:E52))</f>
        <v>0</v>
      </c>
      <c r="E53" s="42"/>
      <c r="F53" s="42">
        <f>TariefUitvoering5+IF(SUM(F51:F52)&gt;0,SUMPRODUCT(F51:F52,G51:G52))</f>
        <v>0</v>
      </c>
      <c r="G53" s="42"/>
      <c r="H53" s="42">
        <f>TariefUitvoering6+IF(SUM(H51:H52)&gt;0,SUMPRODUCT(H51:H52,I51:I52))</f>
        <v>0</v>
      </c>
      <c r="I53" s="42"/>
      <c r="J53" s="42">
        <f>TariefUitvoering7+IF(SUM(J51:J52)&gt;0,SUMPRODUCT(J51:J52,K51:K52))</f>
        <v>0</v>
      </c>
      <c r="K53" s="43"/>
    </row>
    <row r="55" spans="1:11" ht="38.25" customHeight="1" x14ac:dyDescent="0.2">
      <c r="A55" s="8" t="s">
        <v>85</v>
      </c>
      <c r="B55" s="38" t="s">
        <v>86</v>
      </c>
      <c r="C55" s="38"/>
      <c r="D55" s="38" t="s">
        <v>87</v>
      </c>
      <c r="E55" s="39"/>
    </row>
    <row r="56" spans="1:11" x14ac:dyDescent="0.2">
      <c r="A56" s="28"/>
      <c r="B56" s="31" t="s">
        <v>81</v>
      </c>
      <c r="C56" s="31" t="s">
        <v>82</v>
      </c>
      <c r="D56" s="31" t="s">
        <v>81</v>
      </c>
      <c r="E56" s="32" t="s">
        <v>82</v>
      </c>
    </row>
    <row r="57" spans="1:11" x14ac:dyDescent="0.2">
      <c r="A57" s="40" t="str">
        <f>TariefOpbouwNaam6&amp;" "&amp;TariefOpbouwErvaring6</f>
        <v xml:space="preserve">Vakvolwassene regie </v>
      </c>
      <c r="B57" s="25"/>
      <c r="C57" s="26">
        <f>TariefOpbouwTarief6</f>
        <v>0</v>
      </c>
      <c r="D57" s="25"/>
      <c r="E57" s="27">
        <f>TariefOpbouwTarief6</f>
        <v>0</v>
      </c>
    </row>
    <row r="58" spans="1:11" x14ac:dyDescent="0.2">
      <c r="A58" s="40" t="str">
        <f>TariefOpbouwNaam7&amp;" "&amp;TariefOpbouwErvaring7</f>
        <v>Vakvolwassene regie specialist</v>
      </c>
      <c r="B58" s="25"/>
      <c r="C58" s="26">
        <f>TariefOpbouwTarief7</f>
        <v>0</v>
      </c>
      <c r="D58" s="25"/>
      <c r="E58" s="27">
        <f>TariefOpbouwTarief7</f>
        <v>0</v>
      </c>
    </row>
    <row r="59" spans="1:11" x14ac:dyDescent="0.2">
      <c r="A59" s="11" t="s">
        <v>83</v>
      </c>
      <c r="B59" s="41" t="str">
        <f>IF(SUM(B57:B58)=1,SUM(B57:B58),"ongeldig")</f>
        <v>ongeldig</v>
      </c>
      <c r="C59" s="26">
        <f>SUMPRODUCT(B57:B58,C57:C58)</f>
        <v>0</v>
      </c>
      <c r="D59" s="41" t="str">
        <f>IF(SUM(D57:D58)=1,SUM(D57:D58),"ongeldig")</f>
        <v>ongeldig</v>
      </c>
      <c r="E59" s="27">
        <f>SUMPRODUCT(D57:D58,E57:E58)</f>
        <v>0</v>
      </c>
    </row>
    <row r="60" spans="1:11" x14ac:dyDescent="0.2">
      <c r="A60" s="40" t="str">
        <f>TariefOpbouwNaam8&amp;" "&amp;TariefOpbouwErvaring8</f>
        <v xml:space="preserve">Leiding regie </v>
      </c>
      <c r="B60" s="25"/>
      <c r="C60" s="26">
        <f>TariefOpbouwTarief8</f>
        <v>0</v>
      </c>
      <c r="D60" s="25"/>
      <c r="E60" s="27">
        <f>TariefOpbouwTarief8</f>
        <v>0</v>
      </c>
    </row>
    <row r="61" spans="1:11" x14ac:dyDescent="0.2">
      <c r="A61" s="34" t="s">
        <v>88</v>
      </c>
      <c r="B61" s="42">
        <f>TariefUitvoering2+IF(SUM(B60:B60)&gt;0,SUMPRODUCT(B60:B60,C60:C60))</f>
        <v>0</v>
      </c>
      <c r="C61" s="42"/>
      <c r="D61" s="42">
        <f>TariefUitvoering3+IF(SUM(D60:D60)&gt;0,SUMPRODUCT(D60:D60,E60:E60))</f>
        <v>0</v>
      </c>
      <c r="E61" s="43"/>
    </row>
  </sheetData>
  <sheetProtection algorithmName="SHA-512" hashValue="uWlMBrdL5aFsCQUMn+uducXldXu5lEnJwa22A5cpC9ZDpAceGsnELomdq/S1qpNWkqa2U+HUuArfwZkUgjNz4g==" saltValue="ZUBmkbTytIKyY1MYwn7DDA==" spinCount="100000" sheet="1" objects="1" scenarios="1" autoFilter="0"/>
  <mergeCells count="118">
    <mergeCell ref="B61:C61"/>
    <mergeCell ref="D61:E61"/>
    <mergeCell ref="B53:C53"/>
    <mergeCell ref="D53:E53"/>
    <mergeCell ref="F53:G53"/>
    <mergeCell ref="H53:I53"/>
    <mergeCell ref="J53:K53"/>
    <mergeCell ref="B55:C55"/>
    <mergeCell ref="D55:E55"/>
    <mergeCell ref="N39:O39"/>
    <mergeCell ref="P39:Q39"/>
    <mergeCell ref="B45:C45"/>
    <mergeCell ref="D45:E45"/>
    <mergeCell ref="F45:G45"/>
    <mergeCell ref="H45:I45"/>
    <mergeCell ref="J45:K45"/>
    <mergeCell ref="B39:C39"/>
    <mergeCell ref="D39:E39"/>
    <mergeCell ref="F39:G39"/>
    <mergeCell ref="H39:I39"/>
    <mergeCell ref="J39:K39"/>
    <mergeCell ref="L39:M39"/>
    <mergeCell ref="N26:O26"/>
    <mergeCell ref="P26:Q26"/>
    <mergeCell ref="B35:C35"/>
    <mergeCell ref="D35:E35"/>
    <mergeCell ref="F35:G35"/>
    <mergeCell ref="H35:I35"/>
    <mergeCell ref="J35:K35"/>
    <mergeCell ref="L35:M35"/>
    <mergeCell ref="N35:O35"/>
    <mergeCell ref="P35:Q35"/>
    <mergeCell ref="B26:C26"/>
    <mergeCell ref="D26:E26"/>
    <mergeCell ref="F26:G26"/>
    <mergeCell ref="H26:I26"/>
    <mergeCell ref="J26:K26"/>
    <mergeCell ref="L26:M26"/>
    <mergeCell ref="N14:O14"/>
    <mergeCell ref="P14:Q14"/>
    <mergeCell ref="B19:C19"/>
    <mergeCell ref="D19:E19"/>
    <mergeCell ref="F19:G19"/>
    <mergeCell ref="H19:I19"/>
    <mergeCell ref="J19:K19"/>
    <mergeCell ref="L19:M19"/>
    <mergeCell ref="N19:O19"/>
    <mergeCell ref="P19:Q19"/>
    <mergeCell ref="B14:C14"/>
    <mergeCell ref="D14:E14"/>
    <mergeCell ref="F14:G14"/>
    <mergeCell ref="H14:I14"/>
    <mergeCell ref="J14:K14"/>
    <mergeCell ref="L14:M14"/>
    <mergeCell ref="N9:O9"/>
    <mergeCell ref="P9:Q9"/>
    <mergeCell ref="B12:C12"/>
    <mergeCell ref="D12:E12"/>
    <mergeCell ref="F12:G12"/>
    <mergeCell ref="H12:I12"/>
    <mergeCell ref="J12:K12"/>
    <mergeCell ref="L12:M12"/>
    <mergeCell ref="N12:O12"/>
    <mergeCell ref="P12:Q12"/>
    <mergeCell ref="B9:C9"/>
    <mergeCell ref="D9:E9"/>
    <mergeCell ref="F9:G9"/>
    <mergeCell ref="H9:I9"/>
    <mergeCell ref="J9:K9"/>
    <mergeCell ref="L9:M9"/>
    <mergeCell ref="N7:O7"/>
    <mergeCell ref="P7:Q7"/>
    <mergeCell ref="B8:C8"/>
    <mergeCell ref="D8:E8"/>
    <mergeCell ref="F8:G8"/>
    <mergeCell ref="H8:I8"/>
    <mergeCell ref="J8:K8"/>
    <mergeCell ref="L8:M8"/>
    <mergeCell ref="N8:O8"/>
    <mergeCell ref="P8:Q8"/>
    <mergeCell ref="B7:C7"/>
    <mergeCell ref="D7:E7"/>
    <mergeCell ref="F7:G7"/>
    <mergeCell ref="H7:I7"/>
    <mergeCell ref="J7:K7"/>
    <mergeCell ref="L7:M7"/>
    <mergeCell ref="N5:O5"/>
    <mergeCell ref="P5:Q5"/>
    <mergeCell ref="B6:C6"/>
    <mergeCell ref="D6:E6"/>
    <mergeCell ref="F6:G6"/>
    <mergeCell ref="H6:I6"/>
    <mergeCell ref="J6:K6"/>
    <mergeCell ref="L6:M6"/>
    <mergeCell ref="N6:O6"/>
    <mergeCell ref="P6:Q6"/>
    <mergeCell ref="B5:C5"/>
    <mergeCell ref="D5:E5"/>
    <mergeCell ref="F5:G5"/>
    <mergeCell ref="H5:I5"/>
    <mergeCell ref="J5:K5"/>
    <mergeCell ref="L5:M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5" orientation="landscape" horizontalDpi="4294967295" verticalDpi="4294967295" r:id="rId1"/>
  <headerFooter>
    <oddFooter>&amp;LGemeente Montferland EA 2026                                &amp;ROpmaakdatum: 16-09-2026
Intexso - Plantageweg 23E - Leusden
+31 (33) 2778485</oddFooter>
  </headerFooter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82314-DE77-4523-9015-43EA6E47B7F7}">
  <dimension ref="A1:H45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4.625" customWidth="1"/>
    <col min="4" max="4" width="50.625" customWidth="1"/>
    <col min="5" max="6" width="11.625" customWidth="1"/>
    <col min="7" max="7" width="9.625" customWidth="1"/>
    <col min="8" max="8" width="11.625" customWidth="1"/>
  </cols>
  <sheetData>
    <row r="1" spans="1:8" x14ac:dyDescent="0.2">
      <c r="A1" s="1" t="str">
        <f>CONCATENATE("Bijlage D.1: ",tabeltype," categorienormen")</f>
        <v>Bijlage D.1: Invultabel categorienormen</v>
      </c>
    </row>
    <row r="3" spans="1:8" ht="38.25" x14ac:dyDescent="0.2">
      <c r="A3" s="44" t="s">
        <v>89</v>
      </c>
      <c r="B3" s="44" t="s">
        <v>90</v>
      </c>
      <c r="C3" s="44" t="s">
        <v>91</v>
      </c>
      <c r="D3" s="44" t="s">
        <v>92</v>
      </c>
      <c r="E3" s="44" t="s">
        <v>93</v>
      </c>
      <c r="F3" s="44" t="s">
        <v>94</v>
      </c>
      <c r="G3" s="44" t="s">
        <v>95</v>
      </c>
      <c r="H3" s="44" t="s">
        <v>96</v>
      </c>
    </row>
    <row r="4" spans="1:8" x14ac:dyDescent="0.2">
      <c r="A4" s="45"/>
      <c r="B4" s="46"/>
      <c r="C4" s="46"/>
      <c r="D4" s="46"/>
      <c r="E4" s="46"/>
      <c r="F4" s="46"/>
      <c r="G4" s="46"/>
      <c r="H4" s="47"/>
    </row>
    <row r="5" spans="1:8" x14ac:dyDescent="0.2">
      <c r="A5" s="48" t="s">
        <v>97</v>
      </c>
      <c r="B5" s="49"/>
      <c r="C5" s="49"/>
      <c r="D5" s="49"/>
      <c r="E5" s="49"/>
      <c r="F5" s="49"/>
      <c r="G5" s="49"/>
      <c r="H5" s="50"/>
    </row>
    <row r="6" spans="1:8" x14ac:dyDescent="0.2">
      <c r="A6" s="51" t="s">
        <v>98</v>
      </c>
      <c r="B6" s="52" t="s">
        <v>99</v>
      </c>
      <c r="C6" s="51">
        <v>1</v>
      </c>
      <c r="D6" s="51" t="s">
        <v>100</v>
      </c>
      <c r="E6" s="53"/>
      <c r="F6" s="54"/>
      <c r="G6" s="51" t="s">
        <v>101</v>
      </c>
      <c r="H6" s="55">
        <f>Tariefopbouw1</f>
        <v>0</v>
      </c>
    </row>
    <row r="7" spans="1:8" x14ac:dyDescent="0.2">
      <c r="A7" s="56" t="s">
        <v>102</v>
      </c>
      <c r="B7" s="57" t="s">
        <v>99</v>
      </c>
      <c r="C7" s="56">
        <v>51</v>
      </c>
      <c r="D7" s="56" t="s">
        <v>103</v>
      </c>
      <c r="E7" s="58"/>
      <c r="F7" s="59"/>
      <c r="G7" s="56" t="s">
        <v>101</v>
      </c>
      <c r="H7" s="60">
        <f>Tariefopbouw1</f>
        <v>0</v>
      </c>
    </row>
    <row r="8" spans="1:8" x14ac:dyDescent="0.2">
      <c r="A8" s="56" t="s">
        <v>104</v>
      </c>
      <c r="B8" s="57" t="s">
        <v>99</v>
      </c>
      <c r="C8" s="56">
        <v>1</v>
      </c>
      <c r="D8" s="56" t="s">
        <v>105</v>
      </c>
      <c r="E8" s="58"/>
      <c r="F8" s="59"/>
      <c r="G8" s="56" t="s">
        <v>101</v>
      </c>
      <c r="H8" s="60">
        <f>Tariefopbouw1</f>
        <v>0</v>
      </c>
    </row>
    <row r="9" spans="1:8" x14ac:dyDescent="0.2">
      <c r="A9" s="56" t="s">
        <v>106</v>
      </c>
      <c r="B9" s="57" t="s">
        <v>99</v>
      </c>
      <c r="C9" s="56">
        <v>51</v>
      </c>
      <c r="D9" s="56" t="s">
        <v>107</v>
      </c>
      <c r="E9" s="58"/>
      <c r="F9" s="59"/>
      <c r="G9" s="56" t="s">
        <v>101</v>
      </c>
      <c r="H9" s="60">
        <f>Tariefopbouw1</f>
        <v>0</v>
      </c>
    </row>
    <row r="10" spans="1:8" x14ac:dyDescent="0.2">
      <c r="A10" s="56" t="s">
        <v>108</v>
      </c>
      <c r="B10" s="57" t="s">
        <v>99</v>
      </c>
      <c r="C10" s="56">
        <v>1</v>
      </c>
      <c r="D10" s="56" t="s">
        <v>109</v>
      </c>
      <c r="E10" s="58"/>
      <c r="F10" s="59"/>
      <c r="G10" s="56" t="s">
        <v>101</v>
      </c>
      <c r="H10" s="60">
        <f>Tariefopbouw1</f>
        <v>0</v>
      </c>
    </row>
    <row r="11" spans="1:8" x14ac:dyDescent="0.2">
      <c r="A11" s="56" t="s">
        <v>110</v>
      </c>
      <c r="B11" s="57" t="s">
        <v>99</v>
      </c>
      <c r="C11" s="56">
        <v>51</v>
      </c>
      <c r="D11" s="56" t="s">
        <v>111</v>
      </c>
      <c r="E11" s="58"/>
      <c r="F11" s="59"/>
      <c r="G11" s="56" t="s">
        <v>101</v>
      </c>
      <c r="H11" s="60">
        <f>Tariefopbouw1</f>
        <v>0</v>
      </c>
    </row>
    <row r="12" spans="1:8" x14ac:dyDescent="0.2">
      <c r="A12" s="56" t="s">
        <v>112</v>
      </c>
      <c r="B12" s="57" t="s">
        <v>99</v>
      </c>
      <c r="C12" s="56">
        <v>1</v>
      </c>
      <c r="D12" s="56" t="s">
        <v>113</v>
      </c>
      <c r="E12" s="58"/>
      <c r="F12" s="59"/>
      <c r="G12" s="56" t="s">
        <v>101</v>
      </c>
      <c r="H12" s="60">
        <f>Tariefopbouw1</f>
        <v>0</v>
      </c>
    </row>
    <row r="13" spans="1:8" x14ac:dyDescent="0.2">
      <c r="A13" s="56" t="s">
        <v>114</v>
      </c>
      <c r="B13" s="57" t="s">
        <v>99</v>
      </c>
      <c r="C13" s="56">
        <v>51</v>
      </c>
      <c r="D13" s="56" t="s">
        <v>115</v>
      </c>
      <c r="E13" s="58"/>
      <c r="F13" s="59"/>
      <c r="G13" s="56" t="s">
        <v>101</v>
      </c>
      <c r="H13" s="60">
        <f>Tariefopbouw1</f>
        <v>0</v>
      </c>
    </row>
    <row r="14" spans="1:8" x14ac:dyDescent="0.2">
      <c r="A14" s="56" t="s">
        <v>116</v>
      </c>
      <c r="B14" s="57" t="s">
        <v>99</v>
      </c>
      <c r="C14" s="56">
        <v>1</v>
      </c>
      <c r="D14" s="56" t="s">
        <v>117</v>
      </c>
      <c r="E14" s="58"/>
      <c r="F14" s="59"/>
      <c r="G14" s="56" t="s">
        <v>101</v>
      </c>
      <c r="H14" s="60">
        <f>Tariefopbouw1</f>
        <v>0</v>
      </c>
    </row>
    <row r="15" spans="1:8" x14ac:dyDescent="0.2">
      <c r="A15" s="56" t="s">
        <v>116</v>
      </c>
      <c r="B15" s="57" t="s">
        <v>99</v>
      </c>
      <c r="C15" s="56">
        <v>51</v>
      </c>
      <c r="D15" s="56" t="s">
        <v>118</v>
      </c>
      <c r="E15" s="58"/>
      <c r="F15" s="59"/>
      <c r="G15" s="56" t="s">
        <v>101</v>
      </c>
      <c r="H15" s="60">
        <f>Tariefopbouw1</f>
        <v>0</v>
      </c>
    </row>
    <row r="16" spans="1:8" x14ac:dyDescent="0.2">
      <c r="A16" s="56" t="s">
        <v>119</v>
      </c>
      <c r="B16" s="57" t="s">
        <v>99</v>
      </c>
      <c r="C16" s="56">
        <v>1</v>
      </c>
      <c r="D16" s="56" t="s">
        <v>120</v>
      </c>
      <c r="E16" s="58"/>
      <c r="F16" s="59"/>
      <c r="G16" s="56" t="s">
        <v>101</v>
      </c>
      <c r="H16" s="60">
        <f>Tariefopbouw1</f>
        <v>0</v>
      </c>
    </row>
    <row r="17" spans="1:8" x14ac:dyDescent="0.2">
      <c r="A17" s="56" t="s">
        <v>121</v>
      </c>
      <c r="B17" s="57" t="s">
        <v>99</v>
      </c>
      <c r="C17" s="56">
        <v>51</v>
      </c>
      <c r="D17" s="56" t="s">
        <v>122</v>
      </c>
      <c r="E17" s="58"/>
      <c r="F17" s="59"/>
      <c r="G17" s="56" t="s">
        <v>101</v>
      </c>
      <c r="H17" s="60">
        <f>Tariefopbouw1</f>
        <v>0</v>
      </c>
    </row>
    <row r="18" spans="1:8" x14ac:dyDescent="0.2">
      <c r="A18" s="56" t="s">
        <v>123</v>
      </c>
      <c r="B18" s="57" t="s">
        <v>99</v>
      </c>
      <c r="C18" s="56">
        <v>1</v>
      </c>
      <c r="D18" s="56" t="s">
        <v>124</v>
      </c>
      <c r="E18" s="58"/>
      <c r="F18" s="59"/>
      <c r="G18" s="56" t="s">
        <v>101</v>
      </c>
      <c r="H18" s="60">
        <f>Tariefopbouw1</f>
        <v>0</v>
      </c>
    </row>
    <row r="19" spans="1:8" x14ac:dyDescent="0.2">
      <c r="A19" s="56" t="s">
        <v>125</v>
      </c>
      <c r="B19" s="57" t="s">
        <v>99</v>
      </c>
      <c r="C19" s="56">
        <v>51</v>
      </c>
      <c r="D19" s="56" t="s">
        <v>126</v>
      </c>
      <c r="E19" s="58"/>
      <c r="F19" s="59"/>
      <c r="G19" s="56" t="s">
        <v>101</v>
      </c>
      <c r="H19" s="60">
        <f>Tariefopbouw1</f>
        <v>0</v>
      </c>
    </row>
    <row r="20" spans="1:8" x14ac:dyDescent="0.2">
      <c r="A20" s="56" t="s">
        <v>127</v>
      </c>
      <c r="B20" s="57" t="s">
        <v>128</v>
      </c>
      <c r="C20" s="56">
        <v>1</v>
      </c>
      <c r="D20" s="56" t="s">
        <v>129</v>
      </c>
      <c r="E20" s="58"/>
      <c r="F20" s="59"/>
      <c r="G20" s="56" t="s">
        <v>101</v>
      </c>
      <c r="H20" s="60">
        <f>Tariefopbouw1</f>
        <v>0</v>
      </c>
    </row>
    <row r="21" spans="1:8" x14ac:dyDescent="0.2">
      <c r="A21" s="56" t="s">
        <v>130</v>
      </c>
      <c r="B21" s="57" t="s">
        <v>128</v>
      </c>
      <c r="C21" s="56">
        <v>51</v>
      </c>
      <c r="D21" s="56" t="s">
        <v>131</v>
      </c>
      <c r="E21" s="58"/>
      <c r="F21" s="59"/>
      <c r="G21" s="56" t="s">
        <v>101</v>
      </c>
      <c r="H21" s="60">
        <f>Tariefopbouw1</f>
        <v>0</v>
      </c>
    </row>
    <row r="22" spans="1:8" x14ac:dyDescent="0.2">
      <c r="A22" s="56" t="s">
        <v>132</v>
      </c>
      <c r="B22" s="57" t="s">
        <v>128</v>
      </c>
      <c r="C22" s="56">
        <v>1</v>
      </c>
      <c r="D22" s="56" t="s">
        <v>133</v>
      </c>
      <c r="E22" s="58"/>
      <c r="F22" s="59"/>
      <c r="G22" s="56" t="s">
        <v>101</v>
      </c>
      <c r="H22" s="60">
        <f>Tariefopbouw1</f>
        <v>0</v>
      </c>
    </row>
    <row r="23" spans="1:8" x14ac:dyDescent="0.2">
      <c r="A23" s="56" t="s">
        <v>134</v>
      </c>
      <c r="B23" s="57" t="s">
        <v>128</v>
      </c>
      <c r="C23" s="56">
        <v>51</v>
      </c>
      <c r="D23" s="56" t="s">
        <v>135</v>
      </c>
      <c r="E23" s="58"/>
      <c r="F23" s="59"/>
      <c r="G23" s="56" t="s">
        <v>101</v>
      </c>
      <c r="H23" s="60">
        <f>Tariefopbouw1</f>
        <v>0</v>
      </c>
    </row>
    <row r="24" spans="1:8" x14ac:dyDescent="0.2">
      <c r="A24" s="56" t="s">
        <v>136</v>
      </c>
      <c r="B24" s="57" t="s">
        <v>128</v>
      </c>
      <c r="C24" s="56">
        <v>1</v>
      </c>
      <c r="D24" s="56" t="s">
        <v>137</v>
      </c>
      <c r="E24" s="58"/>
      <c r="F24" s="59"/>
      <c r="G24" s="56" t="s">
        <v>101</v>
      </c>
      <c r="H24" s="60">
        <f>Tariefopbouw1</f>
        <v>0</v>
      </c>
    </row>
    <row r="25" spans="1:8" x14ac:dyDescent="0.2">
      <c r="A25" s="56" t="s">
        <v>138</v>
      </c>
      <c r="B25" s="57" t="s">
        <v>128</v>
      </c>
      <c r="C25" s="56">
        <v>51</v>
      </c>
      <c r="D25" s="56" t="s">
        <v>139</v>
      </c>
      <c r="E25" s="58"/>
      <c r="F25" s="59"/>
      <c r="G25" s="56" t="s">
        <v>101</v>
      </c>
      <c r="H25" s="60">
        <f>Tariefopbouw1</f>
        <v>0</v>
      </c>
    </row>
    <row r="26" spans="1:8" x14ac:dyDescent="0.2">
      <c r="A26" s="56" t="s">
        <v>140</v>
      </c>
      <c r="B26" s="57" t="s">
        <v>141</v>
      </c>
      <c r="C26" s="56">
        <v>1</v>
      </c>
      <c r="D26" s="56" t="s">
        <v>142</v>
      </c>
      <c r="E26" s="58"/>
      <c r="F26" s="59"/>
      <c r="G26" s="56" t="s">
        <v>101</v>
      </c>
      <c r="H26" s="60">
        <f>Tariefopbouw1</f>
        <v>0</v>
      </c>
    </row>
    <row r="27" spans="1:8" x14ac:dyDescent="0.2">
      <c r="A27" s="56" t="s">
        <v>143</v>
      </c>
      <c r="B27" s="57" t="s">
        <v>141</v>
      </c>
      <c r="C27" s="56">
        <v>51</v>
      </c>
      <c r="D27" s="56" t="s">
        <v>144</v>
      </c>
      <c r="E27" s="58"/>
      <c r="F27" s="59"/>
      <c r="G27" s="56" t="s">
        <v>101</v>
      </c>
      <c r="H27" s="60">
        <f>Tariefopbouw1</f>
        <v>0</v>
      </c>
    </row>
    <row r="28" spans="1:8" x14ac:dyDescent="0.2">
      <c r="A28" s="56" t="s">
        <v>145</v>
      </c>
      <c r="B28" s="57" t="s">
        <v>141</v>
      </c>
      <c r="C28" s="56">
        <v>1</v>
      </c>
      <c r="D28" s="56" t="s">
        <v>146</v>
      </c>
      <c r="E28" s="58"/>
      <c r="F28" s="59"/>
      <c r="G28" s="56" t="s">
        <v>101</v>
      </c>
      <c r="H28" s="60">
        <f>Tariefopbouw1</f>
        <v>0</v>
      </c>
    </row>
    <row r="29" spans="1:8" x14ac:dyDescent="0.2">
      <c r="A29" s="56" t="s">
        <v>147</v>
      </c>
      <c r="B29" s="57" t="s">
        <v>141</v>
      </c>
      <c r="C29" s="56">
        <v>51</v>
      </c>
      <c r="D29" s="56" t="s">
        <v>148</v>
      </c>
      <c r="E29" s="58"/>
      <c r="F29" s="59"/>
      <c r="G29" s="56" t="s">
        <v>101</v>
      </c>
      <c r="H29" s="60">
        <f>Tariefopbouw1</f>
        <v>0</v>
      </c>
    </row>
    <row r="30" spans="1:8" x14ac:dyDescent="0.2">
      <c r="A30" s="56" t="s">
        <v>149</v>
      </c>
      <c r="B30" s="57" t="s">
        <v>141</v>
      </c>
      <c r="C30" s="56">
        <v>1</v>
      </c>
      <c r="D30" s="56" t="s">
        <v>150</v>
      </c>
      <c r="E30" s="58"/>
      <c r="F30" s="59"/>
      <c r="G30" s="56" t="s">
        <v>101</v>
      </c>
      <c r="H30" s="60">
        <f>Tariefopbouw1</f>
        <v>0</v>
      </c>
    </row>
    <row r="31" spans="1:8" x14ac:dyDescent="0.2">
      <c r="A31" s="56" t="s">
        <v>151</v>
      </c>
      <c r="B31" s="57" t="s">
        <v>141</v>
      </c>
      <c r="C31" s="56">
        <v>51</v>
      </c>
      <c r="D31" s="56" t="s">
        <v>152</v>
      </c>
      <c r="E31" s="58"/>
      <c r="F31" s="59"/>
      <c r="G31" s="56" t="s">
        <v>101</v>
      </c>
      <c r="H31" s="60">
        <f>Tariefopbouw1</f>
        <v>0</v>
      </c>
    </row>
    <row r="32" spans="1:8" x14ac:dyDescent="0.2">
      <c r="A32" s="56" t="s">
        <v>153</v>
      </c>
      <c r="B32" s="57" t="s">
        <v>141</v>
      </c>
      <c r="C32" s="56">
        <v>1</v>
      </c>
      <c r="D32" s="56" t="s">
        <v>154</v>
      </c>
      <c r="E32" s="58"/>
      <c r="F32" s="59"/>
      <c r="G32" s="56" t="s">
        <v>101</v>
      </c>
      <c r="H32" s="60">
        <f>Tariefopbouw1</f>
        <v>0</v>
      </c>
    </row>
    <row r="33" spans="1:8" x14ac:dyDescent="0.2">
      <c r="A33" s="56" t="s">
        <v>155</v>
      </c>
      <c r="B33" s="57" t="s">
        <v>141</v>
      </c>
      <c r="C33" s="56">
        <v>51</v>
      </c>
      <c r="D33" s="56" t="s">
        <v>156</v>
      </c>
      <c r="E33" s="58"/>
      <c r="F33" s="59"/>
      <c r="G33" s="56" t="s">
        <v>101</v>
      </c>
      <c r="H33" s="60">
        <f>Tariefopbouw1</f>
        <v>0</v>
      </c>
    </row>
    <row r="34" spans="1:8" x14ac:dyDescent="0.2">
      <c r="A34" s="56" t="s">
        <v>157</v>
      </c>
      <c r="B34" s="57" t="s">
        <v>141</v>
      </c>
      <c r="C34" s="56">
        <v>1</v>
      </c>
      <c r="D34" s="56" t="s">
        <v>158</v>
      </c>
      <c r="E34" s="58"/>
      <c r="F34" s="59"/>
      <c r="G34" s="56" t="s">
        <v>101</v>
      </c>
      <c r="H34" s="60">
        <f>Tariefopbouw1</f>
        <v>0</v>
      </c>
    </row>
    <row r="35" spans="1:8" x14ac:dyDescent="0.2">
      <c r="A35" s="56" t="s">
        <v>159</v>
      </c>
      <c r="B35" s="57" t="s">
        <v>141</v>
      </c>
      <c r="C35" s="56">
        <v>51</v>
      </c>
      <c r="D35" s="56" t="s">
        <v>160</v>
      </c>
      <c r="E35" s="58"/>
      <c r="F35" s="59"/>
      <c r="G35" s="56" t="s">
        <v>101</v>
      </c>
      <c r="H35" s="60">
        <f>Tariefopbouw1</f>
        <v>0</v>
      </c>
    </row>
    <row r="36" spans="1:8" x14ac:dyDescent="0.2">
      <c r="A36" s="56" t="s">
        <v>161</v>
      </c>
      <c r="B36" s="57" t="s">
        <v>141</v>
      </c>
      <c r="C36" s="56">
        <v>1</v>
      </c>
      <c r="D36" s="56" t="s">
        <v>162</v>
      </c>
      <c r="E36" s="58"/>
      <c r="F36" s="59"/>
      <c r="G36" s="56" t="s">
        <v>101</v>
      </c>
      <c r="H36" s="60">
        <f>Tariefopbouw1</f>
        <v>0</v>
      </c>
    </row>
    <row r="37" spans="1:8" x14ac:dyDescent="0.2">
      <c r="A37" s="56" t="s">
        <v>163</v>
      </c>
      <c r="B37" s="57" t="s">
        <v>141</v>
      </c>
      <c r="C37" s="56">
        <v>51</v>
      </c>
      <c r="D37" s="56" t="s">
        <v>164</v>
      </c>
      <c r="E37" s="58"/>
      <c r="F37" s="59"/>
      <c r="G37" s="56" t="s">
        <v>101</v>
      </c>
      <c r="H37" s="60">
        <f>Tariefopbouw1</f>
        <v>0</v>
      </c>
    </row>
    <row r="38" spans="1:8" x14ac:dyDescent="0.2">
      <c r="A38" s="56" t="s">
        <v>165</v>
      </c>
      <c r="B38" s="57" t="s">
        <v>141</v>
      </c>
      <c r="C38" s="56">
        <v>1</v>
      </c>
      <c r="D38" s="56" t="s">
        <v>166</v>
      </c>
      <c r="E38" s="58"/>
      <c r="F38" s="59"/>
      <c r="G38" s="56" t="s">
        <v>101</v>
      </c>
      <c r="H38" s="60">
        <f>Tariefopbouw1</f>
        <v>0</v>
      </c>
    </row>
    <row r="39" spans="1:8" x14ac:dyDescent="0.2">
      <c r="A39" s="56" t="s">
        <v>167</v>
      </c>
      <c r="B39" s="57" t="s">
        <v>141</v>
      </c>
      <c r="C39" s="56">
        <v>51</v>
      </c>
      <c r="D39" s="56" t="s">
        <v>168</v>
      </c>
      <c r="E39" s="58"/>
      <c r="F39" s="59"/>
      <c r="G39" s="56" t="s">
        <v>101</v>
      </c>
      <c r="H39" s="60">
        <f>Tariefopbouw1</f>
        <v>0</v>
      </c>
    </row>
    <row r="40" spans="1:8" x14ac:dyDescent="0.2">
      <c r="A40" s="56" t="s">
        <v>169</v>
      </c>
      <c r="B40" s="57" t="s">
        <v>141</v>
      </c>
      <c r="C40" s="56">
        <v>1</v>
      </c>
      <c r="D40" s="56" t="s">
        <v>170</v>
      </c>
      <c r="E40" s="58"/>
      <c r="F40" s="59"/>
      <c r="G40" s="56" t="s">
        <v>101</v>
      </c>
      <c r="H40" s="60">
        <f>Tariefopbouw1</f>
        <v>0</v>
      </c>
    </row>
    <row r="41" spans="1:8" x14ac:dyDescent="0.2">
      <c r="A41" s="56" t="s">
        <v>171</v>
      </c>
      <c r="B41" s="57" t="s">
        <v>141</v>
      </c>
      <c r="C41" s="56">
        <v>51</v>
      </c>
      <c r="D41" s="56" t="s">
        <v>172</v>
      </c>
      <c r="E41" s="58"/>
      <c r="F41" s="59"/>
      <c r="G41" s="56" t="s">
        <v>101</v>
      </c>
      <c r="H41" s="60">
        <f>Tariefopbouw1</f>
        <v>0</v>
      </c>
    </row>
    <row r="42" spans="1:8" x14ac:dyDescent="0.2">
      <c r="A42" s="56" t="s">
        <v>173</v>
      </c>
      <c r="B42" s="57" t="s">
        <v>141</v>
      </c>
      <c r="C42" s="56">
        <v>1</v>
      </c>
      <c r="D42" s="56" t="s">
        <v>174</v>
      </c>
      <c r="E42" s="58"/>
      <c r="F42" s="59"/>
      <c r="G42" s="56" t="s">
        <v>101</v>
      </c>
      <c r="H42" s="60">
        <f>Tariefopbouw1</f>
        <v>0</v>
      </c>
    </row>
    <row r="43" spans="1:8" x14ac:dyDescent="0.2">
      <c r="A43" s="56" t="s">
        <v>175</v>
      </c>
      <c r="B43" s="57" t="s">
        <v>141</v>
      </c>
      <c r="C43" s="56">
        <v>51</v>
      </c>
      <c r="D43" s="56" t="s">
        <v>176</v>
      </c>
      <c r="E43" s="58"/>
      <c r="F43" s="59"/>
      <c r="G43" s="56" t="s">
        <v>101</v>
      </c>
      <c r="H43" s="60">
        <f>Tariefopbouw1</f>
        <v>0</v>
      </c>
    </row>
    <row r="44" spans="1:8" x14ac:dyDescent="0.2">
      <c r="A44" s="56" t="s">
        <v>177</v>
      </c>
      <c r="B44" s="57" t="s">
        <v>141</v>
      </c>
      <c r="C44" s="56">
        <v>1</v>
      </c>
      <c r="D44" s="56" t="s">
        <v>178</v>
      </c>
      <c r="E44" s="58"/>
      <c r="F44" s="59"/>
      <c r="G44" s="56" t="s">
        <v>101</v>
      </c>
      <c r="H44" s="60">
        <f>Tariefopbouw1</f>
        <v>0</v>
      </c>
    </row>
    <row r="45" spans="1:8" x14ac:dyDescent="0.2">
      <c r="A45" s="61" t="s">
        <v>179</v>
      </c>
      <c r="B45" s="62" t="s">
        <v>141</v>
      </c>
      <c r="C45" s="61">
        <v>51</v>
      </c>
      <c r="D45" s="61" t="s">
        <v>180</v>
      </c>
      <c r="E45" s="63"/>
      <c r="F45" s="64"/>
      <c r="G45" s="61" t="s">
        <v>101</v>
      </c>
      <c r="H45" s="65">
        <f>Tariefopbouw1</f>
        <v>0</v>
      </c>
    </row>
  </sheetData>
  <sheetProtection algorithmName="SHA-512" hashValue="kjbHhI4UWn6BUEgpaQgBH4jREISvbeP9SP90cUI2GiWrERudi4DFi6TUa+gGpA+cZ1LYsOmkJ2CyEQPHW+cTfQ==" saltValue="xGnISciwprBLXE5LFjMDdQ==" spinCount="100000" sheet="1" objects="1" scenarios="1" autoFilter="0"/>
  <pageMargins left="0.7" right="0.7" top="0.75" bottom="0.75" header="0.3" footer="0.3"/>
  <pageSetup paperSize="9" scale="70" orientation="landscape" horizontalDpi="4294967295" verticalDpi="4294967295" r:id="rId1"/>
  <headerFooter>
    <oddFooter>&amp;LGemeente Montferland EA 2026                                &amp;ROpmaakdatum: 16-09-2026
Intexso - Plantageweg 23E - Leusden
+31 (33) 2778485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242C4-A5D5-4C6A-9BBF-D3EA89EE4B3D}">
  <dimension ref="A1:N32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12.625" customWidth="1"/>
    <col min="4" max="4" width="35.625" customWidth="1"/>
    <col min="5" max="5" width="12.625" customWidth="1"/>
    <col min="6" max="8" width="11.625" customWidth="1"/>
    <col min="9" max="9" width="9.625" customWidth="1"/>
    <col min="10" max="12" width="11.625" customWidth="1"/>
    <col min="13" max="13" width="12.625" customWidth="1"/>
    <col min="14" max="14" width="14.625" customWidth="1"/>
  </cols>
  <sheetData>
    <row r="1" spans="1:14" x14ac:dyDescent="0.2">
      <c r="A1" s="1" t="str">
        <f>CONCATENATE("Bijlage D.2: ",tabeltype," regulier werk")</f>
        <v>Bijlage D.2: Invultabel regulier werk</v>
      </c>
    </row>
    <row r="3" spans="1:14" ht="38.25" x14ac:dyDescent="0.2">
      <c r="A3" s="44" t="s">
        <v>181</v>
      </c>
      <c r="B3" s="44" t="s">
        <v>7</v>
      </c>
      <c r="C3" s="44" t="s">
        <v>182</v>
      </c>
      <c r="D3" s="44" t="s">
        <v>92</v>
      </c>
      <c r="E3" s="44" t="s">
        <v>183</v>
      </c>
      <c r="F3" s="44" t="s">
        <v>184</v>
      </c>
      <c r="G3" s="44" t="s">
        <v>93</v>
      </c>
      <c r="H3" s="44" t="s">
        <v>94</v>
      </c>
      <c r="I3" s="44" t="s">
        <v>95</v>
      </c>
      <c r="J3" s="44" t="s">
        <v>96</v>
      </c>
      <c r="K3" s="44" t="s">
        <v>185</v>
      </c>
      <c r="L3" s="44" t="s">
        <v>186</v>
      </c>
      <c r="M3" s="44" t="s">
        <v>187</v>
      </c>
      <c r="N3" s="44" t="s">
        <v>188</v>
      </c>
    </row>
    <row r="4" spans="1:14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7"/>
    </row>
    <row r="5" spans="1:14" x14ac:dyDescent="0.2">
      <c r="A5" s="48" t="s">
        <v>97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50"/>
    </row>
    <row r="6" spans="1:14" x14ac:dyDescent="0.2">
      <c r="A6" s="51" t="s">
        <v>189</v>
      </c>
      <c r="B6" s="51" t="s">
        <v>9</v>
      </c>
      <c r="C6" s="51" t="s">
        <v>190</v>
      </c>
      <c r="D6" s="51" t="s">
        <v>191</v>
      </c>
      <c r="E6" s="66">
        <v>106.4</v>
      </c>
      <c r="F6" s="66">
        <f>E6*VLOOKUP(B6,dagsoorttabel1,2,FALSE)</f>
        <v>106.4</v>
      </c>
      <c r="G6" s="67">
        <f>IF(AND(catpn_1_BKHB_1&gt;0,catpn_1_BKHV_51&gt;0),(dagenperjaar1*VLOOKUP(B6,dagsoorttabel1,2,FALSE))/(((dagenperjaar1*VLOOKUP(B6,dagsoorttabel1,2,FALSE))-catfd_1_BKHV_51)/catpn_1_BKHB_1+catfd_1_BKHV_51/catpn_1_BKHV_51),0)</f>
        <v>0</v>
      </c>
      <c r="H6" s="68">
        <f>IF(AND(catpn_1_BKHB_1&gt;0,catpn_1_BKHV_51&gt;0),(catdw_1_BKHB_1*((dagenperjaar1*VLOOKUP(B6,dagsoorttabel1,2,FALSE))-catfd_1_BKHV_51)/catpn_1_BKHB_1+catdw_1_BKHV_51*catfd_1_BKHV_51/catpn_1_BKHV_51)/(((dagenperjaar1*VLOOKUP(B6,dagsoorttabel1,2,FALSE))-catfd_1_BKHV_51)/catpn_1_BKHB_1+catfd_1_BKHV_51/catpn_1_BKHV_51),0)</f>
        <v>0</v>
      </c>
      <c r="I6" s="51" t="s">
        <v>101</v>
      </c>
      <c r="J6" s="55">
        <f>IF(AND(catpn_1_BKHB_1&gt;0,catpn_1_BKHV_51&gt;0),(cattf_1_BKHB_1*((dagenperjaar1*VLOOKUP(B6,dagsoorttabel1,2,FALSE))-catfd_1_BKHV_51)/catpn_1_BKHB_1+cattf_1_BKHV_51*catfd_1_BKHV_51/catpn_1_BKHV_51)/(((dagenperjaar1*VLOOKUP(B6,dagsoorttabel1,2,FALSE))-catfd_1_BKHV_51)/catpn_1_BKHB_1+catfd_1_BKHV_51/catpn_1_BKHV_51),0)</f>
        <v>0</v>
      </c>
      <c r="K6" s="66">
        <f>IF(OR(ISBLANK(G6),G6=0),0,F6/ROUND(G6,4))</f>
        <v>0</v>
      </c>
      <c r="L6" s="55">
        <f>ROUND(J6,2)*K6</f>
        <v>0</v>
      </c>
      <c r="M6" s="66">
        <f>K6*dagenperjaar1</f>
        <v>0</v>
      </c>
      <c r="N6" s="55">
        <f>M6*ROUND(J6,2)</f>
        <v>0</v>
      </c>
    </row>
    <row r="7" spans="1:14" x14ac:dyDescent="0.2">
      <c r="A7" s="56" t="s">
        <v>192</v>
      </c>
      <c r="B7" s="56" t="s">
        <v>9</v>
      </c>
      <c r="C7" s="56" t="s">
        <v>190</v>
      </c>
      <c r="D7" s="56" t="s">
        <v>193</v>
      </c>
      <c r="E7" s="69">
        <v>1914.8000000000002</v>
      </c>
      <c r="F7" s="69">
        <f>E7*VLOOKUP(B7,dagsoorttabel1,2,FALSE)</f>
        <v>1914.8000000000002</v>
      </c>
      <c r="G7" s="70">
        <f>IF(AND(catpn_1_BKZB_1&gt;0,catpn_1_BKZV_51&gt;0),(dagenperjaar1*VLOOKUP(B7,dagsoorttabel1,2,FALSE))/(((dagenperjaar1*VLOOKUP(B7,dagsoorttabel1,2,FALSE))-catfd_1_BKZV_51)/catpn_1_BKZB_1+catfd_1_BKZV_51/catpn_1_BKZV_51),0)</f>
        <v>0</v>
      </c>
      <c r="H7" s="71">
        <f>IF(AND(catpn_1_BKZB_1&gt;0,catpn_1_BKZV_51&gt;0),(catdw_1_BKZB_1*((dagenperjaar1*VLOOKUP(B7,dagsoorttabel1,2,FALSE))-catfd_1_BKZV_51)/catpn_1_BKZB_1+catdw_1_BKZV_51*catfd_1_BKZV_51/catpn_1_BKZV_51)/(((dagenperjaar1*VLOOKUP(B7,dagsoorttabel1,2,FALSE))-catfd_1_BKZV_51)/catpn_1_BKZB_1+catfd_1_BKZV_51/catpn_1_BKZV_51),0)</f>
        <v>0</v>
      </c>
      <c r="I7" s="56" t="s">
        <v>101</v>
      </c>
      <c r="J7" s="60">
        <f>IF(AND(catpn_1_BKZB_1&gt;0,catpn_1_BKZV_51&gt;0),(cattf_1_BKZB_1*((dagenperjaar1*VLOOKUP(B7,dagsoorttabel1,2,FALSE))-catfd_1_BKZV_51)/catpn_1_BKZB_1+cattf_1_BKZV_51*catfd_1_BKZV_51/catpn_1_BKZV_51)/(((dagenperjaar1*VLOOKUP(B7,dagsoorttabel1,2,FALSE))-catfd_1_BKZV_51)/catpn_1_BKZB_1+catfd_1_BKZV_51/catpn_1_BKZV_51),0)</f>
        <v>0</v>
      </c>
      <c r="K7" s="69">
        <f>IF(OR(ISBLANK(G7),G7=0),0,F7/ROUND(G7,4))</f>
        <v>0</v>
      </c>
      <c r="L7" s="60">
        <f>ROUND(J7,2)*K7</f>
        <v>0</v>
      </c>
      <c r="M7" s="69">
        <f>K7*dagenperjaar1</f>
        <v>0</v>
      </c>
      <c r="N7" s="60">
        <f>M7*ROUND(J7,2)</f>
        <v>0</v>
      </c>
    </row>
    <row r="8" spans="1:14" x14ac:dyDescent="0.2">
      <c r="A8" s="56" t="s">
        <v>194</v>
      </c>
      <c r="B8" s="56" t="s">
        <v>9</v>
      </c>
      <c r="C8" s="56" t="s">
        <v>190</v>
      </c>
      <c r="D8" s="56" t="s">
        <v>195</v>
      </c>
      <c r="E8" s="69">
        <v>135</v>
      </c>
      <c r="F8" s="69">
        <f>E8*VLOOKUP(B8,dagsoorttabel1,2,FALSE)</f>
        <v>135</v>
      </c>
      <c r="G8" s="70">
        <f>IF(AND(catpn_1_BRHB_1&gt;0,catpn_1_BRHV_51&gt;0),(dagenperjaar1*VLOOKUP(B8,dagsoorttabel1,2,FALSE))/(((dagenperjaar1*VLOOKUP(B8,dagsoorttabel1,2,FALSE))-catfd_1_BRHV_51)/catpn_1_BRHB_1+catfd_1_BRHV_51/catpn_1_BRHV_51),0)</f>
        <v>0</v>
      </c>
      <c r="H8" s="71">
        <f>IF(AND(catpn_1_BRHB_1&gt;0,catpn_1_BRHV_51&gt;0),(catdw_1_BRHB_1*((dagenperjaar1*VLOOKUP(B8,dagsoorttabel1,2,FALSE))-catfd_1_BRHV_51)/catpn_1_BRHB_1+catdw_1_BRHV_51*catfd_1_BRHV_51/catpn_1_BRHV_51)/(((dagenperjaar1*VLOOKUP(B8,dagsoorttabel1,2,FALSE))-catfd_1_BRHV_51)/catpn_1_BRHB_1+catfd_1_BRHV_51/catpn_1_BRHV_51),0)</f>
        <v>0</v>
      </c>
      <c r="I8" s="56" t="s">
        <v>101</v>
      </c>
      <c r="J8" s="60">
        <f>IF(AND(catpn_1_BRHB_1&gt;0,catpn_1_BRHV_51&gt;0),(cattf_1_BRHB_1*((dagenperjaar1*VLOOKUP(B8,dagsoorttabel1,2,FALSE))-catfd_1_BRHV_51)/catpn_1_BRHB_1+cattf_1_BRHV_51*catfd_1_BRHV_51/catpn_1_BRHV_51)/(((dagenperjaar1*VLOOKUP(B8,dagsoorttabel1,2,FALSE))-catfd_1_BRHV_51)/catpn_1_BRHB_1+catfd_1_BRHV_51/catpn_1_BRHV_51),0)</f>
        <v>0</v>
      </c>
      <c r="K8" s="69">
        <f>IF(OR(ISBLANK(G8),G8=0),0,F8/ROUND(G8,4))</f>
        <v>0</v>
      </c>
      <c r="L8" s="60">
        <f>ROUND(J8,2)*K8</f>
        <v>0</v>
      </c>
      <c r="M8" s="69">
        <f>K8*dagenperjaar1</f>
        <v>0</v>
      </c>
      <c r="N8" s="60">
        <f>M8*ROUND(J8,2)</f>
        <v>0</v>
      </c>
    </row>
    <row r="9" spans="1:14" x14ac:dyDescent="0.2">
      <c r="A9" s="56" t="s">
        <v>196</v>
      </c>
      <c r="B9" s="56" t="s">
        <v>13</v>
      </c>
      <c r="C9" s="56" t="s">
        <v>190</v>
      </c>
      <c r="D9" s="56" t="s">
        <v>197</v>
      </c>
      <c r="E9" s="69">
        <v>56.71</v>
      </c>
      <c r="F9" s="69">
        <f>E9*VLOOKUP(B9,dagsoorttabel1,2,FALSE)</f>
        <v>11.342000000000001</v>
      </c>
      <c r="G9" s="70">
        <f>IF(AND(catpn_1_BRZB_1&gt;0,catpn_1_BRZV_51&gt;0),(dagenperjaar1*VLOOKUP(B9,dagsoorttabel1,2,FALSE))/(((dagenperjaar1*VLOOKUP(B9,dagsoorttabel1,2,FALSE))-catfd_1_BRZV_51)/catpn_1_BRZB_1+catfd_1_BRZV_51/catpn_1_BRZV_51),0)</f>
        <v>0</v>
      </c>
      <c r="H9" s="71">
        <f>IF(AND(catpn_1_BRZB_1&gt;0,catpn_1_BRZV_51&gt;0),(catdw_1_BRZB_1*((dagenperjaar1*VLOOKUP(B9,dagsoorttabel1,2,FALSE))-catfd_1_BRZV_51)/catpn_1_BRZB_1+catdw_1_BRZV_51*catfd_1_BRZV_51/catpn_1_BRZV_51)/(((dagenperjaar1*VLOOKUP(B9,dagsoorttabel1,2,FALSE))-catfd_1_BRZV_51)/catpn_1_BRZB_1+catfd_1_BRZV_51/catpn_1_BRZV_51),0)</f>
        <v>0</v>
      </c>
      <c r="I9" s="56" t="s">
        <v>101</v>
      </c>
      <c r="J9" s="60">
        <f>IF(AND(catpn_1_BRZB_1&gt;0,catpn_1_BRZV_51&gt;0),(cattf_1_BRZB_1*((dagenperjaar1*VLOOKUP(B9,dagsoorttabel1,2,FALSE))-catfd_1_BRZV_51)/catpn_1_BRZB_1+cattf_1_BRZV_51*catfd_1_BRZV_51/catpn_1_BRZV_51)/(((dagenperjaar1*VLOOKUP(B9,dagsoorttabel1,2,FALSE))-catfd_1_BRZV_51)/catpn_1_BRZB_1+catfd_1_BRZV_51/catpn_1_BRZV_51),0)</f>
        <v>0</v>
      </c>
      <c r="K9" s="69">
        <f>IF(OR(ISBLANK(G9),G9=0),0,F9/ROUND(G9,4))</f>
        <v>0</v>
      </c>
      <c r="L9" s="60">
        <f>ROUND(J9,2)*K9</f>
        <v>0</v>
      </c>
      <c r="M9" s="69">
        <f>K9*dagenperjaar1</f>
        <v>0</v>
      </c>
      <c r="N9" s="60">
        <f>M9*ROUND(J9,2)</f>
        <v>0</v>
      </c>
    </row>
    <row r="10" spans="1:14" x14ac:dyDescent="0.2">
      <c r="A10" s="56" t="s">
        <v>196</v>
      </c>
      <c r="B10" s="56" t="s">
        <v>9</v>
      </c>
      <c r="C10" s="56" t="s">
        <v>190</v>
      </c>
      <c r="D10" s="56" t="s">
        <v>197</v>
      </c>
      <c r="E10" s="69">
        <v>425.31</v>
      </c>
      <c r="F10" s="69">
        <f>E10*VLOOKUP(B10,dagsoorttabel1,2,FALSE)</f>
        <v>425.31</v>
      </c>
      <c r="G10" s="70">
        <f>IF(AND(catpn_1_BRZB_1&gt;0,catpn_1_BRZV_51&gt;0),(dagenperjaar1*VLOOKUP(B10,dagsoorttabel1,2,FALSE))/(((dagenperjaar1*VLOOKUP(B10,dagsoorttabel1,2,FALSE))-catfd_1_BRZV_51)/catpn_1_BRZB_1+catfd_1_BRZV_51/catpn_1_BRZV_51),0)</f>
        <v>0</v>
      </c>
      <c r="H10" s="71">
        <f>IF(AND(catpn_1_BRZB_1&gt;0,catpn_1_BRZV_51&gt;0),(catdw_1_BRZB_1*((dagenperjaar1*VLOOKUP(B10,dagsoorttabel1,2,FALSE))-catfd_1_BRZV_51)/catpn_1_BRZB_1+catdw_1_BRZV_51*catfd_1_BRZV_51/catpn_1_BRZV_51)/(((dagenperjaar1*VLOOKUP(B10,dagsoorttabel1,2,FALSE))-catfd_1_BRZV_51)/catpn_1_BRZB_1+catfd_1_BRZV_51/catpn_1_BRZV_51),0)</f>
        <v>0</v>
      </c>
      <c r="I10" s="56" t="s">
        <v>101</v>
      </c>
      <c r="J10" s="60">
        <f>IF(AND(catpn_1_BRZB_1&gt;0,catpn_1_BRZV_51&gt;0),(cattf_1_BRZB_1*((dagenperjaar1*VLOOKUP(B10,dagsoorttabel1,2,FALSE))-catfd_1_BRZV_51)/catpn_1_BRZB_1+cattf_1_BRZV_51*catfd_1_BRZV_51/catpn_1_BRZV_51)/(((dagenperjaar1*VLOOKUP(B10,dagsoorttabel1,2,FALSE))-catfd_1_BRZV_51)/catpn_1_BRZB_1+catfd_1_BRZV_51/catpn_1_BRZV_51),0)</f>
        <v>0</v>
      </c>
      <c r="K10" s="69">
        <f>IF(OR(ISBLANK(G10),G10=0),0,F10/ROUND(G10,4))</f>
        <v>0</v>
      </c>
      <c r="L10" s="60">
        <f>ROUND(J10,2)*K10</f>
        <v>0</v>
      </c>
      <c r="M10" s="69">
        <f>K10*dagenperjaar1</f>
        <v>0</v>
      </c>
      <c r="N10" s="60">
        <f>M10*ROUND(J10,2)</f>
        <v>0</v>
      </c>
    </row>
    <row r="11" spans="1:14" x14ac:dyDescent="0.2">
      <c r="A11" s="56" t="s">
        <v>198</v>
      </c>
      <c r="B11" s="56" t="s">
        <v>9</v>
      </c>
      <c r="C11" s="56" t="s">
        <v>190</v>
      </c>
      <c r="D11" s="56" t="s">
        <v>199</v>
      </c>
      <c r="E11" s="69">
        <v>354.21</v>
      </c>
      <c r="F11" s="69">
        <f>E11*VLOOKUP(B11,dagsoorttabel1,2,FALSE)</f>
        <v>354.21</v>
      </c>
      <c r="G11" s="70">
        <f>IF(AND(catpn_1_BVHB_1&gt;0,catpn_1_BVHB_51&gt;0),(dagenperjaar1*VLOOKUP(B11,dagsoorttabel1,2,FALSE))/(((dagenperjaar1*VLOOKUP(B11,dagsoorttabel1,2,FALSE))-catfd_1_BVHB_51)/catpn_1_BVHB_1+catfd_1_BVHB_51/catpn_1_BVHB_51),0)</f>
        <v>0</v>
      </c>
      <c r="H11" s="71">
        <f>IF(AND(catpn_1_BVHB_1&gt;0,catpn_1_BVHB_51&gt;0),(catdw_1_BVHB_1*((dagenperjaar1*VLOOKUP(B11,dagsoorttabel1,2,FALSE))-catfd_1_BVHB_51)/catpn_1_BVHB_1+catdw_1_BVHB_51*catfd_1_BVHB_51/catpn_1_BVHB_51)/(((dagenperjaar1*VLOOKUP(B11,dagsoorttabel1,2,FALSE))-catfd_1_BVHB_51)/catpn_1_BVHB_1+catfd_1_BVHB_51/catpn_1_BVHB_51),0)</f>
        <v>0</v>
      </c>
      <c r="I11" s="56" t="s">
        <v>101</v>
      </c>
      <c r="J11" s="60">
        <f>IF(AND(catpn_1_BVHB_1&gt;0,catpn_1_BVHB_51&gt;0),(cattf_1_BVHB_1*((dagenperjaar1*VLOOKUP(B11,dagsoorttabel1,2,FALSE))-catfd_1_BVHB_51)/catpn_1_BVHB_1+cattf_1_BVHB_51*catfd_1_BVHB_51/catpn_1_BVHB_51)/(((dagenperjaar1*VLOOKUP(B11,dagsoorttabel1,2,FALSE))-catfd_1_BVHB_51)/catpn_1_BVHB_1+catfd_1_BVHB_51/catpn_1_BVHB_51),0)</f>
        <v>0</v>
      </c>
      <c r="K11" s="69">
        <f>IF(OR(ISBLANK(G11),G11=0),0,F11/ROUND(G11,4))</f>
        <v>0</v>
      </c>
      <c r="L11" s="60">
        <f>ROUND(J11,2)*K11</f>
        <v>0</v>
      </c>
      <c r="M11" s="69">
        <f>K11*dagenperjaar1</f>
        <v>0</v>
      </c>
      <c r="N11" s="60">
        <f>M11*ROUND(J11,2)</f>
        <v>0</v>
      </c>
    </row>
    <row r="12" spans="1:14" x14ac:dyDescent="0.2">
      <c r="A12" s="56" t="s">
        <v>200</v>
      </c>
      <c r="B12" s="56" t="s">
        <v>9</v>
      </c>
      <c r="C12" s="56" t="s">
        <v>190</v>
      </c>
      <c r="D12" s="56" t="s">
        <v>201</v>
      </c>
      <c r="E12" s="69">
        <v>648.86</v>
      </c>
      <c r="F12" s="69">
        <f>E12*VLOOKUP(B12,dagsoorttabel1,2,FALSE)</f>
        <v>648.86</v>
      </c>
      <c r="G12" s="70">
        <f>IF(AND(catpn_1_BVZB_1&gt;0,catpn_1_BVZV_51&gt;0),(dagenperjaar1*VLOOKUP(B12,dagsoorttabel1,2,FALSE))/(((dagenperjaar1*VLOOKUP(B12,dagsoorttabel1,2,FALSE))-catfd_1_BVZV_51)/catpn_1_BVZB_1+catfd_1_BVZV_51/catpn_1_BVZV_51),0)</f>
        <v>0</v>
      </c>
      <c r="H12" s="71">
        <f>IF(AND(catpn_1_BVZB_1&gt;0,catpn_1_BVZV_51&gt;0),(catdw_1_BVZB_1*((dagenperjaar1*VLOOKUP(B12,dagsoorttabel1,2,FALSE))-catfd_1_BVZV_51)/catpn_1_BVZB_1+catdw_1_BVZV_51*catfd_1_BVZV_51/catpn_1_BVZV_51)/(((dagenperjaar1*VLOOKUP(B12,dagsoorttabel1,2,FALSE))-catfd_1_BVZV_51)/catpn_1_BVZB_1+catfd_1_BVZV_51/catpn_1_BVZV_51),0)</f>
        <v>0</v>
      </c>
      <c r="I12" s="56" t="s">
        <v>101</v>
      </c>
      <c r="J12" s="60">
        <f>IF(AND(catpn_1_BVZB_1&gt;0,catpn_1_BVZV_51&gt;0),(cattf_1_BVZB_1*((dagenperjaar1*VLOOKUP(B12,dagsoorttabel1,2,FALSE))-catfd_1_BVZV_51)/catpn_1_BVZB_1+cattf_1_BVZV_51*catfd_1_BVZV_51/catpn_1_BVZV_51)/(((dagenperjaar1*VLOOKUP(B12,dagsoorttabel1,2,FALSE))-catfd_1_BVZV_51)/catpn_1_BVZB_1+catfd_1_BVZV_51/catpn_1_BVZV_51),0)</f>
        <v>0</v>
      </c>
      <c r="K12" s="69">
        <f>IF(OR(ISBLANK(G12),G12=0),0,F12/ROUND(G12,4))</f>
        <v>0</v>
      </c>
      <c r="L12" s="60">
        <f>ROUND(J12,2)*K12</f>
        <v>0</v>
      </c>
      <c r="M12" s="69">
        <f>K12*dagenperjaar1</f>
        <v>0</v>
      </c>
      <c r="N12" s="60">
        <f>M12*ROUND(J12,2)</f>
        <v>0</v>
      </c>
    </row>
    <row r="13" spans="1:14" x14ac:dyDescent="0.2">
      <c r="A13" s="56" t="s">
        <v>202</v>
      </c>
      <c r="B13" s="56" t="s">
        <v>9</v>
      </c>
      <c r="C13" s="56" t="s">
        <v>190</v>
      </c>
      <c r="D13" s="56" t="s">
        <v>203</v>
      </c>
      <c r="E13" s="69">
        <v>75.260000000000005</v>
      </c>
      <c r="F13" s="69">
        <f>E13*VLOOKUP(B13,dagsoorttabel1,2,FALSE)</f>
        <v>75.260000000000005</v>
      </c>
      <c r="G13" s="70">
        <f>IF(AND(catpn_1_LOHB_1&gt;0,catpn_1_LOHV_51&gt;0),(dagenperjaar1*VLOOKUP(B13,dagsoorttabel1,2,FALSE))/(((dagenperjaar1*VLOOKUP(B13,dagsoorttabel1,2,FALSE))-catfd_1_LOHV_51)/catpn_1_LOHB_1+catfd_1_LOHV_51/catpn_1_LOHV_51),0)</f>
        <v>0</v>
      </c>
      <c r="H13" s="71">
        <f>IF(AND(catpn_1_LOHB_1&gt;0,catpn_1_LOHV_51&gt;0),(catdw_1_LOHB_1*((dagenperjaar1*VLOOKUP(B13,dagsoorttabel1,2,FALSE))-catfd_1_LOHV_51)/catpn_1_LOHB_1+catdw_1_LOHV_51*catfd_1_LOHV_51/catpn_1_LOHV_51)/(((dagenperjaar1*VLOOKUP(B13,dagsoorttabel1,2,FALSE))-catfd_1_LOHV_51)/catpn_1_LOHB_1+catfd_1_LOHV_51/catpn_1_LOHV_51),0)</f>
        <v>0</v>
      </c>
      <c r="I13" s="56" t="s">
        <v>101</v>
      </c>
      <c r="J13" s="60">
        <f>IF(AND(catpn_1_LOHB_1&gt;0,catpn_1_LOHV_51&gt;0),(cattf_1_LOHB_1*((dagenperjaar1*VLOOKUP(B13,dagsoorttabel1,2,FALSE))-catfd_1_LOHV_51)/catpn_1_LOHB_1+cattf_1_LOHV_51*catfd_1_LOHV_51/catpn_1_LOHV_51)/(((dagenperjaar1*VLOOKUP(B13,dagsoorttabel1,2,FALSE))-catfd_1_LOHV_51)/catpn_1_LOHB_1+catfd_1_LOHV_51/catpn_1_LOHV_51),0)</f>
        <v>0</v>
      </c>
      <c r="K13" s="69">
        <f>IF(OR(ISBLANK(G13),G13=0),0,F13/ROUND(G13,4))</f>
        <v>0</v>
      </c>
      <c r="L13" s="60">
        <f>ROUND(J13,2)*K13</f>
        <v>0</v>
      </c>
      <c r="M13" s="69">
        <f>K13*dagenperjaar1</f>
        <v>0</v>
      </c>
      <c r="N13" s="60">
        <f>M13*ROUND(J13,2)</f>
        <v>0</v>
      </c>
    </row>
    <row r="14" spans="1:14" x14ac:dyDescent="0.2">
      <c r="A14" s="56" t="s">
        <v>204</v>
      </c>
      <c r="B14" s="56" t="s">
        <v>9</v>
      </c>
      <c r="C14" s="56" t="s">
        <v>190</v>
      </c>
      <c r="D14" s="56" t="s">
        <v>205</v>
      </c>
      <c r="E14" s="69">
        <v>30.12</v>
      </c>
      <c r="F14" s="69">
        <f>E14*VLOOKUP(B14,dagsoorttabel1,2,FALSE)</f>
        <v>30.12</v>
      </c>
      <c r="G14" s="70">
        <f>IF(AND(catpn_1_RKHB_1&gt;0,catpn_1_RKHV_51&gt;0),(dagenperjaar1*VLOOKUP(B14,dagsoorttabel1,2,FALSE))/(((dagenperjaar1*VLOOKUP(B14,dagsoorttabel1,2,FALSE))-catfd_1_RKHV_51)/catpn_1_RKHB_1+catfd_1_RKHV_51/catpn_1_RKHV_51),0)</f>
        <v>0</v>
      </c>
      <c r="H14" s="71">
        <f>IF(AND(catpn_1_RKHB_1&gt;0,catpn_1_RKHV_51&gt;0),(catdw_1_RKHB_1*((dagenperjaar1*VLOOKUP(B14,dagsoorttabel1,2,FALSE))-catfd_1_RKHV_51)/catpn_1_RKHB_1+catdw_1_RKHV_51*catfd_1_RKHV_51/catpn_1_RKHV_51)/(((dagenperjaar1*VLOOKUP(B14,dagsoorttabel1,2,FALSE))-catfd_1_RKHV_51)/catpn_1_RKHB_1+catfd_1_RKHV_51/catpn_1_RKHV_51),0)</f>
        <v>0</v>
      </c>
      <c r="I14" s="56" t="s">
        <v>101</v>
      </c>
      <c r="J14" s="60">
        <f>IF(AND(catpn_1_RKHB_1&gt;0,catpn_1_RKHV_51&gt;0),(cattf_1_RKHB_1*((dagenperjaar1*VLOOKUP(B14,dagsoorttabel1,2,FALSE))-catfd_1_RKHV_51)/catpn_1_RKHB_1+cattf_1_RKHV_51*catfd_1_RKHV_51/catpn_1_RKHV_51)/(((dagenperjaar1*VLOOKUP(B14,dagsoorttabel1,2,FALSE))-catfd_1_RKHV_51)/catpn_1_RKHB_1+catfd_1_RKHV_51/catpn_1_RKHV_51),0)</f>
        <v>0</v>
      </c>
      <c r="K14" s="69">
        <f>IF(OR(ISBLANK(G14),G14=0),0,F14/ROUND(G14,4))</f>
        <v>0</v>
      </c>
      <c r="L14" s="60">
        <f>ROUND(J14,2)*K14</f>
        <v>0</v>
      </c>
      <c r="M14" s="69">
        <f>K14*dagenperjaar1</f>
        <v>0</v>
      </c>
      <c r="N14" s="60">
        <f>M14*ROUND(J14,2)</f>
        <v>0</v>
      </c>
    </row>
    <row r="15" spans="1:14" x14ac:dyDescent="0.2">
      <c r="A15" s="56" t="s">
        <v>206</v>
      </c>
      <c r="B15" s="56" t="s">
        <v>9</v>
      </c>
      <c r="C15" s="56" t="s">
        <v>190</v>
      </c>
      <c r="D15" s="56" t="s">
        <v>207</v>
      </c>
      <c r="E15" s="69">
        <v>18.12</v>
      </c>
      <c r="F15" s="69">
        <f>E15*VLOOKUP(B15,dagsoorttabel1,2,FALSE)</f>
        <v>18.12</v>
      </c>
      <c r="G15" s="70">
        <f>IF(AND(catpn_1_RPHB_1&gt;0,catpn_1_RPHV_51&gt;0),(dagenperjaar1*VLOOKUP(B15,dagsoorttabel1,2,FALSE))/(((dagenperjaar1*VLOOKUP(B15,dagsoorttabel1,2,FALSE))-catfd_1_RPHV_51)/catpn_1_RPHB_1+catfd_1_RPHV_51/catpn_1_RPHV_51),0)</f>
        <v>0</v>
      </c>
      <c r="H15" s="71">
        <f>IF(AND(catpn_1_RPHB_1&gt;0,catpn_1_RPHV_51&gt;0),(catdw_1_RPHB_1*((dagenperjaar1*VLOOKUP(B15,dagsoorttabel1,2,FALSE))-catfd_1_RPHV_51)/catpn_1_RPHB_1+catdw_1_RPHV_51*catfd_1_RPHV_51/catpn_1_RPHV_51)/(((dagenperjaar1*VLOOKUP(B15,dagsoorttabel1,2,FALSE))-catfd_1_RPHV_51)/catpn_1_RPHB_1+catfd_1_RPHV_51/catpn_1_RPHV_51),0)</f>
        <v>0</v>
      </c>
      <c r="I15" s="56" t="s">
        <v>101</v>
      </c>
      <c r="J15" s="60">
        <f>IF(AND(catpn_1_RPHB_1&gt;0,catpn_1_RPHV_51&gt;0),(cattf_1_RPHB_1*((dagenperjaar1*VLOOKUP(B15,dagsoorttabel1,2,FALSE))-catfd_1_RPHV_51)/catpn_1_RPHB_1+cattf_1_RPHV_51*catfd_1_RPHV_51/catpn_1_RPHV_51)/(((dagenperjaar1*VLOOKUP(B15,dagsoorttabel1,2,FALSE))-catfd_1_RPHV_51)/catpn_1_RPHB_1+catfd_1_RPHV_51/catpn_1_RPHV_51),0)</f>
        <v>0</v>
      </c>
      <c r="K15" s="69">
        <f>IF(OR(ISBLANK(G15),G15=0),0,F15/ROUND(G15,4))</f>
        <v>0</v>
      </c>
      <c r="L15" s="60">
        <f>ROUND(J15,2)*K15</f>
        <v>0</v>
      </c>
      <c r="M15" s="69">
        <f>K15*dagenperjaar1</f>
        <v>0</v>
      </c>
      <c r="N15" s="60">
        <f>M15*ROUND(J15,2)</f>
        <v>0</v>
      </c>
    </row>
    <row r="16" spans="1:14" x14ac:dyDescent="0.2">
      <c r="A16" s="56" t="s">
        <v>208</v>
      </c>
      <c r="B16" s="56" t="s">
        <v>9</v>
      </c>
      <c r="C16" s="56" t="s">
        <v>190</v>
      </c>
      <c r="D16" s="56" t="s">
        <v>209</v>
      </c>
      <c r="E16" s="69">
        <v>105</v>
      </c>
      <c r="F16" s="69">
        <f>E16*VLOOKUP(B16,dagsoorttabel1,2,FALSE)</f>
        <v>105</v>
      </c>
      <c r="G16" s="70">
        <f>IF(AND(catpn_1_RRHB_1&gt;0,catpn_1_RRHV_51&gt;0),(dagenperjaar1*VLOOKUP(B16,dagsoorttabel1,2,FALSE))/(((dagenperjaar1*VLOOKUP(B16,dagsoorttabel1,2,FALSE))-catfd_1_RRHV_51)/catpn_1_RRHB_1+catfd_1_RRHV_51/catpn_1_RRHV_51),0)</f>
        <v>0</v>
      </c>
      <c r="H16" s="71">
        <f>IF(AND(catpn_1_RRHB_1&gt;0,catpn_1_RRHV_51&gt;0),(catdw_1_RRHB_1*((dagenperjaar1*VLOOKUP(B16,dagsoorttabel1,2,FALSE))-catfd_1_RRHV_51)/catpn_1_RRHB_1+catdw_1_RRHV_51*catfd_1_RRHV_51/catpn_1_RRHV_51)/(((dagenperjaar1*VLOOKUP(B16,dagsoorttabel1,2,FALSE))-catfd_1_RRHV_51)/catpn_1_RRHB_1+catfd_1_RRHV_51/catpn_1_RRHV_51),0)</f>
        <v>0</v>
      </c>
      <c r="I16" s="56" t="s">
        <v>101</v>
      </c>
      <c r="J16" s="60">
        <f>IF(AND(catpn_1_RRHB_1&gt;0,catpn_1_RRHV_51&gt;0),(cattf_1_RRHB_1*((dagenperjaar1*VLOOKUP(B16,dagsoorttabel1,2,FALSE))-catfd_1_RRHV_51)/catpn_1_RRHB_1+cattf_1_RRHV_51*catfd_1_RRHV_51/catpn_1_RRHV_51)/(((dagenperjaar1*VLOOKUP(B16,dagsoorttabel1,2,FALSE))-catfd_1_RRHV_51)/catpn_1_RRHB_1+catfd_1_RRHV_51/catpn_1_RRHV_51),0)</f>
        <v>0</v>
      </c>
      <c r="K16" s="69">
        <f>IF(OR(ISBLANK(G16),G16=0),0,F16/ROUND(G16,4))</f>
        <v>0</v>
      </c>
      <c r="L16" s="60">
        <f>ROUND(J16,2)*K16</f>
        <v>0</v>
      </c>
      <c r="M16" s="69">
        <f>K16*dagenperjaar1</f>
        <v>0</v>
      </c>
      <c r="N16" s="60">
        <f>M16*ROUND(J16,2)</f>
        <v>0</v>
      </c>
    </row>
    <row r="17" spans="1:14" x14ac:dyDescent="0.2">
      <c r="A17" s="56" t="s">
        <v>210</v>
      </c>
      <c r="B17" s="56" t="s">
        <v>9</v>
      </c>
      <c r="C17" s="56" t="s">
        <v>190</v>
      </c>
      <c r="D17" s="56" t="s">
        <v>211</v>
      </c>
      <c r="E17" s="69">
        <v>97.96</v>
      </c>
      <c r="F17" s="69">
        <f>E17*VLOOKUP(B17,dagsoorttabel1,2,FALSE)</f>
        <v>97.96</v>
      </c>
      <c r="G17" s="70">
        <f>IF(AND(catpn_1_SDHB_1&gt;0,catpn_1_SDHV_51&gt;0),(dagenperjaar1*VLOOKUP(B17,dagsoorttabel1,2,FALSE))/(((dagenperjaar1*VLOOKUP(B17,dagsoorttabel1,2,FALSE))-catfd_1_SDHV_51)/catpn_1_SDHB_1+catfd_1_SDHV_51/catpn_1_SDHV_51),0)</f>
        <v>0</v>
      </c>
      <c r="H17" s="71">
        <f>IF(AND(catpn_1_SDHB_1&gt;0,catpn_1_SDHV_51&gt;0),(catdw_1_SDHB_1*((dagenperjaar1*VLOOKUP(B17,dagsoorttabel1,2,FALSE))-catfd_1_SDHV_51)/catpn_1_SDHB_1+catdw_1_SDHV_51*catfd_1_SDHV_51/catpn_1_SDHV_51)/(((dagenperjaar1*VLOOKUP(B17,dagsoorttabel1,2,FALSE))-catfd_1_SDHV_51)/catpn_1_SDHB_1+catfd_1_SDHV_51/catpn_1_SDHV_51),0)</f>
        <v>0</v>
      </c>
      <c r="I17" s="56" t="s">
        <v>101</v>
      </c>
      <c r="J17" s="60">
        <f>IF(AND(catpn_1_SDHB_1&gt;0,catpn_1_SDHV_51&gt;0),(cattf_1_SDHB_1*((dagenperjaar1*VLOOKUP(B17,dagsoorttabel1,2,FALSE))-catfd_1_SDHV_51)/catpn_1_SDHB_1+cattf_1_SDHV_51*catfd_1_SDHV_51/catpn_1_SDHV_51)/(((dagenperjaar1*VLOOKUP(B17,dagsoorttabel1,2,FALSE))-catfd_1_SDHV_51)/catpn_1_SDHB_1+catfd_1_SDHV_51/catpn_1_SDHV_51),0)</f>
        <v>0</v>
      </c>
      <c r="K17" s="69">
        <f>IF(OR(ISBLANK(G17),G17=0),0,F17/ROUND(G17,4))</f>
        <v>0</v>
      </c>
      <c r="L17" s="60">
        <f>ROUND(J17,2)*K17</f>
        <v>0</v>
      </c>
      <c r="M17" s="69">
        <f>K17*dagenperjaar1</f>
        <v>0</v>
      </c>
      <c r="N17" s="60">
        <f>M17*ROUND(J17,2)</f>
        <v>0</v>
      </c>
    </row>
    <row r="18" spans="1:14" x14ac:dyDescent="0.2">
      <c r="A18" s="56" t="s">
        <v>212</v>
      </c>
      <c r="B18" s="56" t="s">
        <v>9</v>
      </c>
      <c r="C18" s="56" t="s">
        <v>190</v>
      </c>
      <c r="D18" s="56" t="s">
        <v>213</v>
      </c>
      <c r="E18" s="69">
        <v>18.63</v>
      </c>
      <c r="F18" s="69">
        <f>E18*VLOOKUP(B18,dagsoorttabel1,2,FALSE)</f>
        <v>18.63</v>
      </c>
      <c r="G18" s="70">
        <f>IF(AND(catpn_1_SKHB_1&gt;0,catpn_1_SKHV_51&gt;0),(dagenperjaar1*VLOOKUP(B18,dagsoorttabel1,2,FALSE))/(((dagenperjaar1*VLOOKUP(B18,dagsoorttabel1,2,FALSE))-catfd_1_SKHV_51)/catpn_1_SKHB_1+catfd_1_SKHV_51/catpn_1_SKHV_51),0)</f>
        <v>0</v>
      </c>
      <c r="H18" s="71">
        <f>IF(AND(catpn_1_SKHB_1&gt;0,catpn_1_SKHV_51&gt;0),(catdw_1_SKHB_1*((dagenperjaar1*VLOOKUP(B18,dagsoorttabel1,2,FALSE))-catfd_1_SKHV_51)/catpn_1_SKHB_1+catdw_1_SKHV_51*catfd_1_SKHV_51/catpn_1_SKHV_51)/(((dagenperjaar1*VLOOKUP(B18,dagsoorttabel1,2,FALSE))-catfd_1_SKHV_51)/catpn_1_SKHB_1+catfd_1_SKHV_51/catpn_1_SKHV_51),0)</f>
        <v>0</v>
      </c>
      <c r="I18" s="56" t="s">
        <v>101</v>
      </c>
      <c r="J18" s="60">
        <f>IF(AND(catpn_1_SKHB_1&gt;0,catpn_1_SKHV_51&gt;0),(cattf_1_SKHB_1*((dagenperjaar1*VLOOKUP(B18,dagsoorttabel1,2,FALSE))-catfd_1_SKHV_51)/catpn_1_SKHB_1+cattf_1_SKHV_51*catfd_1_SKHV_51/catpn_1_SKHV_51)/(((dagenperjaar1*VLOOKUP(B18,dagsoorttabel1,2,FALSE))-catfd_1_SKHV_51)/catpn_1_SKHB_1+catfd_1_SKHV_51/catpn_1_SKHV_51),0)</f>
        <v>0</v>
      </c>
      <c r="K18" s="69">
        <f>IF(OR(ISBLANK(G18),G18=0),0,F18/ROUND(G18,4))</f>
        <v>0</v>
      </c>
      <c r="L18" s="60">
        <f>ROUND(J18,2)*K18</f>
        <v>0</v>
      </c>
      <c r="M18" s="69">
        <f>K18*dagenperjaar1</f>
        <v>0</v>
      </c>
      <c r="N18" s="60">
        <f>M18*ROUND(J18,2)</f>
        <v>0</v>
      </c>
    </row>
    <row r="19" spans="1:14" x14ac:dyDescent="0.2">
      <c r="A19" s="56" t="s">
        <v>214</v>
      </c>
      <c r="B19" s="56" t="s">
        <v>9</v>
      </c>
      <c r="C19" s="56" t="s">
        <v>190</v>
      </c>
      <c r="D19" s="56" t="s">
        <v>215</v>
      </c>
      <c r="E19" s="69">
        <v>147.70000000000002</v>
      </c>
      <c r="F19" s="69">
        <f>E19*VLOOKUP(B19,dagsoorttabel1,2,FALSE)</f>
        <v>147.70000000000002</v>
      </c>
      <c r="G19" s="70">
        <f>IF(AND(catpn_1_STHB_1&gt;0,catpn_1_STHV_51&gt;0),(dagenperjaar1*VLOOKUP(B19,dagsoorttabel1,2,FALSE))/(((dagenperjaar1*VLOOKUP(B19,dagsoorttabel1,2,FALSE))-catfd_1_STHV_51)/catpn_1_STHB_1+catfd_1_STHV_51/catpn_1_STHV_51),0)</f>
        <v>0</v>
      </c>
      <c r="H19" s="71">
        <f>IF(AND(catpn_1_STHB_1&gt;0,catpn_1_STHV_51&gt;0),(catdw_1_STHB_1*((dagenperjaar1*VLOOKUP(B19,dagsoorttabel1,2,FALSE))-catfd_1_STHV_51)/catpn_1_STHB_1+catdw_1_STHV_51*catfd_1_STHV_51/catpn_1_STHV_51)/(((dagenperjaar1*VLOOKUP(B19,dagsoorttabel1,2,FALSE))-catfd_1_STHV_51)/catpn_1_STHB_1+catfd_1_STHV_51/catpn_1_STHV_51),0)</f>
        <v>0</v>
      </c>
      <c r="I19" s="56" t="s">
        <v>101</v>
      </c>
      <c r="J19" s="60">
        <f>IF(AND(catpn_1_STHB_1&gt;0,catpn_1_STHV_51&gt;0),(cattf_1_STHB_1*((dagenperjaar1*VLOOKUP(B19,dagsoorttabel1,2,FALSE))-catfd_1_STHV_51)/catpn_1_STHB_1+cattf_1_STHV_51*catfd_1_STHV_51/catpn_1_STHV_51)/(((dagenperjaar1*VLOOKUP(B19,dagsoorttabel1,2,FALSE))-catfd_1_STHV_51)/catpn_1_STHB_1+catfd_1_STHV_51/catpn_1_STHV_51),0)</f>
        <v>0</v>
      </c>
      <c r="K19" s="69">
        <f>IF(OR(ISBLANK(G19),G19=0),0,F19/ROUND(G19,4))</f>
        <v>0</v>
      </c>
      <c r="L19" s="60">
        <f>ROUND(J19,2)*K19</f>
        <v>0</v>
      </c>
      <c r="M19" s="69">
        <f>K19*dagenperjaar1</f>
        <v>0</v>
      </c>
      <c r="N19" s="60">
        <f>M19*ROUND(J19,2)</f>
        <v>0</v>
      </c>
    </row>
    <row r="20" spans="1:14" x14ac:dyDescent="0.2">
      <c r="A20" s="56" t="s">
        <v>216</v>
      </c>
      <c r="B20" s="56" t="s">
        <v>9</v>
      </c>
      <c r="C20" s="56" t="s">
        <v>190</v>
      </c>
      <c r="D20" s="56" t="s">
        <v>217</v>
      </c>
      <c r="E20" s="69">
        <v>649.91000000000008</v>
      </c>
      <c r="F20" s="69">
        <f>E20*VLOOKUP(B20,dagsoorttabel1,2,FALSE)</f>
        <v>649.91000000000008</v>
      </c>
      <c r="G20" s="70">
        <f>IF(AND(catpn_1_VAHB_1&gt;0,catpn_1_VAHV_51&gt;0),(dagenperjaar1*VLOOKUP(B20,dagsoorttabel1,2,FALSE))/(((dagenperjaar1*VLOOKUP(B20,dagsoorttabel1,2,FALSE))-catfd_1_VAHV_51)/catpn_1_VAHB_1+catfd_1_VAHV_51/catpn_1_VAHV_51),0)</f>
        <v>0</v>
      </c>
      <c r="H20" s="71">
        <f>IF(AND(catpn_1_VAHB_1&gt;0,catpn_1_VAHV_51&gt;0),(catdw_1_VAHB_1*((dagenperjaar1*VLOOKUP(B20,dagsoorttabel1,2,FALSE))-catfd_1_VAHV_51)/catpn_1_VAHB_1+catdw_1_VAHV_51*catfd_1_VAHV_51/catpn_1_VAHV_51)/(((dagenperjaar1*VLOOKUP(B20,dagsoorttabel1,2,FALSE))-catfd_1_VAHV_51)/catpn_1_VAHB_1+catfd_1_VAHV_51/catpn_1_VAHV_51),0)</f>
        <v>0</v>
      </c>
      <c r="I20" s="56" t="s">
        <v>101</v>
      </c>
      <c r="J20" s="60">
        <f>IF(AND(catpn_1_VAHB_1&gt;0,catpn_1_VAHV_51&gt;0),(cattf_1_VAHB_1*((dagenperjaar1*VLOOKUP(B20,dagsoorttabel1,2,FALSE))-catfd_1_VAHV_51)/catpn_1_VAHB_1+cattf_1_VAHV_51*catfd_1_VAHV_51/catpn_1_VAHV_51)/(((dagenperjaar1*VLOOKUP(B20,dagsoorttabel1,2,FALSE))-catfd_1_VAHV_51)/catpn_1_VAHB_1+catfd_1_VAHV_51/catpn_1_VAHV_51),0)</f>
        <v>0</v>
      </c>
      <c r="K20" s="69">
        <f>IF(OR(ISBLANK(G20),G20=0),0,F20/ROUND(G20,4))</f>
        <v>0</v>
      </c>
      <c r="L20" s="60">
        <f>ROUND(J20,2)*K20</f>
        <v>0</v>
      </c>
      <c r="M20" s="69">
        <f>K20*dagenperjaar1</f>
        <v>0</v>
      </c>
      <c r="N20" s="60">
        <f>M20*ROUND(J20,2)</f>
        <v>0</v>
      </c>
    </row>
    <row r="21" spans="1:14" x14ac:dyDescent="0.2">
      <c r="A21" s="56" t="s">
        <v>218</v>
      </c>
      <c r="B21" s="56" t="s">
        <v>9</v>
      </c>
      <c r="C21" s="56" t="s">
        <v>190</v>
      </c>
      <c r="D21" s="56" t="s">
        <v>219</v>
      </c>
      <c r="E21" s="69">
        <v>510.33000000000004</v>
      </c>
      <c r="F21" s="69">
        <f>E21*VLOOKUP(B21,dagsoorttabel1,2,FALSE)</f>
        <v>510.33000000000004</v>
      </c>
      <c r="G21" s="70">
        <f>IF(AND(catpn_1_VAZB_1&gt;0,catpn_1_VAZV_51&gt;0),(dagenperjaar1*VLOOKUP(B21,dagsoorttabel1,2,FALSE))/(((dagenperjaar1*VLOOKUP(B21,dagsoorttabel1,2,FALSE))-catfd_1_VAZV_51)/catpn_1_VAZB_1+catfd_1_VAZV_51/catpn_1_VAZV_51),0)</f>
        <v>0</v>
      </c>
      <c r="H21" s="71">
        <f>IF(AND(catpn_1_VAZB_1&gt;0,catpn_1_VAZV_51&gt;0),(catdw_1_VAZB_1*((dagenperjaar1*VLOOKUP(B21,dagsoorttabel1,2,FALSE))-catfd_1_VAZV_51)/catpn_1_VAZB_1+catdw_1_VAZV_51*catfd_1_VAZV_51/catpn_1_VAZV_51)/(((dagenperjaar1*VLOOKUP(B21,dagsoorttabel1,2,FALSE))-catfd_1_VAZV_51)/catpn_1_VAZB_1+catfd_1_VAZV_51/catpn_1_VAZV_51),0)</f>
        <v>0</v>
      </c>
      <c r="I21" s="56" t="s">
        <v>101</v>
      </c>
      <c r="J21" s="60">
        <f>IF(AND(catpn_1_VAZB_1&gt;0,catpn_1_VAZV_51&gt;0),(cattf_1_VAZB_1*((dagenperjaar1*VLOOKUP(B21,dagsoorttabel1,2,FALSE))-catfd_1_VAZV_51)/catpn_1_VAZB_1+cattf_1_VAZV_51*catfd_1_VAZV_51/catpn_1_VAZV_51)/(((dagenperjaar1*VLOOKUP(B21,dagsoorttabel1,2,FALSE))-catfd_1_VAZV_51)/catpn_1_VAZB_1+catfd_1_VAZV_51/catpn_1_VAZV_51),0)</f>
        <v>0</v>
      </c>
      <c r="K21" s="69">
        <f>IF(OR(ISBLANK(G21),G21=0),0,F21/ROUND(G21,4))</f>
        <v>0</v>
      </c>
      <c r="L21" s="60">
        <f>ROUND(J21,2)*K21</f>
        <v>0</v>
      </c>
      <c r="M21" s="69">
        <f>K21*dagenperjaar1</f>
        <v>0</v>
      </c>
      <c r="N21" s="60">
        <f>M21*ROUND(J21,2)</f>
        <v>0</v>
      </c>
    </row>
    <row r="22" spans="1:14" x14ac:dyDescent="0.2">
      <c r="A22" s="56" t="s">
        <v>220</v>
      </c>
      <c r="B22" s="56" t="s">
        <v>9</v>
      </c>
      <c r="C22" s="56" t="s">
        <v>190</v>
      </c>
      <c r="D22" s="56" t="s">
        <v>221</v>
      </c>
      <c r="E22" s="69">
        <v>483.30999999999995</v>
      </c>
      <c r="F22" s="69">
        <f>E22*VLOOKUP(B22,dagsoorttabel1,2,FALSE)</f>
        <v>483.30999999999995</v>
      </c>
      <c r="G22" s="70">
        <f>IF(AND(catpn_1_VEHB_1&gt;0,catpn_1_VEHV_51&gt;0),(dagenperjaar1*VLOOKUP(B22,dagsoorttabel1,2,FALSE))/(((dagenperjaar1*VLOOKUP(B22,dagsoorttabel1,2,FALSE))-catfd_1_VEHV_51)/catpn_1_VEHB_1+catfd_1_VEHV_51/catpn_1_VEHV_51),0)</f>
        <v>0</v>
      </c>
      <c r="H22" s="71">
        <f>IF(AND(catpn_1_VEHB_1&gt;0,catpn_1_VEHV_51&gt;0),(catdw_1_VEHB_1*((dagenperjaar1*VLOOKUP(B22,dagsoorttabel1,2,FALSE))-catfd_1_VEHV_51)/catpn_1_VEHB_1+catdw_1_VEHV_51*catfd_1_VEHV_51/catpn_1_VEHV_51)/(((dagenperjaar1*VLOOKUP(B22,dagsoorttabel1,2,FALSE))-catfd_1_VEHV_51)/catpn_1_VEHB_1+catfd_1_VEHV_51/catpn_1_VEHV_51),0)</f>
        <v>0</v>
      </c>
      <c r="I22" s="56" t="s">
        <v>101</v>
      </c>
      <c r="J22" s="60">
        <f>IF(AND(catpn_1_VEHB_1&gt;0,catpn_1_VEHV_51&gt;0),(cattf_1_VEHB_1*((dagenperjaar1*VLOOKUP(B22,dagsoorttabel1,2,FALSE))-catfd_1_VEHV_51)/catpn_1_VEHB_1+cattf_1_VEHV_51*catfd_1_VEHV_51/catpn_1_VEHV_51)/(((dagenperjaar1*VLOOKUP(B22,dagsoorttabel1,2,FALSE))-catfd_1_VEHV_51)/catpn_1_VEHB_1+catfd_1_VEHV_51/catpn_1_VEHV_51),0)</f>
        <v>0</v>
      </c>
      <c r="K22" s="69">
        <f>IF(OR(ISBLANK(G22),G22=0),0,F22/ROUND(G22,4))</f>
        <v>0</v>
      </c>
      <c r="L22" s="60">
        <f>ROUND(J22,2)*K22</f>
        <v>0</v>
      </c>
      <c r="M22" s="69">
        <f>K22*dagenperjaar1</f>
        <v>0</v>
      </c>
      <c r="N22" s="60">
        <f>M22*ROUND(J22,2)</f>
        <v>0</v>
      </c>
    </row>
    <row r="23" spans="1:14" x14ac:dyDescent="0.2">
      <c r="A23" s="56" t="s">
        <v>222</v>
      </c>
      <c r="B23" s="56" t="s">
        <v>9</v>
      </c>
      <c r="C23" s="56" t="s">
        <v>190</v>
      </c>
      <c r="D23" s="56" t="s">
        <v>223</v>
      </c>
      <c r="E23" s="69">
        <v>142.12</v>
      </c>
      <c r="F23" s="69">
        <f>E23*VLOOKUP(B23,dagsoorttabel1,2,FALSE)</f>
        <v>142.12</v>
      </c>
      <c r="G23" s="70">
        <f>IF(AND(catpn_1_VEZB_1&gt;0,catpn_1_VEZV_51&gt;0),(dagenperjaar1*VLOOKUP(B23,dagsoorttabel1,2,FALSE))/(((dagenperjaar1*VLOOKUP(B23,dagsoorttabel1,2,FALSE))-catfd_1_VEZV_51)/catpn_1_VEZB_1+catfd_1_VEZV_51/catpn_1_VEZV_51),0)</f>
        <v>0</v>
      </c>
      <c r="H23" s="71">
        <f>IF(AND(catpn_1_VEZB_1&gt;0,catpn_1_VEZV_51&gt;0),(catdw_1_VEZB_1*((dagenperjaar1*VLOOKUP(B23,dagsoorttabel1,2,FALSE))-catfd_1_VEZV_51)/catpn_1_VEZB_1+catdw_1_VEZV_51*catfd_1_VEZV_51/catpn_1_VEZV_51)/(((dagenperjaar1*VLOOKUP(B23,dagsoorttabel1,2,FALSE))-catfd_1_VEZV_51)/catpn_1_VEZB_1+catfd_1_VEZV_51/catpn_1_VEZV_51),0)</f>
        <v>0</v>
      </c>
      <c r="I23" s="56" t="s">
        <v>101</v>
      </c>
      <c r="J23" s="60">
        <f>IF(AND(catpn_1_VEZB_1&gt;0,catpn_1_VEZV_51&gt;0),(cattf_1_VEZB_1*((dagenperjaar1*VLOOKUP(B23,dagsoorttabel1,2,FALSE))-catfd_1_VEZV_51)/catpn_1_VEZB_1+cattf_1_VEZV_51*catfd_1_VEZV_51/catpn_1_VEZV_51)/(((dagenperjaar1*VLOOKUP(B23,dagsoorttabel1,2,FALSE))-catfd_1_VEZV_51)/catpn_1_VEZB_1+catfd_1_VEZV_51/catpn_1_VEZV_51),0)</f>
        <v>0</v>
      </c>
      <c r="K23" s="69">
        <f>IF(OR(ISBLANK(G23),G23=0),0,F23/ROUND(G23,4))</f>
        <v>0</v>
      </c>
      <c r="L23" s="60">
        <f>ROUND(J23,2)*K23</f>
        <v>0</v>
      </c>
      <c r="M23" s="69">
        <f>K23*dagenperjaar1</f>
        <v>0</v>
      </c>
      <c r="N23" s="60">
        <f>M23*ROUND(J23,2)</f>
        <v>0</v>
      </c>
    </row>
    <row r="24" spans="1:14" x14ac:dyDescent="0.2">
      <c r="A24" s="56" t="s">
        <v>224</v>
      </c>
      <c r="B24" s="56" t="s">
        <v>9</v>
      </c>
      <c r="C24" s="56" t="s">
        <v>190</v>
      </c>
      <c r="D24" s="56" t="s">
        <v>225</v>
      </c>
      <c r="E24" s="69">
        <v>6.3</v>
      </c>
      <c r="F24" s="69">
        <f>E24*VLOOKUP(B24,dagsoorttabel1,2,FALSE)</f>
        <v>6.3</v>
      </c>
      <c r="G24" s="70">
        <f>IF(AND(catpn_1_VLHB_1&gt;0,catpn_1_VLHV_51&gt;0),(dagenperjaar1*VLOOKUP(B24,dagsoorttabel1,2,FALSE))/(((dagenperjaar1*VLOOKUP(B24,dagsoorttabel1,2,FALSE))-catfd_1_VLHV_51)/catpn_1_VLHB_1+catfd_1_VLHV_51/catpn_1_VLHV_51),0)</f>
        <v>0</v>
      </c>
      <c r="H24" s="71">
        <f>IF(AND(catpn_1_VLHB_1&gt;0,catpn_1_VLHV_51&gt;0),(catdw_1_VLHB_1*((dagenperjaar1*VLOOKUP(B24,dagsoorttabel1,2,FALSE))-catfd_1_VLHV_51)/catpn_1_VLHB_1+catdw_1_VLHV_51*catfd_1_VLHV_51/catpn_1_VLHV_51)/(((dagenperjaar1*VLOOKUP(B24,dagsoorttabel1,2,FALSE))-catfd_1_VLHV_51)/catpn_1_VLHB_1+catfd_1_VLHV_51/catpn_1_VLHV_51),0)</f>
        <v>0</v>
      </c>
      <c r="I24" s="56" t="s">
        <v>101</v>
      </c>
      <c r="J24" s="60">
        <f>IF(AND(catpn_1_VLHB_1&gt;0,catpn_1_VLHV_51&gt;0),(cattf_1_VLHB_1*((dagenperjaar1*VLOOKUP(B24,dagsoorttabel1,2,FALSE))-catfd_1_VLHV_51)/catpn_1_VLHB_1+cattf_1_VLHV_51*catfd_1_VLHV_51/catpn_1_VLHV_51)/(((dagenperjaar1*VLOOKUP(B24,dagsoorttabel1,2,FALSE))-catfd_1_VLHV_51)/catpn_1_VLHB_1+catfd_1_VLHV_51/catpn_1_VLHV_51),0)</f>
        <v>0</v>
      </c>
      <c r="K24" s="69">
        <f>IF(OR(ISBLANK(G24),G24=0),0,F24/ROUND(G24,4))</f>
        <v>0</v>
      </c>
      <c r="L24" s="60">
        <f>ROUND(J24,2)*K24</f>
        <v>0</v>
      </c>
      <c r="M24" s="69">
        <f>K24*dagenperjaar1</f>
        <v>0</v>
      </c>
      <c r="N24" s="60">
        <f>M24*ROUND(J24,2)</f>
        <v>0</v>
      </c>
    </row>
    <row r="25" spans="1:14" x14ac:dyDescent="0.2">
      <c r="A25" s="56" t="s">
        <v>226</v>
      </c>
      <c r="B25" s="56" t="s">
        <v>9</v>
      </c>
      <c r="C25" s="56" t="s">
        <v>190</v>
      </c>
      <c r="D25" s="56" t="s">
        <v>227</v>
      </c>
      <c r="E25" s="69">
        <v>22.2</v>
      </c>
      <c r="F25" s="69">
        <f>E25*VLOOKUP(B25,dagsoorttabel1,2,FALSE)</f>
        <v>22.2</v>
      </c>
      <c r="G25" s="70">
        <f>IF(AND(catpn_1_VOHB_1&gt;0,catpn_1_VOHV_51&gt;0),(dagenperjaar1*VLOOKUP(B25,dagsoorttabel1,2,FALSE))/(((dagenperjaar1*VLOOKUP(B25,dagsoorttabel1,2,FALSE))-catfd_1_VOHV_51)/catpn_1_VOHB_1+catfd_1_VOHV_51/catpn_1_VOHV_51),0)</f>
        <v>0</v>
      </c>
      <c r="H25" s="71">
        <f>IF(AND(catpn_1_VOHB_1&gt;0,catpn_1_VOHV_51&gt;0),(catdw_1_VOHB_1*((dagenperjaar1*VLOOKUP(B25,dagsoorttabel1,2,FALSE))-catfd_1_VOHV_51)/catpn_1_VOHB_1+catdw_1_VOHV_51*catfd_1_VOHV_51/catpn_1_VOHV_51)/(((dagenperjaar1*VLOOKUP(B25,dagsoorttabel1,2,FALSE))-catfd_1_VOHV_51)/catpn_1_VOHB_1+catfd_1_VOHV_51/catpn_1_VOHV_51),0)</f>
        <v>0</v>
      </c>
      <c r="I25" s="56" t="s">
        <v>101</v>
      </c>
      <c r="J25" s="60">
        <f>IF(AND(catpn_1_VOHB_1&gt;0,catpn_1_VOHV_51&gt;0),(cattf_1_VOHB_1*((dagenperjaar1*VLOOKUP(B25,dagsoorttabel1,2,FALSE))-catfd_1_VOHV_51)/catpn_1_VOHB_1+cattf_1_VOHV_51*catfd_1_VOHV_51/catpn_1_VOHV_51)/(((dagenperjaar1*VLOOKUP(B25,dagsoorttabel1,2,FALSE))-catfd_1_VOHV_51)/catpn_1_VOHB_1+catfd_1_VOHV_51/catpn_1_VOHV_51),0)</f>
        <v>0</v>
      </c>
      <c r="K25" s="69">
        <f>IF(OR(ISBLANK(G25),G25=0),0,F25/ROUND(G25,4))</f>
        <v>0</v>
      </c>
      <c r="L25" s="60">
        <f>ROUND(J25,2)*K25</f>
        <v>0</v>
      </c>
      <c r="M25" s="69">
        <f>K25*dagenperjaar1</f>
        <v>0</v>
      </c>
      <c r="N25" s="60">
        <f>M25*ROUND(J25,2)</f>
        <v>0</v>
      </c>
    </row>
    <row r="26" spans="1:14" x14ac:dyDescent="0.2">
      <c r="A26" s="61" t="s">
        <v>228</v>
      </c>
      <c r="B26" s="61" t="s">
        <v>9</v>
      </c>
      <c r="C26" s="61" t="s">
        <v>190</v>
      </c>
      <c r="D26" s="61" t="s">
        <v>229</v>
      </c>
      <c r="E26" s="72">
        <v>142.85</v>
      </c>
      <c r="F26" s="72">
        <f>E26*VLOOKUP(B26,dagsoorttabel1,2,FALSE)</f>
        <v>142.85</v>
      </c>
      <c r="G26" s="73">
        <f>IF(AND(catpn_1_VTHB_1&gt;0,catpn_1_VTHV_51&gt;0),(dagenperjaar1*VLOOKUP(B26,dagsoorttabel1,2,FALSE))/(((dagenperjaar1*VLOOKUP(B26,dagsoorttabel1,2,FALSE))-catfd_1_VTHV_51)/catpn_1_VTHB_1+catfd_1_VTHV_51/catpn_1_VTHV_51),0)</f>
        <v>0</v>
      </c>
      <c r="H26" s="74">
        <f>IF(AND(catpn_1_VTHB_1&gt;0,catpn_1_VTHV_51&gt;0),(catdw_1_VTHB_1*((dagenperjaar1*VLOOKUP(B26,dagsoorttabel1,2,FALSE))-catfd_1_VTHV_51)/catpn_1_VTHB_1+catdw_1_VTHV_51*catfd_1_VTHV_51/catpn_1_VTHV_51)/(((dagenperjaar1*VLOOKUP(B26,dagsoorttabel1,2,FALSE))-catfd_1_VTHV_51)/catpn_1_VTHB_1+catfd_1_VTHV_51/catpn_1_VTHV_51),0)</f>
        <v>0</v>
      </c>
      <c r="I26" s="61" t="s">
        <v>101</v>
      </c>
      <c r="J26" s="65">
        <f>IF(AND(catpn_1_VTHB_1&gt;0,catpn_1_VTHV_51&gt;0),(cattf_1_VTHB_1*((dagenperjaar1*VLOOKUP(B26,dagsoorttabel1,2,FALSE))-catfd_1_VTHV_51)/catpn_1_VTHB_1+cattf_1_VTHV_51*catfd_1_VTHV_51/catpn_1_VTHV_51)/(((dagenperjaar1*VLOOKUP(B26,dagsoorttabel1,2,FALSE))-catfd_1_VTHV_51)/catpn_1_VTHB_1+catfd_1_VTHV_51/catpn_1_VTHV_51),0)</f>
        <v>0</v>
      </c>
      <c r="K26" s="72">
        <f>IF(OR(ISBLANK(G26),G26=0),0,F26/ROUND(G26,4))</f>
        <v>0</v>
      </c>
      <c r="L26" s="65">
        <f>ROUND(J26,2)*K26</f>
        <v>0</v>
      </c>
      <c r="M26" s="72">
        <f>K26*dagenperjaar1</f>
        <v>0</v>
      </c>
      <c r="N26" s="65">
        <f>M26*ROUND(J26,2)</f>
        <v>0</v>
      </c>
    </row>
    <row r="27" spans="1:14" x14ac:dyDescent="0.2">
      <c r="A27" s="76" t="s">
        <v>230</v>
      </c>
      <c r="B27" s="77"/>
      <c r="C27" s="77"/>
      <c r="D27" s="77"/>
      <c r="E27" s="77"/>
      <c r="F27" s="77"/>
      <c r="G27" s="77"/>
      <c r="H27" s="77"/>
      <c r="I27" s="77"/>
      <c r="J27" s="77"/>
      <c r="K27" s="78">
        <f>SUM(K6:K26)</f>
        <v>0</v>
      </c>
      <c r="L27" s="79">
        <f>SUM(L6:L26)</f>
        <v>0</v>
      </c>
      <c r="M27" s="78">
        <f>SUM(M6:M26)</f>
        <v>0</v>
      </c>
      <c r="N27" s="80">
        <f>SUM(N6:N26)</f>
        <v>0</v>
      </c>
    </row>
    <row r="28" spans="1:14" x14ac:dyDescent="0.2">
      <c r="A28" s="81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82"/>
    </row>
    <row r="29" spans="1:14" x14ac:dyDescent="0.2">
      <c r="A29" s="76" t="s">
        <v>231</v>
      </c>
      <c r="B29" s="77"/>
      <c r="C29" s="77"/>
      <c r="D29" s="77"/>
      <c r="E29" s="77"/>
      <c r="F29" s="77"/>
      <c r="G29" s="77"/>
      <c r="H29" s="77"/>
      <c r="I29" s="77"/>
      <c r="J29" s="79">
        <f>IF(urenjaar1&gt;0,SUMIF(M6:M26,"&gt;0",N6:N26)/urenjaar1,0)</f>
        <v>0</v>
      </c>
      <c r="K29" s="77"/>
      <c r="L29" s="77"/>
      <c r="M29" s="77"/>
      <c r="N29" s="82"/>
    </row>
    <row r="30" spans="1:14" x14ac:dyDescent="0.2">
      <c r="A30" s="81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82"/>
    </row>
    <row r="32" spans="1:14" x14ac:dyDescent="0.2">
      <c r="A32" s="76" t="s">
        <v>232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8">
        <f>urenjaar1</f>
        <v>0</v>
      </c>
      <c r="N32" s="79">
        <f>prijsjaar1</f>
        <v>0</v>
      </c>
    </row>
  </sheetData>
  <sheetProtection algorithmName="SHA-512" hashValue="HYyN04B01ZkfxQjaFeZ7rAf0hIw37X3QoDLNew2T5WbEFgfZWcM63PksgmTWxy+hAw9oTKCuxWfjlzcIBe5lmg==" saltValue="v9wR2PIPT9gi4+3TBK1B8g==" spinCount="100000" sheet="1" objects="1" scenarios="1" autoFilter="0"/>
  <pageMargins left="0.7" right="0.7" top="0.75" bottom="0.75" header="0.3" footer="0.3"/>
  <pageSetup paperSize="9" scale="70" orientation="landscape" horizontalDpi="4294967295" verticalDpi="4294967295" r:id="rId1"/>
  <headerFooter>
    <oddFooter>&amp;LGemeente Montferland EA 2026                                &amp;ROpmaakdatum: 16-09-2026
Intexso - Plantageweg 23E - Leusden
+31 (33) 2778485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A7D4E-0C03-4F14-92CF-BA7BAE1B37E3}">
  <dimension ref="A1:U302"/>
  <sheetViews>
    <sheetView tabSelected="1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G15" sqref="G15"/>
    </sheetView>
  </sheetViews>
  <sheetFormatPr defaultRowHeight="12.75" x14ac:dyDescent="0.2"/>
  <cols>
    <col min="1" max="1" width="8.625" customWidth="1"/>
    <col min="2" max="3" width="7.625" customWidth="1"/>
    <col min="4" max="4" width="10.625" customWidth="1"/>
    <col min="5" max="5" width="25.625" customWidth="1"/>
    <col min="6" max="6" width="11.625" customWidth="1"/>
    <col min="7" max="7" width="7.625" customWidth="1"/>
    <col min="8" max="8" width="6.625" customWidth="1"/>
    <col min="9" max="9" width="8.625" customWidth="1"/>
    <col min="10" max="10" width="40.625" customWidth="1"/>
    <col min="11" max="12" width="10.625" customWidth="1"/>
    <col min="13" max="14" width="11.625" customWidth="1"/>
    <col min="15" max="15" width="9.625" customWidth="1"/>
    <col min="16" max="19" width="11.625" customWidth="1"/>
    <col min="20" max="20" width="12.625" customWidth="1"/>
    <col min="21" max="21" width="14.625" customWidth="1"/>
  </cols>
  <sheetData>
    <row r="1" spans="1:21" x14ac:dyDescent="0.2">
      <c r="A1" s="1" t="str">
        <f>CONCATENATE("Bijlage D.3: ",tabeltype," ruimten werkdag")</f>
        <v>Bijlage D.3: Invultabel ruimten werkdag</v>
      </c>
    </row>
    <row r="3" spans="1:21" ht="38.25" x14ac:dyDescent="0.2">
      <c r="A3" s="83" t="s">
        <v>233</v>
      </c>
      <c r="B3" s="44" t="s">
        <v>234</v>
      </c>
      <c r="C3" s="44" t="s">
        <v>235</v>
      </c>
      <c r="D3" s="44" t="s">
        <v>236</v>
      </c>
      <c r="E3" s="44" t="s">
        <v>237</v>
      </c>
      <c r="F3" s="44" t="s">
        <v>238</v>
      </c>
      <c r="G3" s="44" t="s">
        <v>181</v>
      </c>
      <c r="H3" s="44" t="s">
        <v>7</v>
      </c>
      <c r="I3" s="44" t="s">
        <v>239</v>
      </c>
      <c r="J3" s="44" t="s">
        <v>240</v>
      </c>
      <c r="K3" s="44" t="s">
        <v>183</v>
      </c>
      <c r="L3" s="44" t="s">
        <v>184</v>
      </c>
      <c r="M3" s="44" t="s">
        <v>93</v>
      </c>
      <c r="N3" s="44" t="s">
        <v>94</v>
      </c>
      <c r="O3" s="44" t="s">
        <v>95</v>
      </c>
      <c r="P3" s="44" t="s">
        <v>96</v>
      </c>
      <c r="Q3" s="44" t="s">
        <v>185</v>
      </c>
      <c r="R3" s="44" t="s">
        <v>241</v>
      </c>
      <c r="S3" s="44" t="s">
        <v>186</v>
      </c>
      <c r="T3" s="44" t="s">
        <v>187</v>
      </c>
      <c r="U3" s="84" t="s">
        <v>188</v>
      </c>
    </row>
    <row r="4" spans="1:21" x14ac:dyDescent="0.2">
      <c r="A4" s="85" t="s">
        <v>242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75"/>
    </row>
    <row r="5" spans="1:21" x14ac:dyDescent="0.2">
      <c r="A5" s="86" t="s">
        <v>243</v>
      </c>
      <c r="B5" s="87" t="s">
        <v>35</v>
      </c>
      <c r="C5" s="87" t="s">
        <v>244</v>
      </c>
      <c r="D5" s="87" t="s">
        <v>245</v>
      </c>
      <c r="E5" s="88" t="s">
        <v>246</v>
      </c>
      <c r="F5" s="87" t="s">
        <v>247</v>
      </c>
      <c r="G5" s="87" t="s">
        <v>222</v>
      </c>
      <c r="H5" s="87" t="s">
        <v>9</v>
      </c>
      <c r="I5" s="87" t="s">
        <v>190</v>
      </c>
      <c r="J5" s="88" t="s">
        <v>223</v>
      </c>
      <c r="K5" s="89">
        <v>20.16</v>
      </c>
      <c r="L5" s="89">
        <f>K5*VLOOKUP(H5,dagsoorttabel1,2,FALSE)</f>
        <v>20.16</v>
      </c>
      <c r="M5" s="90">
        <f>prodnorm28</f>
        <v>0</v>
      </c>
      <c r="N5" s="91">
        <f>dagwerk28</f>
        <v>0</v>
      </c>
      <c r="O5" s="87" t="s">
        <v>101</v>
      </c>
      <c r="P5" s="92">
        <f>uurtarief28</f>
        <v>0</v>
      </c>
      <c r="Q5" s="89" t="e">
        <f>IF(ISBLANK(M5),0,L5/ROUND(M5,4))</f>
        <v>#DIV/0!</v>
      </c>
      <c r="R5" s="89" t="e">
        <f>IF(ISBLANK(M5),0,Q5*ROUND(N5,2))</f>
        <v>#DIV/0!</v>
      </c>
      <c r="S5" s="92" t="e">
        <f>ROUND(P5,2)*Q5</f>
        <v>#DIV/0!</v>
      </c>
      <c r="T5" s="89" t="e">
        <f>Q5*dagenperjaar1</f>
        <v>#DIV/0!</v>
      </c>
      <c r="U5" s="93" t="e">
        <f>T5*ROUND(P5,2)</f>
        <v>#DIV/0!</v>
      </c>
    </row>
    <row r="6" spans="1:21" x14ac:dyDescent="0.2">
      <c r="A6" s="94" t="s">
        <v>243</v>
      </c>
      <c r="B6" s="95" t="s">
        <v>35</v>
      </c>
      <c r="C6" s="95" t="s">
        <v>244</v>
      </c>
      <c r="D6" s="95" t="s">
        <v>248</v>
      </c>
      <c r="E6" s="96" t="s">
        <v>249</v>
      </c>
      <c r="F6" s="95" t="s">
        <v>250</v>
      </c>
      <c r="G6" s="95" t="s">
        <v>222</v>
      </c>
      <c r="H6" s="95" t="s">
        <v>9</v>
      </c>
      <c r="I6" s="95" t="s">
        <v>190</v>
      </c>
      <c r="J6" s="96" t="s">
        <v>223</v>
      </c>
      <c r="K6" s="97">
        <v>104.1</v>
      </c>
      <c r="L6" s="97">
        <f>K6*VLOOKUP(H6,dagsoorttabel1,2,FALSE)</f>
        <v>104.1</v>
      </c>
      <c r="M6" s="98">
        <f>prodnorm28</f>
        <v>0</v>
      </c>
      <c r="N6" s="41">
        <f>dagwerk28</f>
        <v>0</v>
      </c>
      <c r="O6" s="95" t="s">
        <v>101</v>
      </c>
      <c r="P6" s="26">
        <f>uurtarief28</f>
        <v>0</v>
      </c>
      <c r="Q6" s="97" t="e">
        <f>IF(ISBLANK(M6),0,L6/ROUND(M6,4))</f>
        <v>#DIV/0!</v>
      </c>
      <c r="R6" s="97" t="e">
        <f>IF(ISBLANK(M6),0,Q6*ROUND(N6,2))</f>
        <v>#DIV/0!</v>
      </c>
      <c r="S6" s="26" t="e">
        <f>ROUND(P6,2)*Q6</f>
        <v>#DIV/0!</v>
      </c>
      <c r="T6" s="97" t="e">
        <f>Q6*dagenperjaar1</f>
        <v>#DIV/0!</v>
      </c>
      <c r="U6" s="27" t="e">
        <f>T6*ROUND(P6,2)</f>
        <v>#DIV/0!</v>
      </c>
    </row>
    <row r="7" spans="1:21" ht="25.5" x14ac:dyDescent="0.2">
      <c r="A7" s="94" t="s">
        <v>243</v>
      </c>
      <c r="B7" s="95" t="s">
        <v>35</v>
      </c>
      <c r="C7" s="95" t="s">
        <v>244</v>
      </c>
      <c r="D7" s="95" t="s">
        <v>251</v>
      </c>
      <c r="E7" s="96" t="s">
        <v>252</v>
      </c>
      <c r="F7" s="95" t="s">
        <v>253</v>
      </c>
      <c r="G7" s="95" t="s">
        <v>196</v>
      </c>
      <c r="H7" s="95" t="s">
        <v>9</v>
      </c>
      <c r="I7" s="95" t="s">
        <v>190</v>
      </c>
      <c r="J7" s="96" t="s">
        <v>197</v>
      </c>
      <c r="K7" s="97">
        <v>307.11</v>
      </c>
      <c r="L7" s="97">
        <f>K7*VLOOKUP(H7,dagsoorttabel1,2,FALSE)</f>
        <v>307.11</v>
      </c>
      <c r="M7" s="98">
        <f>prodnorm15</f>
        <v>0</v>
      </c>
      <c r="N7" s="41">
        <f>dagwerk15</f>
        <v>0</v>
      </c>
      <c r="O7" s="95" t="s">
        <v>101</v>
      </c>
      <c r="P7" s="26">
        <f>uurtarief15</f>
        <v>0</v>
      </c>
      <c r="Q7" s="97" t="e">
        <f>IF(ISBLANK(M7),0,L7/ROUND(M7,4))</f>
        <v>#DIV/0!</v>
      </c>
      <c r="R7" s="97" t="e">
        <f>IF(ISBLANK(M7),0,Q7*ROUND(N7,2))</f>
        <v>#DIV/0!</v>
      </c>
      <c r="S7" s="26" t="e">
        <f>ROUND(P7,2)*Q7</f>
        <v>#DIV/0!</v>
      </c>
      <c r="T7" s="97" t="e">
        <f>Q7*dagenperjaar1</f>
        <v>#DIV/0!</v>
      </c>
      <c r="U7" s="27" t="e">
        <f>T7*ROUND(P7,2)</f>
        <v>#DIV/0!</v>
      </c>
    </row>
    <row r="8" spans="1:21" ht="25.5" x14ac:dyDescent="0.2">
      <c r="A8" s="94" t="s">
        <v>243</v>
      </c>
      <c r="B8" s="95" t="s">
        <v>35</v>
      </c>
      <c r="C8" s="95" t="s">
        <v>244</v>
      </c>
      <c r="D8" s="95" t="s">
        <v>254</v>
      </c>
      <c r="E8" s="96" t="s">
        <v>255</v>
      </c>
      <c r="F8" s="95" t="s">
        <v>253</v>
      </c>
      <c r="G8" s="95" t="s">
        <v>196</v>
      </c>
      <c r="H8" s="95" t="s">
        <v>9</v>
      </c>
      <c r="I8" s="95" t="s">
        <v>190</v>
      </c>
      <c r="J8" s="96" t="s">
        <v>197</v>
      </c>
      <c r="K8" s="97">
        <v>21.2</v>
      </c>
      <c r="L8" s="97">
        <f>K8*VLOOKUP(H8,dagsoorttabel1,2,FALSE)</f>
        <v>21.2</v>
      </c>
      <c r="M8" s="98">
        <f>prodnorm15</f>
        <v>0</v>
      </c>
      <c r="N8" s="41">
        <f>dagwerk15</f>
        <v>0</v>
      </c>
      <c r="O8" s="95" t="s">
        <v>101</v>
      </c>
      <c r="P8" s="26">
        <f>uurtarief15</f>
        <v>0</v>
      </c>
      <c r="Q8" s="97" t="e">
        <f>IF(ISBLANK(M8),0,L8/ROUND(M8,4))</f>
        <v>#DIV/0!</v>
      </c>
      <c r="R8" s="97" t="e">
        <f>IF(ISBLANK(M8),0,Q8*ROUND(N8,2))</f>
        <v>#DIV/0!</v>
      </c>
      <c r="S8" s="26" t="e">
        <f>ROUND(P8,2)*Q8</f>
        <v>#DIV/0!</v>
      </c>
      <c r="T8" s="97" t="e">
        <f>Q8*dagenperjaar1</f>
        <v>#DIV/0!</v>
      </c>
      <c r="U8" s="27" t="e">
        <f>T8*ROUND(P8,2)</f>
        <v>#DIV/0!</v>
      </c>
    </row>
    <row r="9" spans="1:21" x14ac:dyDescent="0.2">
      <c r="A9" s="94" t="s">
        <v>243</v>
      </c>
      <c r="B9" s="95" t="s">
        <v>35</v>
      </c>
      <c r="C9" s="95" t="s">
        <v>244</v>
      </c>
      <c r="D9" s="95" t="s">
        <v>256</v>
      </c>
      <c r="E9" s="96" t="s">
        <v>257</v>
      </c>
      <c r="F9" s="95" t="s">
        <v>258</v>
      </c>
      <c r="G9" s="95" t="s">
        <v>220</v>
      </c>
      <c r="H9" s="95" t="s">
        <v>9</v>
      </c>
      <c r="I9" s="95" t="s">
        <v>190</v>
      </c>
      <c r="J9" s="96" t="s">
        <v>221</v>
      </c>
      <c r="K9" s="97">
        <v>63.75</v>
      </c>
      <c r="L9" s="97">
        <f>K9*VLOOKUP(H9,dagsoorttabel1,2,FALSE)</f>
        <v>63.75</v>
      </c>
      <c r="M9" s="98">
        <f>prodnorm27</f>
        <v>0</v>
      </c>
      <c r="N9" s="41">
        <f>dagwerk27</f>
        <v>0</v>
      </c>
      <c r="O9" s="95" t="s">
        <v>101</v>
      </c>
      <c r="P9" s="26">
        <f>uurtarief27</f>
        <v>0</v>
      </c>
      <c r="Q9" s="97" t="e">
        <f>IF(ISBLANK(M9),0,L9/ROUND(M9,4))</f>
        <v>#DIV/0!</v>
      </c>
      <c r="R9" s="97" t="e">
        <f>IF(ISBLANK(M9),0,Q9*ROUND(N9,2))</f>
        <v>#DIV/0!</v>
      </c>
      <c r="S9" s="26" t="e">
        <f>ROUND(P9,2)*Q9</f>
        <v>#DIV/0!</v>
      </c>
      <c r="T9" s="97" t="e">
        <f>Q9*dagenperjaar1</f>
        <v>#DIV/0!</v>
      </c>
      <c r="U9" s="27" t="e">
        <f>T9*ROUND(P9,2)</f>
        <v>#DIV/0!</v>
      </c>
    </row>
    <row r="10" spans="1:21" x14ac:dyDescent="0.2">
      <c r="A10" s="94" t="s">
        <v>243</v>
      </c>
      <c r="B10" s="95" t="s">
        <v>35</v>
      </c>
      <c r="C10" s="95" t="s">
        <v>244</v>
      </c>
      <c r="D10" s="95" t="s">
        <v>259</v>
      </c>
      <c r="E10" s="96" t="s">
        <v>260</v>
      </c>
      <c r="F10" s="95" t="s">
        <v>253</v>
      </c>
      <c r="G10" s="95" t="s">
        <v>189</v>
      </c>
      <c r="H10" s="95" t="s">
        <v>9</v>
      </c>
      <c r="I10" s="95" t="s">
        <v>190</v>
      </c>
      <c r="J10" s="96" t="s">
        <v>191</v>
      </c>
      <c r="K10" s="97">
        <v>36.4</v>
      </c>
      <c r="L10" s="97">
        <f>K10*VLOOKUP(H10,dagsoorttabel1,2,FALSE)</f>
        <v>36.4</v>
      </c>
      <c r="M10" s="98">
        <f>prodnorm11</f>
        <v>0</v>
      </c>
      <c r="N10" s="41">
        <f>dagwerk11</f>
        <v>0</v>
      </c>
      <c r="O10" s="95" t="s">
        <v>101</v>
      </c>
      <c r="P10" s="26">
        <f>uurtarief11</f>
        <v>0</v>
      </c>
      <c r="Q10" s="97" t="e">
        <f>IF(ISBLANK(M10),0,L10/ROUND(M10,4))</f>
        <v>#DIV/0!</v>
      </c>
      <c r="R10" s="97" t="e">
        <f>IF(ISBLANK(M10),0,Q10*ROUND(N10,2))</f>
        <v>#DIV/0!</v>
      </c>
      <c r="S10" s="26" t="e">
        <f>ROUND(P10,2)*Q10</f>
        <v>#DIV/0!</v>
      </c>
      <c r="T10" s="97" t="e">
        <f>Q10*dagenperjaar1</f>
        <v>#DIV/0!</v>
      </c>
      <c r="U10" s="27" t="e">
        <f>T10*ROUND(P10,2)</f>
        <v>#DIV/0!</v>
      </c>
    </row>
    <row r="11" spans="1:21" ht="25.5" x14ac:dyDescent="0.2">
      <c r="A11" s="94" t="s">
        <v>243</v>
      </c>
      <c r="B11" s="95" t="s">
        <v>35</v>
      </c>
      <c r="C11" s="95" t="s">
        <v>244</v>
      </c>
      <c r="D11" s="95" t="s">
        <v>261</v>
      </c>
      <c r="E11" s="96" t="s">
        <v>262</v>
      </c>
      <c r="F11" s="95" t="s">
        <v>253</v>
      </c>
      <c r="G11" s="95" t="s">
        <v>200</v>
      </c>
      <c r="H11" s="95" t="s">
        <v>9</v>
      </c>
      <c r="I11" s="95" t="s">
        <v>190</v>
      </c>
      <c r="J11" s="96" t="s">
        <v>201</v>
      </c>
      <c r="K11" s="97">
        <v>13.52</v>
      </c>
      <c r="L11" s="97">
        <f>K11*VLOOKUP(H11,dagsoorttabel1,2,FALSE)</f>
        <v>13.52</v>
      </c>
      <c r="M11" s="98">
        <f>prodnorm17</f>
        <v>0</v>
      </c>
      <c r="N11" s="41">
        <f>dagwerk17</f>
        <v>0</v>
      </c>
      <c r="O11" s="95" t="s">
        <v>101</v>
      </c>
      <c r="P11" s="26">
        <f>uurtarief17</f>
        <v>0</v>
      </c>
      <c r="Q11" s="97" t="e">
        <f>IF(ISBLANK(M11),0,L11/ROUND(M11,4))</f>
        <v>#DIV/0!</v>
      </c>
      <c r="R11" s="97" t="e">
        <f>IF(ISBLANK(M11),0,Q11*ROUND(N11,2))</f>
        <v>#DIV/0!</v>
      </c>
      <c r="S11" s="26" t="e">
        <f>ROUND(P11,2)*Q11</f>
        <v>#DIV/0!</v>
      </c>
      <c r="T11" s="97" t="e">
        <f>Q11*dagenperjaar1</f>
        <v>#DIV/0!</v>
      </c>
      <c r="U11" s="27" t="e">
        <f>T11*ROUND(P11,2)</f>
        <v>#DIV/0!</v>
      </c>
    </row>
    <row r="12" spans="1:21" ht="25.5" x14ac:dyDescent="0.2">
      <c r="A12" s="94" t="s">
        <v>243</v>
      </c>
      <c r="B12" s="95" t="s">
        <v>35</v>
      </c>
      <c r="C12" s="95" t="s">
        <v>244</v>
      </c>
      <c r="D12" s="95" t="s">
        <v>263</v>
      </c>
      <c r="E12" s="96" t="s">
        <v>262</v>
      </c>
      <c r="F12" s="95" t="s">
        <v>253</v>
      </c>
      <c r="G12" s="95" t="s">
        <v>200</v>
      </c>
      <c r="H12" s="95" t="s">
        <v>9</v>
      </c>
      <c r="I12" s="95" t="s">
        <v>190</v>
      </c>
      <c r="J12" s="96" t="s">
        <v>201</v>
      </c>
      <c r="K12" s="97">
        <v>13.52</v>
      </c>
      <c r="L12" s="97">
        <f>K12*VLOOKUP(H12,dagsoorttabel1,2,FALSE)</f>
        <v>13.52</v>
      </c>
      <c r="M12" s="98">
        <f>prodnorm17</f>
        <v>0</v>
      </c>
      <c r="N12" s="41">
        <f>dagwerk17</f>
        <v>0</v>
      </c>
      <c r="O12" s="95" t="s">
        <v>101</v>
      </c>
      <c r="P12" s="26">
        <f>uurtarief17</f>
        <v>0</v>
      </c>
      <c r="Q12" s="97" t="e">
        <f>IF(ISBLANK(M12),0,L12/ROUND(M12,4))</f>
        <v>#DIV/0!</v>
      </c>
      <c r="R12" s="97" t="e">
        <f>IF(ISBLANK(M12),0,Q12*ROUND(N12,2))</f>
        <v>#DIV/0!</v>
      </c>
      <c r="S12" s="26" t="e">
        <f>ROUND(P12,2)*Q12</f>
        <v>#DIV/0!</v>
      </c>
      <c r="T12" s="97" t="e">
        <f>Q12*dagenperjaar1</f>
        <v>#DIV/0!</v>
      </c>
      <c r="U12" s="27" t="e">
        <f>T12*ROUND(P12,2)</f>
        <v>#DIV/0!</v>
      </c>
    </row>
    <row r="13" spans="1:21" ht="25.5" x14ac:dyDescent="0.2">
      <c r="A13" s="94" t="s">
        <v>243</v>
      </c>
      <c r="B13" s="95" t="s">
        <v>35</v>
      </c>
      <c r="C13" s="95" t="s">
        <v>244</v>
      </c>
      <c r="D13" s="95" t="s">
        <v>264</v>
      </c>
      <c r="E13" s="96" t="s">
        <v>262</v>
      </c>
      <c r="F13" s="95" t="s">
        <v>253</v>
      </c>
      <c r="G13" s="95" t="s">
        <v>200</v>
      </c>
      <c r="H13" s="95" t="s">
        <v>9</v>
      </c>
      <c r="I13" s="95" t="s">
        <v>190</v>
      </c>
      <c r="J13" s="96" t="s">
        <v>201</v>
      </c>
      <c r="K13" s="97">
        <v>11.7</v>
      </c>
      <c r="L13" s="97">
        <f>K13*VLOOKUP(H13,dagsoorttabel1,2,FALSE)</f>
        <v>11.7</v>
      </c>
      <c r="M13" s="98">
        <f>prodnorm17</f>
        <v>0</v>
      </c>
      <c r="N13" s="41">
        <f>dagwerk17</f>
        <v>0</v>
      </c>
      <c r="O13" s="95" t="s">
        <v>101</v>
      </c>
      <c r="P13" s="26">
        <f>uurtarief17</f>
        <v>0</v>
      </c>
      <c r="Q13" s="97" t="e">
        <f>IF(ISBLANK(M13),0,L13/ROUND(M13,4))</f>
        <v>#DIV/0!</v>
      </c>
      <c r="R13" s="97" t="e">
        <f>IF(ISBLANK(M13),0,Q13*ROUND(N13,2))</f>
        <v>#DIV/0!</v>
      </c>
      <c r="S13" s="26" t="e">
        <f>ROUND(P13,2)*Q13</f>
        <v>#DIV/0!</v>
      </c>
      <c r="T13" s="97" t="e">
        <f>Q13*dagenperjaar1</f>
        <v>#DIV/0!</v>
      </c>
      <c r="U13" s="27" t="e">
        <f>T13*ROUND(P13,2)</f>
        <v>#DIV/0!</v>
      </c>
    </row>
    <row r="14" spans="1:21" ht="25.5" x14ac:dyDescent="0.2">
      <c r="A14" s="94" t="s">
        <v>243</v>
      </c>
      <c r="B14" s="95" t="s">
        <v>35</v>
      </c>
      <c r="C14" s="95" t="s">
        <v>244</v>
      </c>
      <c r="D14" s="95" t="s">
        <v>265</v>
      </c>
      <c r="E14" s="96" t="s">
        <v>262</v>
      </c>
      <c r="F14" s="95" t="s">
        <v>253</v>
      </c>
      <c r="G14" s="95" t="s">
        <v>200</v>
      </c>
      <c r="H14" s="95" t="s">
        <v>9</v>
      </c>
      <c r="I14" s="95" t="s">
        <v>190</v>
      </c>
      <c r="J14" s="96" t="s">
        <v>201</v>
      </c>
      <c r="K14" s="97">
        <v>15.75</v>
      </c>
      <c r="L14" s="97">
        <f>K14*VLOOKUP(H14,dagsoorttabel1,2,FALSE)</f>
        <v>15.75</v>
      </c>
      <c r="M14" s="98">
        <f>prodnorm17</f>
        <v>0</v>
      </c>
      <c r="N14" s="41">
        <f>dagwerk17</f>
        <v>0</v>
      </c>
      <c r="O14" s="95" t="s">
        <v>101</v>
      </c>
      <c r="P14" s="26">
        <f>uurtarief17</f>
        <v>0</v>
      </c>
      <c r="Q14" s="97" t="e">
        <f>IF(ISBLANK(M14),0,L14/ROUND(M14,4))</f>
        <v>#DIV/0!</v>
      </c>
      <c r="R14" s="97" t="e">
        <f>IF(ISBLANK(M14),0,Q14*ROUND(N14,2))</f>
        <v>#DIV/0!</v>
      </c>
      <c r="S14" s="26" t="e">
        <f>ROUND(P14,2)*Q14</f>
        <v>#DIV/0!</v>
      </c>
      <c r="T14" s="97" t="e">
        <f>Q14*dagenperjaar1</f>
        <v>#DIV/0!</v>
      </c>
      <c r="U14" s="27" t="e">
        <f>T14*ROUND(P14,2)</f>
        <v>#DIV/0!</v>
      </c>
    </row>
    <row r="15" spans="1:21" ht="25.5" x14ac:dyDescent="0.2">
      <c r="A15" s="94" t="s">
        <v>243</v>
      </c>
      <c r="B15" s="95" t="s">
        <v>35</v>
      </c>
      <c r="C15" s="95" t="s">
        <v>244</v>
      </c>
      <c r="D15" s="95" t="s">
        <v>266</v>
      </c>
      <c r="E15" s="96" t="s">
        <v>267</v>
      </c>
      <c r="F15" s="95" t="s">
        <v>253</v>
      </c>
      <c r="G15" s="95" t="s">
        <v>200</v>
      </c>
      <c r="H15" s="95" t="s">
        <v>9</v>
      </c>
      <c r="I15" s="95" t="s">
        <v>190</v>
      </c>
      <c r="J15" s="96" t="s">
        <v>201</v>
      </c>
      <c r="K15" s="97">
        <v>22.79</v>
      </c>
      <c r="L15" s="97">
        <f>K15*VLOOKUP(H15,dagsoorttabel1,2,FALSE)</f>
        <v>22.79</v>
      </c>
      <c r="M15" s="98">
        <f>prodnorm17</f>
        <v>0</v>
      </c>
      <c r="N15" s="41">
        <f>dagwerk17</f>
        <v>0</v>
      </c>
      <c r="O15" s="95" t="s">
        <v>101</v>
      </c>
      <c r="P15" s="26">
        <f>uurtarief17</f>
        <v>0</v>
      </c>
      <c r="Q15" s="97" t="e">
        <f>IF(ISBLANK(M15),0,L15/ROUND(M15,4))</f>
        <v>#DIV/0!</v>
      </c>
      <c r="R15" s="97" t="e">
        <f>IF(ISBLANK(M15),0,Q15*ROUND(N15,2))</f>
        <v>#DIV/0!</v>
      </c>
      <c r="S15" s="26" t="e">
        <f>ROUND(P15,2)*Q15</f>
        <v>#DIV/0!</v>
      </c>
      <c r="T15" s="97" t="e">
        <f>Q15*dagenperjaar1</f>
        <v>#DIV/0!</v>
      </c>
      <c r="U15" s="27" t="e">
        <f>T15*ROUND(P15,2)</f>
        <v>#DIV/0!</v>
      </c>
    </row>
    <row r="16" spans="1:21" ht="25.5" x14ac:dyDescent="0.2">
      <c r="A16" s="94" t="s">
        <v>243</v>
      </c>
      <c r="B16" s="95" t="s">
        <v>35</v>
      </c>
      <c r="C16" s="95" t="s">
        <v>244</v>
      </c>
      <c r="D16" s="95" t="s">
        <v>268</v>
      </c>
      <c r="E16" s="96" t="s">
        <v>269</v>
      </c>
      <c r="F16" s="95" t="s">
        <v>253</v>
      </c>
      <c r="G16" s="95" t="s">
        <v>196</v>
      </c>
      <c r="H16" s="95" t="s">
        <v>13</v>
      </c>
      <c r="I16" s="95" t="s">
        <v>190</v>
      </c>
      <c r="J16" s="96" t="s">
        <v>197</v>
      </c>
      <c r="K16" s="97">
        <v>56.71</v>
      </c>
      <c r="L16" s="97">
        <f>K16*VLOOKUP(H16,dagsoorttabel1,2,FALSE)</f>
        <v>11.342000000000001</v>
      </c>
      <c r="M16" s="98">
        <f>prodnorm14</f>
        <v>0</v>
      </c>
      <c r="N16" s="41">
        <f>dagwerk14</f>
        <v>0</v>
      </c>
      <c r="O16" s="95" t="s">
        <v>101</v>
      </c>
      <c r="P16" s="26">
        <f>uurtarief14</f>
        <v>0</v>
      </c>
      <c r="Q16" s="97" t="e">
        <f>IF(ISBLANK(M16),0,L16/ROUND(M16,4))</f>
        <v>#DIV/0!</v>
      </c>
      <c r="R16" s="97" t="e">
        <f>IF(ISBLANK(M16),0,Q16*ROUND(N16,2))</f>
        <v>#DIV/0!</v>
      </c>
      <c r="S16" s="26" t="e">
        <f>ROUND(P16,2)*Q16</f>
        <v>#DIV/0!</v>
      </c>
      <c r="T16" s="97" t="e">
        <f>Q16*dagenperjaar1</f>
        <v>#DIV/0!</v>
      </c>
      <c r="U16" s="27" t="e">
        <f>T16*ROUND(P16,2)</f>
        <v>#DIV/0!</v>
      </c>
    </row>
    <row r="17" spans="1:21" ht="25.5" x14ac:dyDescent="0.2">
      <c r="A17" s="94" t="s">
        <v>243</v>
      </c>
      <c r="B17" s="95" t="s">
        <v>35</v>
      </c>
      <c r="C17" s="95" t="s">
        <v>244</v>
      </c>
      <c r="D17" s="95" t="s">
        <v>270</v>
      </c>
      <c r="E17" s="96" t="s">
        <v>262</v>
      </c>
      <c r="F17" s="95" t="s">
        <v>253</v>
      </c>
      <c r="G17" s="95" t="s">
        <v>200</v>
      </c>
      <c r="H17" s="95" t="s">
        <v>9</v>
      </c>
      <c r="I17" s="95" t="s">
        <v>190</v>
      </c>
      <c r="J17" s="96" t="s">
        <v>201</v>
      </c>
      <c r="K17" s="97">
        <v>15.9</v>
      </c>
      <c r="L17" s="97">
        <f>K17*VLOOKUP(H17,dagsoorttabel1,2,FALSE)</f>
        <v>15.9</v>
      </c>
      <c r="M17" s="98">
        <f>prodnorm17</f>
        <v>0</v>
      </c>
      <c r="N17" s="41">
        <f>dagwerk17</f>
        <v>0</v>
      </c>
      <c r="O17" s="95" t="s">
        <v>101</v>
      </c>
      <c r="P17" s="26">
        <f>uurtarief17</f>
        <v>0</v>
      </c>
      <c r="Q17" s="97" t="e">
        <f>IF(ISBLANK(M17),0,L17/ROUND(M17,4))</f>
        <v>#DIV/0!</v>
      </c>
      <c r="R17" s="97" t="e">
        <f>IF(ISBLANK(M17),0,Q17*ROUND(N17,2))</f>
        <v>#DIV/0!</v>
      </c>
      <c r="S17" s="26" t="e">
        <f>ROUND(P17,2)*Q17</f>
        <v>#DIV/0!</v>
      </c>
      <c r="T17" s="97" t="e">
        <f>Q17*dagenperjaar1</f>
        <v>#DIV/0!</v>
      </c>
      <c r="U17" s="27" t="e">
        <f>T17*ROUND(P17,2)</f>
        <v>#DIV/0!</v>
      </c>
    </row>
    <row r="18" spans="1:21" x14ac:dyDescent="0.2">
      <c r="A18" s="94" t="s">
        <v>243</v>
      </c>
      <c r="B18" s="95" t="s">
        <v>35</v>
      </c>
      <c r="C18" s="95" t="s">
        <v>244</v>
      </c>
      <c r="D18" s="95" t="s">
        <v>271</v>
      </c>
      <c r="E18" s="96" t="s">
        <v>272</v>
      </c>
      <c r="F18" s="95" t="s">
        <v>258</v>
      </c>
      <c r="G18" s="95" t="s">
        <v>216</v>
      </c>
      <c r="H18" s="95" t="s">
        <v>9</v>
      </c>
      <c r="I18" s="95" t="s">
        <v>190</v>
      </c>
      <c r="J18" s="96" t="s">
        <v>217</v>
      </c>
      <c r="K18" s="97">
        <v>24.650000000000002</v>
      </c>
      <c r="L18" s="97">
        <f>K18*VLOOKUP(H18,dagsoorttabel1,2,FALSE)</f>
        <v>24.650000000000002</v>
      </c>
      <c r="M18" s="98">
        <f>prodnorm25</f>
        <v>0</v>
      </c>
      <c r="N18" s="41">
        <f>dagwerk25</f>
        <v>0</v>
      </c>
      <c r="O18" s="95" t="s">
        <v>101</v>
      </c>
      <c r="P18" s="26">
        <f>uurtarief25</f>
        <v>0</v>
      </c>
      <c r="Q18" s="97" t="e">
        <f>IF(ISBLANK(M18),0,L18/ROUND(M18,4))</f>
        <v>#DIV/0!</v>
      </c>
      <c r="R18" s="97" t="e">
        <f>IF(ISBLANK(M18),0,Q18*ROUND(N18,2))</f>
        <v>#DIV/0!</v>
      </c>
      <c r="S18" s="26" t="e">
        <f>ROUND(P18,2)*Q18</f>
        <v>#DIV/0!</v>
      </c>
      <c r="T18" s="97" t="e">
        <f>Q18*dagenperjaar1</f>
        <v>#DIV/0!</v>
      </c>
      <c r="U18" s="27" t="e">
        <f>T18*ROUND(P18,2)</f>
        <v>#DIV/0!</v>
      </c>
    </row>
    <row r="19" spans="1:21" x14ac:dyDescent="0.2">
      <c r="A19" s="94" t="s">
        <v>243</v>
      </c>
      <c r="B19" s="95" t="s">
        <v>35</v>
      </c>
      <c r="C19" s="95" t="s">
        <v>244</v>
      </c>
      <c r="D19" s="95" t="s">
        <v>271</v>
      </c>
      <c r="E19" s="96" t="s">
        <v>272</v>
      </c>
      <c r="F19" s="95" t="s">
        <v>253</v>
      </c>
      <c r="G19" s="95" t="s">
        <v>218</v>
      </c>
      <c r="H19" s="95" t="s">
        <v>9</v>
      </c>
      <c r="I19" s="95" t="s">
        <v>190</v>
      </c>
      <c r="J19" s="96" t="s">
        <v>219</v>
      </c>
      <c r="K19" s="97">
        <v>21.25</v>
      </c>
      <c r="L19" s="97">
        <f>K19*VLOOKUP(H19,dagsoorttabel1,2,FALSE)</f>
        <v>21.25</v>
      </c>
      <c r="M19" s="98">
        <f>prodnorm26</f>
        <v>0</v>
      </c>
      <c r="N19" s="41">
        <f>dagwerk26</f>
        <v>0</v>
      </c>
      <c r="O19" s="95" t="s">
        <v>101</v>
      </c>
      <c r="P19" s="26">
        <f>uurtarief26</f>
        <v>0</v>
      </c>
      <c r="Q19" s="97" t="e">
        <f>IF(ISBLANK(M19),0,L19/ROUND(M19,4))</f>
        <v>#DIV/0!</v>
      </c>
      <c r="R19" s="97" t="e">
        <f>IF(ISBLANK(M19),0,Q19*ROUND(N19,2))</f>
        <v>#DIV/0!</v>
      </c>
      <c r="S19" s="26" t="e">
        <f>ROUND(P19,2)*Q19</f>
        <v>#DIV/0!</v>
      </c>
      <c r="T19" s="97" t="e">
        <f>Q19*dagenperjaar1</f>
        <v>#DIV/0!</v>
      </c>
      <c r="U19" s="27" t="e">
        <f>T19*ROUND(P19,2)</f>
        <v>#DIV/0!</v>
      </c>
    </row>
    <row r="20" spans="1:21" x14ac:dyDescent="0.2">
      <c r="A20" s="94" t="s">
        <v>243</v>
      </c>
      <c r="B20" s="95" t="s">
        <v>35</v>
      </c>
      <c r="C20" s="95" t="s">
        <v>244</v>
      </c>
      <c r="D20" s="95" t="s">
        <v>271</v>
      </c>
      <c r="E20" s="96" t="s">
        <v>272</v>
      </c>
      <c r="F20" s="95" t="s">
        <v>253</v>
      </c>
      <c r="G20" s="95" t="s">
        <v>218</v>
      </c>
      <c r="H20" s="95" t="s">
        <v>9</v>
      </c>
      <c r="I20" s="95" t="s">
        <v>190</v>
      </c>
      <c r="J20" s="96" t="s">
        <v>219</v>
      </c>
      <c r="K20" s="97">
        <v>6.8</v>
      </c>
      <c r="L20" s="97">
        <f>K20*VLOOKUP(H20,dagsoorttabel1,2,FALSE)</f>
        <v>6.8</v>
      </c>
      <c r="M20" s="98">
        <f>prodnorm26</f>
        <v>0</v>
      </c>
      <c r="N20" s="41">
        <f>dagwerk26</f>
        <v>0</v>
      </c>
      <c r="O20" s="95" t="s">
        <v>101</v>
      </c>
      <c r="P20" s="26">
        <f>uurtarief26</f>
        <v>0</v>
      </c>
      <c r="Q20" s="97" t="e">
        <f>IF(ISBLANK(M20),0,L20/ROUND(M20,4))</f>
        <v>#DIV/0!</v>
      </c>
      <c r="R20" s="97" t="e">
        <f>IF(ISBLANK(M20),0,Q20*ROUND(N20,2))</f>
        <v>#DIV/0!</v>
      </c>
      <c r="S20" s="26" t="e">
        <f>ROUND(P20,2)*Q20</f>
        <v>#DIV/0!</v>
      </c>
      <c r="T20" s="97" t="e">
        <f>Q20*dagenperjaar1</f>
        <v>#DIV/0!</v>
      </c>
      <c r="U20" s="27" t="e">
        <f>T20*ROUND(P20,2)</f>
        <v>#DIV/0!</v>
      </c>
    </row>
    <row r="21" spans="1:21" x14ac:dyDescent="0.2">
      <c r="A21" s="94" t="s">
        <v>243</v>
      </c>
      <c r="B21" s="95" t="s">
        <v>35</v>
      </c>
      <c r="C21" s="95" t="s">
        <v>244</v>
      </c>
      <c r="D21" s="95" t="s">
        <v>273</v>
      </c>
      <c r="E21" s="96" t="s">
        <v>274</v>
      </c>
      <c r="F21" s="95" t="s">
        <v>253</v>
      </c>
      <c r="G21" s="95" t="s">
        <v>216</v>
      </c>
      <c r="H21" s="95" t="s">
        <v>9</v>
      </c>
      <c r="I21" s="95" t="s">
        <v>190</v>
      </c>
      <c r="J21" s="96" t="s">
        <v>217</v>
      </c>
      <c r="K21" s="97">
        <v>7.26</v>
      </c>
      <c r="L21" s="97">
        <f>K21*VLOOKUP(H21,dagsoorttabel1,2,FALSE)</f>
        <v>7.26</v>
      </c>
      <c r="M21" s="98">
        <f>prodnorm25</f>
        <v>0</v>
      </c>
      <c r="N21" s="41">
        <f>dagwerk25</f>
        <v>0</v>
      </c>
      <c r="O21" s="95" t="s">
        <v>101</v>
      </c>
      <c r="P21" s="26">
        <f>uurtarief25</f>
        <v>0</v>
      </c>
      <c r="Q21" s="97" t="e">
        <f>IF(ISBLANK(M21),0,L21/ROUND(M21,4))</f>
        <v>#DIV/0!</v>
      </c>
      <c r="R21" s="97" t="e">
        <f>IF(ISBLANK(M21),0,Q21*ROUND(N21,2))</f>
        <v>#DIV/0!</v>
      </c>
      <c r="S21" s="26" t="e">
        <f>ROUND(P21,2)*Q21</f>
        <v>#DIV/0!</v>
      </c>
      <c r="T21" s="97" t="e">
        <f>Q21*dagenperjaar1</f>
        <v>#DIV/0!</v>
      </c>
      <c r="U21" s="27" t="e">
        <f>T21*ROUND(P21,2)</f>
        <v>#DIV/0!</v>
      </c>
    </row>
    <row r="22" spans="1:21" x14ac:dyDescent="0.2">
      <c r="A22" s="94" t="s">
        <v>243</v>
      </c>
      <c r="B22" s="95" t="s">
        <v>35</v>
      </c>
      <c r="C22" s="95" t="s">
        <v>244</v>
      </c>
      <c r="D22" s="95" t="s">
        <v>275</v>
      </c>
      <c r="E22" s="96" t="s">
        <v>272</v>
      </c>
      <c r="F22" s="95" t="s">
        <v>253</v>
      </c>
      <c r="G22" s="95" t="s">
        <v>218</v>
      </c>
      <c r="H22" s="95" t="s">
        <v>9</v>
      </c>
      <c r="I22" s="95" t="s">
        <v>190</v>
      </c>
      <c r="J22" s="96" t="s">
        <v>219</v>
      </c>
      <c r="K22" s="97">
        <v>87.72</v>
      </c>
      <c r="L22" s="97">
        <f>K22*VLOOKUP(H22,dagsoorttabel1,2,FALSE)</f>
        <v>87.72</v>
      </c>
      <c r="M22" s="98">
        <f>prodnorm26</f>
        <v>0</v>
      </c>
      <c r="N22" s="41">
        <f>dagwerk26</f>
        <v>0</v>
      </c>
      <c r="O22" s="95" t="s">
        <v>101</v>
      </c>
      <c r="P22" s="26">
        <f>uurtarief26</f>
        <v>0</v>
      </c>
      <c r="Q22" s="97" t="e">
        <f>IF(ISBLANK(M22),0,L22/ROUND(M22,4))</f>
        <v>#DIV/0!</v>
      </c>
      <c r="R22" s="97" t="e">
        <f>IF(ISBLANK(M22),0,Q22*ROUND(N22,2))</f>
        <v>#DIV/0!</v>
      </c>
      <c r="S22" s="26" t="e">
        <f>ROUND(P22,2)*Q22</f>
        <v>#DIV/0!</v>
      </c>
      <c r="T22" s="97" t="e">
        <f>Q22*dagenperjaar1</f>
        <v>#DIV/0!</v>
      </c>
      <c r="U22" s="27" t="e">
        <f>T22*ROUND(P22,2)</f>
        <v>#DIV/0!</v>
      </c>
    </row>
    <row r="23" spans="1:21" ht="25.5" x14ac:dyDescent="0.2">
      <c r="A23" s="94" t="s">
        <v>243</v>
      </c>
      <c r="B23" s="95" t="s">
        <v>35</v>
      </c>
      <c r="C23" s="95" t="s">
        <v>244</v>
      </c>
      <c r="D23" s="95" t="s">
        <v>276</v>
      </c>
      <c r="E23" s="96" t="s">
        <v>277</v>
      </c>
      <c r="F23" s="95" t="s">
        <v>258</v>
      </c>
      <c r="G23" s="95" t="s">
        <v>226</v>
      </c>
      <c r="H23" s="95" t="s">
        <v>9</v>
      </c>
      <c r="I23" s="95" t="s">
        <v>190</v>
      </c>
      <c r="J23" s="96" t="s">
        <v>227</v>
      </c>
      <c r="K23" s="97">
        <v>3.64</v>
      </c>
      <c r="L23" s="97">
        <f>K23*VLOOKUP(H23,dagsoorttabel1,2,FALSE)</f>
        <v>3.64</v>
      </c>
      <c r="M23" s="98">
        <f>prodnorm30</f>
        <v>0</v>
      </c>
      <c r="N23" s="41">
        <f>dagwerk30</f>
        <v>0</v>
      </c>
      <c r="O23" s="95" t="s">
        <v>101</v>
      </c>
      <c r="P23" s="26">
        <f>uurtarief30</f>
        <v>0</v>
      </c>
      <c r="Q23" s="97" t="e">
        <f>IF(ISBLANK(M23),0,L23/ROUND(M23,4))</f>
        <v>#DIV/0!</v>
      </c>
      <c r="R23" s="97" t="e">
        <f>IF(ISBLANK(M23),0,Q23*ROUND(N23,2))</f>
        <v>#DIV/0!</v>
      </c>
      <c r="S23" s="26" t="e">
        <f>ROUND(P23,2)*Q23</f>
        <v>#DIV/0!</v>
      </c>
      <c r="T23" s="97" t="e">
        <f>Q23*dagenperjaar1</f>
        <v>#DIV/0!</v>
      </c>
      <c r="U23" s="27" t="e">
        <f>T23*ROUND(P23,2)</f>
        <v>#DIV/0!</v>
      </c>
    </row>
    <row r="24" spans="1:21" x14ac:dyDescent="0.2">
      <c r="A24" s="94" t="s">
        <v>243</v>
      </c>
      <c r="B24" s="95" t="s">
        <v>35</v>
      </c>
      <c r="C24" s="95" t="s">
        <v>244</v>
      </c>
      <c r="D24" s="95" t="s">
        <v>278</v>
      </c>
      <c r="E24" s="96" t="s">
        <v>279</v>
      </c>
      <c r="F24" s="95" t="s">
        <v>280</v>
      </c>
      <c r="G24" s="95" t="s">
        <v>281</v>
      </c>
      <c r="H24" s="95"/>
      <c r="I24" s="95"/>
      <c r="J24" s="95"/>
      <c r="K24" s="97">
        <v>4.2</v>
      </c>
      <c r="L24" s="97"/>
      <c r="M24" s="98"/>
      <c r="N24" s="41"/>
      <c r="O24" s="95"/>
      <c r="P24" s="26"/>
      <c r="Q24" s="97"/>
      <c r="R24" s="97"/>
      <c r="S24" s="26"/>
      <c r="T24" s="99"/>
      <c r="U24" s="27"/>
    </row>
    <row r="25" spans="1:21" x14ac:dyDescent="0.2">
      <c r="A25" s="94" t="s">
        <v>243</v>
      </c>
      <c r="B25" s="95" t="s">
        <v>35</v>
      </c>
      <c r="C25" s="95" t="s">
        <v>244</v>
      </c>
      <c r="D25" s="95" t="s">
        <v>282</v>
      </c>
      <c r="E25" s="96" t="s">
        <v>283</v>
      </c>
      <c r="F25" s="95" t="s">
        <v>253</v>
      </c>
      <c r="G25" s="95" t="s">
        <v>192</v>
      </c>
      <c r="H25" s="95" t="s">
        <v>9</v>
      </c>
      <c r="I25" s="95" t="s">
        <v>190</v>
      </c>
      <c r="J25" s="96" t="s">
        <v>193</v>
      </c>
      <c r="K25" s="97">
        <v>25.5</v>
      </c>
      <c r="L25" s="97">
        <f>K25*VLOOKUP(H25,dagsoorttabel1,2,FALSE)</f>
        <v>25.5</v>
      </c>
      <c r="M25" s="98">
        <f>prodnorm12</f>
        <v>0</v>
      </c>
      <c r="N25" s="41">
        <f>dagwerk12</f>
        <v>0</v>
      </c>
      <c r="O25" s="95" t="s">
        <v>101</v>
      </c>
      <c r="P25" s="26">
        <f>uurtarief12</f>
        <v>0</v>
      </c>
      <c r="Q25" s="97" t="e">
        <f>IF(ISBLANK(M25),0,L25/ROUND(M25,4))</f>
        <v>#DIV/0!</v>
      </c>
      <c r="R25" s="97" t="e">
        <f>IF(ISBLANK(M25),0,Q25*ROUND(N25,2))</f>
        <v>#DIV/0!</v>
      </c>
      <c r="S25" s="26" t="e">
        <f>ROUND(P25,2)*Q25</f>
        <v>#DIV/0!</v>
      </c>
      <c r="T25" s="97" t="e">
        <f>Q25*dagenperjaar1</f>
        <v>#DIV/0!</v>
      </c>
      <c r="U25" s="27" t="e">
        <f>T25*ROUND(P25,2)</f>
        <v>#DIV/0!</v>
      </c>
    </row>
    <row r="26" spans="1:21" x14ac:dyDescent="0.2">
      <c r="A26" s="94" t="s">
        <v>243</v>
      </c>
      <c r="B26" s="95" t="s">
        <v>35</v>
      </c>
      <c r="C26" s="95" t="s">
        <v>244</v>
      </c>
      <c r="D26" s="95" t="s">
        <v>284</v>
      </c>
      <c r="E26" s="96" t="s">
        <v>285</v>
      </c>
      <c r="F26" s="95" t="s">
        <v>258</v>
      </c>
      <c r="G26" s="95" t="s">
        <v>281</v>
      </c>
      <c r="H26" s="95"/>
      <c r="I26" s="95"/>
      <c r="J26" s="95"/>
      <c r="K26" s="97">
        <v>23.759999999999998</v>
      </c>
      <c r="L26" s="97"/>
      <c r="M26" s="98"/>
      <c r="N26" s="41"/>
      <c r="O26" s="95"/>
      <c r="P26" s="26"/>
      <c r="Q26" s="97"/>
      <c r="R26" s="97"/>
      <c r="S26" s="26"/>
      <c r="T26" s="99"/>
      <c r="U26" s="27"/>
    </row>
    <row r="27" spans="1:21" x14ac:dyDescent="0.2">
      <c r="A27" s="94" t="s">
        <v>243</v>
      </c>
      <c r="B27" s="95" t="s">
        <v>35</v>
      </c>
      <c r="C27" s="95" t="s">
        <v>244</v>
      </c>
      <c r="D27" s="95" t="s">
        <v>286</v>
      </c>
      <c r="E27" s="96" t="s">
        <v>287</v>
      </c>
      <c r="F27" s="95" t="s">
        <v>280</v>
      </c>
      <c r="G27" s="95" t="s">
        <v>281</v>
      </c>
      <c r="H27" s="95"/>
      <c r="I27" s="95"/>
      <c r="J27" s="95"/>
      <c r="K27" s="97">
        <v>1.5</v>
      </c>
      <c r="L27" s="97"/>
      <c r="M27" s="98"/>
      <c r="N27" s="41"/>
      <c r="O27" s="95"/>
      <c r="P27" s="26"/>
      <c r="Q27" s="97"/>
      <c r="R27" s="97"/>
      <c r="S27" s="26"/>
      <c r="T27" s="99"/>
      <c r="U27" s="27"/>
    </row>
    <row r="28" spans="1:21" x14ac:dyDescent="0.2">
      <c r="A28" s="94" t="s">
        <v>243</v>
      </c>
      <c r="B28" s="95" t="s">
        <v>35</v>
      </c>
      <c r="C28" s="95" t="s">
        <v>244</v>
      </c>
      <c r="D28" s="95" t="s">
        <v>288</v>
      </c>
      <c r="E28" s="96" t="s">
        <v>289</v>
      </c>
      <c r="F28" s="95" t="s">
        <v>253</v>
      </c>
      <c r="G28" s="95" t="s">
        <v>192</v>
      </c>
      <c r="H28" s="95" t="s">
        <v>9</v>
      </c>
      <c r="I28" s="95" t="s">
        <v>190</v>
      </c>
      <c r="J28" s="96" t="s">
        <v>193</v>
      </c>
      <c r="K28" s="97">
        <v>35</v>
      </c>
      <c r="L28" s="97">
        <f>K28*VLOOKUP(H28,dagsoorttabel1,2,FALSE)</f>
        <v>35</v>
      </c>
      <c r="M28" s="98">
        <f>prodnorm12</f>
        <v>0</v>
      </c>
      <c r="N28" s="41">
        <f>dagwerk12</f>
        <v>0</v>
      </c>
      <c r="O28" s="95" t="s">
        <v>101</v>
      </c>
      <c r="P28" s="26">
        <f>uurtarief12</f>
        <v>0</v>
      </c>
      <c r="Q28" s="97" t="e">
        <f>IF(ISBLANK(M28),0,L28/ROUND(M28,4))</f>
        <v>#DIV/0!</v>
      </c>
      <c r="R28" s="97" t="e">
        <f>IF(ISBLANK(M28),0,Q28*ROUND(N28,2))</f>
        <v>#DIV/0!</v>
      </c>
      <c r="S28" s="26" t="e">
        <f>ROUND(P28,2)*Q28</f>
        <v>#DIV/0!</v>
      </c>
      <c r="T28" s="97" t="e">
        <f>Q28*dagenperjaar1</f>
        <v>#DIV/0!</v>
      </c>
      <c r="U28" s="27" t="e">
        <f>T28*ROUND(P28,2)</f>
        <v>#DIV/0!</v>
      </c>
    </row>
    <row r="29" spans="1:21" x14ac:dyDescent="0.2">
      <c r="A29" s="94" t="s">
        <v>243</v>
      </c>
      <c r="B29" s="95" t="s">
        <v>35</v>
      </c>
      <c r="C29" s="95" t="s">
        <v>244</v>
      </c>
      <c r="D29" s="95" t="s">
        <v>290</v>
      </c>
      <c r="E29" s="96" t="s">
        <v>289</v>
      </c>
      <c r="F29" s="95" t="s">
        <v>253</v>
      </c>
      <c r="G29" s="95" t="s">
        <v>192</v>
      </c>
      <c r="H29" s="95" t="s">
        <v>9</v>
      </c>
      <c r="I29" s="95" t="s">
        <v>190</v>
      </c>
      <c r="J29" s="96" t="s">
        <v>193</v>
      </c>
      <c r="K29" s="97">
        <v>25</v>
      </c>
      <c r="L29" s="97">
        <f>K29*VLOOKUP(H29,dagsoorttabel1,2,FALSE)</f>
        <v>25</v>
      </c>
      <c r="M29" s="98">
        <f>prodnorm12</f>
        <v>0</v>
      </c>
      <c r="N29" s="41">
        <f>dagwerk12</f>
        <v>0</v>
      </c>
      <c r="O29" s="95" t="s">
        <v>101</v>
      </c>
      <c r="P29" s="26">
        <f>uurtarief12</f>
        <v>0</v>
      </c>
      <c r="Q29" s="97" t="e">
        <f>IF(ISBLANK(M29),0,L29/ROUND(M29,4))</f>
        <v>#DIV/0!</v>
      </c>
      <c r="R29" s="97" t="e">
        <f>IF(ISBLANK(M29),0,Q29*ROUND(N29,2))</f>
        <v>#DIV/0!</v>
      </c>
      <c r="S29" s="26" t="e">
        <f>ROUND(P29,2)*Q29</f>
        <v>#DIV/0!</v>
      </c>
      <c r="T29" s="97" t="e">
        <f>Q29*dagenperjaar1</f>
        <v>#DIV/0!</v>
      </c>
      <c r="U29" s="27" t="e">
        <f>T29*ROUND(P29,2)</f>
        <v>#DIV/0!</v>
      </c>
    </row>
    <row r="30" spans="1:21" x14ac:dyDescent="0.2">
      <c r="A30" s="94" t="s">
        <v>243</v>
      </c>
      <c r="B30" s="95" t="s">
        <v>35</v>
      </c>
      <c r="C30" s="95" t="s">
        <v>244</v>
      </c>
      <c r="D30" s="95" t="s">
        <v>291</v>
      </c>
      <c r="E30" s="96" t="s">
        <v>289</v>
      </c>
      <c r="F30" s="95" t="s">
        <v>253</v>
      </c>
      <c r="G30" s="95" t="s">
        <v>192</v>
      </c>
      <c r="H30" s="95" t="s">
        <v>9</v>
      </c>
      <c r="I30" s="95" t="s">
        <v>190</v>
      </c>
      <c r="J30" s="96" t="s">
        <v>193</v>
      </c>
      <c r="K30" s="97">
        <v>7.26</v>
      </c>
      <c r="L30" s="97">
        <f>K30*VLOOKUP(H30,dagsoorttabel1,2,FALSE)</f>
        <v>7.26</v>
      </c>
      <c r="M30" s="98">
        <f>prodnorm12</f>
        <v>0</v>
      </c>
      <c r="N30" s="41">
        <f>dagwerk12</f>
        <v>0</v>
      </c>
      <c r="O30" s="95" t="s">
        <v>101</v>
      </c>
      <c r="P30" s="26">
        <f>uurtarief12</f>
        <v>0</v>
      </c>
      <c r="Q30" s="97" t="e">
        <f>IF(ISBLANK(M30),0,L30/ROUND(M30,4))</f>
        <v>#DIV/0!</v>
      </c>
      <c r="R30" s="97" t="e">
        <f>IF(ISBLANK(M30),0,Q30*ROUND(N30,2))</f>
        <v>#DIV/0!</v>
      </c>
      <c r="S30" s="26" t="e">
        <f>ROUND(P30,2)*Q30</f>
        <v>#DIV/0!</v>
      </c>
      <c r="T30" s="97" t="e">
        <f>Q30*dagenperjaar1</f>
        <v>#DIV/0!</v>
      </c>
      <c r="U30" s="27" t="e">
        <f>T30*ROUND(P30,2)</f>
        <v>#DIV/0!</v>
      </c>
    </row>
    <row r="31" spans="1:21" x14ac:dyDescent="0.2">
      <c r="A31" s="94" t="s">
        <v>243</v>
      </c>
      <c r="B31" s="95" t="s">
        <v>35</v>
      </c>
      <c r="C31" s="95" t="s">
        <v>244</v>
      </c>
      <c r="D31" s="95" t="s">
        <v>292</v>
      </c>
      <c r="E31" s="96" t="s">
        <v>289</v>
      </c>
      <c r="F31" s="95" t="s">
        <v>253</v>
      </c>
      <c r="G31" s="95" t="s">
        <v>192</v>
      </c>
      <c r="H31" s="95" t="s">
        <v>9</v>
      </c>
      <c r="I31" s="95" t="s">
        <v>190</v>
      </c>
      <c r="J31" s="96" t="s">
        <v>193</v>
      </c>
      <c r="K31" s="97">
        <v>26.5</v>
      </c>
      <c r="L31" s="97">
        <f>K31*VLOOKUP(H31,dagsoorttabel1,2,FALSE)</f>
        <v>26.5</v>
      </c>
      <c r="M31" s="98">
        <f>prodnorm12</f>
        <v>0</v>
      </c>
      <c r="N31" s="41">
        <f>dagwerk12</f>
        <v>0</v>
      </c>
      <c r="O31" s="95" t="s">
        <v>101</v>
      </c>
      <c r="P31" s="26">
        <f>uurtarief12</f>
        <v>0</v>
      </c>
      <c r="Q31" s="97" t="e">
        <f>IF(ISBLANK(M31),0,L31/ROUND(M31,4))</f>
        <v>#DIV/0!</v>
      </c>
      <c r="R31" s="97" t="e">
        <f>IF(ISBLANK(M31),0,Q31*ROUND(N31,2))</f>
        <v>#DIV/0!</v>
      </c>
      <c r="S31" s="26" t="e">
        <f>ROUND(P31,2)*Q31</f>
        <v>#DIV/0!</v>
      </c>
      <c r="T31" s="97" t="e">
        <f>Q31*dagenperjaar1</f>
        <v>#DIV/0!</v>
      </c>
      <c r="U31" s="27" t="e">
        <f>T31*ROUND(P31,2)</f>
        <v>#DIV/0!</v>
      </c>
    </row>
    <row r="32" spans="1:21" x14ac:dyDescent="0.2">
      <c r="A32" s="94" t="s">
        <v>243</v>
      </c>
      <c r="B32" s="95" t="s">
        <v>35</v>
      </c>
      <c r="C32" s="95" t="s">
        <v>244</v>
      </c>
      <c r="D32" s="95" t="s">
        <v>293</v>
      </c>
      <c r="E32" s="96" t="s">
        <v>289</v>
      </c>
      <c r="F32" s="95" t="s">
        <v>253</v>
      </c>
      <c r="G32" s="95" t="s">
        <v>192</v>
      </c>
      <c r="H32" s="95" t="s">
        <v>9</v>
      </c>
      <c r="I32" s="95" t="s">
        <v>190</v>
      </c>
      <c r="J32" s="96" t="s">
        <v>193</v>
      </c>
      <c r="K32" s="97">
        <v>7.26</v>
      </c>
      <c r="L32" s="97">
        <f>K32*VLOOKUP(H32,dagsoorttabel1,2,FALSE)</f>
        <v>7.26</v>
      </c>
      <c r="M32" s="98">
        <f>prodnorm12</f>
        <v>0</v>
      </c>
      <c r="N32" s="41">
        <f>dagwerk12</f>
        <v>0</v>
      </c>
      <c r="O32" s="95" t="s">
        <v>101</v>
      </c>
      <c r="P32" s="26">
        <f>uurtarief12</f>
        <v>0</v>
      </c>
      <c r="Q32" s="97" t="e">
        <f>IF(ISBLANK(M32),0,L32/ROUND(M32,4))</f>
        <v>#DIV/0!</v>
      </c>
      <c r="R32" s="97" t="e">
        <f>IF(ISBLANK(M32),0,Q32*ROUND(N32,2))</f>
        <v>#DIV/0!</v>
      </c>
      <c r="S32" s="26" t="e">
        <f>ROUND(P32,2)*Q32</f>
        <v>#DIV/0!</v>
      </c>
      <c r="T32" s="97" t="e">
        <f>Q32*dagenperjaar1</f>
        <v>#DIV/0!</v>
      </c>
      <c r="U32" s="27" t="e">
        <f>T32*ROUND(P32,2)</f>
        <v>#DIV/0!</v>
      </c>
    </row>
    <row r="33" spans="1:21" x14ac:dyDescent="0.2">
      <c r="A33" s="94" t="s">
        <v>243</v>
      </c>
      <c r="B33" s="95" t="s">
        <v>35</v>
      </c>
      <c r="C33" s="95" t="s">
        <v>244</v>
      </c>
      <c r="D33" s="95" t="s">
        <v>294</v>
      </c>
      <c r="E33" s="96" t="s">
        <v>289</v>
      </c>
      <c r="F33" s="95" t="s">
        <v>253</v>
      </c>
      <c r="G33" s="95" t="s">
        <v>192</v>
      </c>
      <c r="H33" s="95" t="s">
        <v>9</v>
      </c>
      <c r="I33" s="95" t="s">
        <v>190</v>
      </c>
      <c r="J33" s="96" t="s">
        <v>193</v>
      </c>
      <c r="K33" s="97">
        <v>26.5</v>
      </c>
      <c r="L33" s="97">
        <f>K33*VLOOKUP(H33,dagsoorttabel1,2,FALSE)</f>
        <v>26.5</v>
      </c>
      <c r="M33" s="98">
        <f>prodnorm12</f>
        <v>0</v>
      </c>
      <c r="N33" s="41">
        <f>dagwerk12</f>
        <v>0</v>
      </c>
      <c r="O33" s="95" t="s">
        <v>101</v>
      </c>
      <c r="P33" s="26">
        <f>uurtarief12</f>
        <v>0</v>
      </c>
      <c r="Q33" s="97" t="e">
        <f>IF(ISBLANK(M33),0,L33/ROUND(M33,4))</f>
        <v>#DIV/0!</v>
      </c>
      <c r="R33" s="97" t="e">
        <f>IF(ISBLANK(M33),0,Q33*ROUND(N33,2))</f>
        <v>#DIV/0!</v>
      </c>
      <c r="S33" s="26" t="e">
        <f>ROUND(P33,2)*Q33</f>
        <v>#DIV/0!</v>
      </c>
      <c r="T33" s="97" t="e">
        <f>Q33*dagenperjaar1</f>
        <v>#DIV/0!</v>
      </c>
      <c r="U33" s="27" t="e">
        <f>T33*ROUND(P33,2)</f>
        <v>#DIV/0!</v>
      </c>
    </row>
    <row r="34" spans="1:21" x14ac:dyDescent="0.2">
      <c r="A34" s="94" t="s">
        <v>243</v>
      </c>
      <c r="B34" s="95" t="s">
        <v>35</v>
      </c>
      <c r="C34" s="95" t="s">
        <v>244</v>
      </c>
      <c r="D34" s="95" t="s">
        <v>295</v>
      </c>
      <c r="E34" s="96" t="s">
        <v>289</v>
      </c>
      <c r="F34" s="95" t="s">
        <v>253</v>
      </c>
      <c r="G34" s="95" t="s">
        <v>192</v>
      </c>
      <c r="H34" s="95" t="s">
        <v>9</v>
      </c>
      <c r="I34" s="95" t="s">
        <v>190</v>
      </c>
      <c r="J34" s="96" t="s">
        <v>193</v>
      </c>
      <c r="K34" s="97">
        <v>26.5</v>
      </c>
      <c r="L34" s="97">
        <f>K34*VLOOKUP(H34,dagsoorttabel1,2,FALSE)</f>
        <v>26.5</v>
      </c>
      <c r="M34" s="98">
        <f>prodnorm12</f>
        <v>0</v>
      </c>
      <c r="N34" s="41">
        <f>dagwerk12</f>
        <v>0</v>
      </c>
      <c r="O34" s="95" t="s">
        <v>101</v>
      </c>
      <c r="P34" s="26">
        <f>uurtarief12</f>
        <v>0</v>
      </c>
      <c r="Q34" s="97" t="e">
        <f>IF(ISBLANK(M34),0,L34/ROUND(M34,4))</f>
        <v>#DIV/0!</v>
      </c>
      <c r="R34" s="97" t="e">
        <f>IF(ISBLANK(M34),0,Q34*ROUND(N34,2))</f>
        <v>#DIV/0!</v>
      </c>
      <c r="S34" s="26" t="e">
        <f>ROUND(P34,2)*Q34</f>
        <v>#DIV/0!</v>
      </c>
      <c r="T34" s="97" t="e">
        <f>Q34*dagenperjaar1</f>
        <v>#DIV/0!</v>
      </c>
      <c r="U34" s="27" t="e">
        <f>T34*ROUND(P34,2)</f>
        <v>#DIV/0!</v>
      </c>
    </row>
    <row r="35" spans="1:21" x14ac:dyDescent="0.2">
      <c r="A35" s="94" t="s">
        <v>243</v>
      </c>
      <c r="B35" s="95" t="s">
        <v>35</v>
      </c>
      <c r="C35" s="95" t="s">
        <v>244</v>
      </c>
      <c r="D35" s="95" t="s">
        <v>296</v>
      </c>
      <c r="E35" s="96" t="s">
        <v>289</v>
      </c>
      <c r="F35" s="95" t="s">
        <v>253</v>
      </c>
      <c r="G35" s="95" t="s">
        <v>192</v>
      </c>
      <c r="H35" s="95" t="s">
        <v>9</v>
      </c>
      <c r="I35" s="95" t="s">
        <v>190</v>
      </c>
      <c r="J35" s="96" t="s">
        <v>193</v>
      </c>
      <c r="K35" s="97">
        <v>7.26</v>
      </c>
      <c r="L35" s="97">
        <f>K35*VLOOKUP(H35,dagsoorttabel1,2,FALSE)</f>
        <v>7.26</v>
      </c>
      <c r="M35" s="98">
        <f>prodnorm12</f>
        <v>0</v>
      </c>
      <c r="N35" s="41">
        <f>dagwerk12</f>
        <v>0</v>
      </c>
      <c r="O35" s="95" t="s">
        <v>101</v>
      </c>
      <c r="P35" s="26">
        <f>uurtarief12</f>
        <v>0</v>
      </c>
      <c r="Q35" s="97" t="e">
        <f>IF(ISBLANK(M35),0,L35/ROUND(M35,4))</f>
        <v>#DIV/0!</v>
      </c>
      <c r="R35" s="97" t="e">
        <f>IF(ISBLANK(M35),0,Q35*ROUND(N35,2))</f>
        <v>#DIV/0!</v>
      </c>
      <c r="S35" s="26" t="e">
        <f>ROUND(P35,2)*Q35</f>
        <v>#DIV/0!</v>
      </c>
      <c r="T35" s="97" t="e">
        <f>Q35*dagenperjaar1</f>
        <v>#DIV/0!</v>
      </c>
      <c r="U35" s="27" t="e">
        <f>T35*ROUND(P35,2)</f>
        <v>#DIV/0!</v>
      </c>
    </row>
    <row r="36" spans="1:21" x14ac:dyDescent="0.2">
      <c r="A36" s="94" t="s">
        <v>243</v>
      </c>
      <c r="B36" s="95" t="s">
        <v>35</v>
      </c>
      <c r="C36" s="95" t="s">
        <v>244</v>
      </c>
      <c r="D36" s="95" t="s">
        <v>297</v>
      </c>
      <c r="E36" s="96" t="s">
        <v>298</v>
      </c>
      <c r="F36" s="95" t="s">
        <v>258</v>
      </c>
      <c r="G36" s="95" t="s">
        <v>216</v>
      </c>
      <c r="H36" s="95" t="s">
        <v>9</v>
      </c>
      <c r="I36" s="95" t="s">
        <v>190</v>
      </c>
      <c r="J36" s="96" t="s">
        <v>217</v>
      </c>
      <c r="K36" s="97">
        <v>5.5</v>
      </c>
      <c r="L36" s="97">
        <f>K36*VLOOKUP(H36,dagsoorttabel1,2,FALSE)</f>
        <v>5.5</v>
      </c>
      <c r="M36" s="98">
        <f>prodnorm25</f>
        <v>0</v>
      </c>
      <c r="N36" s="41">
        <f>dagwerk25</f>
        <v>0</v>
      </c>
      <c r="O36" s="95" t="s">
        <v>101</v>
      </c>
      <c r="P36" s="26">
        <f>uurtarief25</f>
        <v>0</v>
      </c>
      <c r="Q36" s="97" t="e">
        <f>IF(ISBLANK(M36),0,L36/ROUND(M36,4))</f>
        <v>#DIV/0!</v>
      </c>
      <c r="R36" s="97" t="e">
        <f>IF(ISBLANK(M36),0,Q36*ROUND(N36,2))</f>
        <v>#DIV/0!</v>
      </c>
      <c r="S36" s="26" t="e">
        <f>ROUND(P36,2)*Q36</f>
        <v>#DIV/0!</v>
      </c>
      <c r="T36" s="97" t="e">
        <f>Q36*dagenperjaar1</f>
        <v>#DIV/0!</v>
      </c>
      <c r="U36" s="27" t="e">
        <f>T36*ROUND(P36,2)</f>
        <v>#DIV/0!</v>
      </c>
    </row>
    <row r="37" spans="1:21" x14ac:dyDescent="0.2">
      <c r="A37" s="94" t="s">
        <v>243</v>
      </c>
      <c r="B37" s="95" t="s">
        <v>35</v>
      </c>
      <c r="C37" s="95" t="s">
        <v>244</v>
      </c>
      <c r="D37" s="95" t="s">
        <v>299</v>
      </c>
      <c r="E37" s="96" t="s">
        <v>300</v>
      </c>
      <c r="F37" s="95" t="s">
        <v>258</v>
      </c>
      <c r="G37" s="95" t="s">
        <v>224</v>
      </c>
      <c r="H37" s="95" t="s">
        <v>9</v>
      </c>
      <c r="I37" s="95" t="s">
        <v>190</v>
      </c>
      <c r="J37" s="96" t="s">
        <v>225</v>
      </c>
      <c r="K37" s="97">
        <v>2</v>
      </c>
      <c r="L37" s="97">
        <f>K37*VLOOKUP(H37,dagsoorttabel1,2,FALSE)</f>
        <v>2</v>
      </c>
      <c r="M37" s="98">
        <f>prodnorm29</f>
        <v>0</v>
      </c>
      <c r="N37" s="41">
        <f>dagwerk29</f>
        <v>0</v>
      </c>
      <c r="O37" s="95" t="s">
        <v>101</v>
      </c>
      <c r="P37" s="26">
        <f>uurtarief29</f>
        <v>0</v>
      </c>
      <c r="Q37" s="97" t="e">
        <f>IF(ISBLANK(M37),0,L37/ROUND(M37,4))</f>
        <v>#DIV/0!</v>
      </c>
      <c r="R37" s="97" t="e">
        <f>IF(ISBLANK(M37),0,Q37*ROUND(N37,2))</f>
        <v>#DIV/0!</v>
      </c>
      <c r="S37" s="26" t="e">
        <f>ROUND(P37,2)*Q37</f>
        <v>#DIV/0!</v>
      </c>
      <c r="T37" s="97" t="e">
        <f>Q37*dagenperjaar1</f>
        <v>#DIV/0!</v>
      </c>
      <c r="U37" s="27" t="e">
        <f>T37*ROUND(P37,2)</f>
        <v>#DIV/0!</v>
      </c>
    </row>
    <row r="38" spans="1:21" x14ac:dyDescent="0.2">
      <c r="A38" s="94" t="s">
        <v>243</v>
      </c>
      <c r="B38" s="95" t="s">
        <v>35</v>
      </c>
      <c r="C38" s="95" t="s">
        <v>244</v>
      </c>
      <c r="D38" s="95" t="s">
        <v>301</v>
      </c>
      <c r="E38" s="96" t="s">
        <v>302</v>
      </c>
      <c r="F38" s="95" t="s">
        <v>258</v>
      </c>
      <c r="G38" s="95" t="s">
        <v>216</v>
      </c>
      <c r="H38" s="95" t="s">
        <v>9</v>
      </c>
      <c r="I38" s="95" t="s">
        <v>190</v>
      </c>
      <c r="J38" s="96" t="s">
        <v>217</v>
      </c>
      <c r="K38" s="97">
        <v>2.08</v>
      </c>
      <c r="L38" s="97">
        <f>K38*VLOOKUP(H38,dagsoorttabel1,2,FALSE)</f>
        <v>2.08</v>
      </c>
      <c r="M38" s="98">
        <f>prodnorm25</f>
        <v>0</v>
      </c>
      <c r="N38" s="41">
        <f>dagwerk25</f>
        <v>0</v>
      </c>
      <c r="O38" s="95" t="s">
        <v>101</v>
      </c>
      <c r="P38" s="26">
        <f>uurtarief25</f>
        <v>0</v>
      </c>
      <c r="Q38" s="97" t="e">
        <f>IF(ISBLANK(M38),0,L38/ROUND(M38,4))</f>
        <v>#DIV/0!</v>
      </c>
      <c r="R38" s="97" t="e">
        <f>IF(ISBLANK(M38),0,Q38*ROUND(N38,2))</f>
        <v>#DIV/0!</v>
      </c>
      <c r="S38" s="26" t="e">
        <f>ROUND(P38,2)*Q38</f>
        <v>#DIV/0!</v>
      </c>
      <c r="T38" s="97" t="e">
        <f>Q38*dagenperjaar1</f>
        <v>#DIV/0!</v>
      </c>
      <c r="U38" s="27" t="e">
        <f>T38*ROUND(P38,2)</f>
        <v>#DIV/0!</v>
      </c>
    </row>
    <row r="39" spans="1:21" x14ac:dyDescent="0.2">
      <c r="A39" s="94" t="s">
        <v>243</v>
      </c>
      <c r="B39" s="95" t="s">
        <v>35</v>
      </c>
      <c r="C39" s="95" t="s">
        <v>244</v>
      </c>
      <c r="D39" s="95" t="s">
        <v>303</v>
      </c>
      <c r="E39" s="96" t="s">
        <v>304</v>
      </c>
      <c r="F39" s="95" t="s">
        <v>280</v>
      </c>
      <c r="G39" s="95" t="s">
        <v>281</v>
      </c>
      <c r="H39" s="95"/>
      <c r="I39" s="95"/>
      <c r="J39" s="95"/>
      <c r="K39" s="97">
        <v>6.46</v>
      </c>
      <c r="L39" s="97"/>
      <c r="M39" s="98"/>
      <c r="N39" s="41"/>
      <c r="O39" s="95"/>
      <c r="P39" s="26"/>
      <c r="Q39" s="97"/>
      <c r="R39" s="97"/>
      <c r="S39" s="26"/>
      <c r="T39" s="99"/>
      <c r="U39" s="27"/>
    </row>
    <row r="40" spans="1:21" x14ac:dyDescent="0.2">
      <c r="A40" s="94" t="s">
        <v>243</v>
      </c>
      <c r="B40" s="95" t="s">
        <v>35</v>
      </c>
      <c r="C40" s="95" t="s">
        <v>244</v>
      </c>
      <c r="D40" s="95" t="s">
        <v>305</v>
      </c>
      <c r="E40" s="96" t="s">
        <v>306</v>
      </c>
      <c r="F40" s="95" t="s">
        <v>307</v>
      </c>
      <c r="G40" s="95" t="s">
        <v>214</v>
      </c>
      <c r="H40" s="95" t="s">
        <v>9</v>
      </c>
      <c r="I40" s="95" t="s">
        <v>190</v>
      </c>
      <c r="J40" s="96" t="s">
        <v>215</v>
      </c>
      <c r="K40" s="97">
        <v>6</v>
      </c>
      <c r="L40" s="97">
        <f>K40*VLOOKUP(H40,dagsoorttabel1,2,FALSE)</f>
        <v>6</v>
      </c>
      <c r="M40" s="98">
        <f>prodnorm24</f>
        <v>0</v>
      </c>
      <c r="N40" s="41">
        <f>dagwerk24</f>
        <v>0</v>
      </c>
      <c r="O40" s="95" t="s">
        <v>101</v>
      </c>
      <c r="P40" s="26">
        <f>uurtarief24</f>
        <v>0</v>
      </c>
      <c r="Q40" s="97" t="e">
        <f>IF(ISBLANK(M40),0,L40/ROUND(M40,4))</f>
        <v>#DIV/0!</v>
      </c>
      <c r="R40" s="97" t="e">
        <f>IF(ISBLANK(M40),0,Q40*ROUND(N40,2))</f>
        <v>#DIV/0!</v>
      </c>
      <c r="S40" s="26" t="e">
        <f>ROUND(P40,2)*Q40</f>
        <v>#DIV/0!</v>
      </c>
      <c r="T40" s="97" t="e">
        <f>Q40*dagenperjaar1</f>
        <v>#DIV/0!</v>
      </c>
      <c r="U40" s="27" t="e">
        <f>T40*ROUND(P40,2)</f>
        <v>#DIV/0!</v>
      </c>
    </row>
    <row r="41" spans="1:21" x14ac:dyDescent="0.2">
      <c r="A41" s="94" t="s">
        <v>243</v>
      </c>
      <c r="B41" s="95" t="s">
        <v>35</v>
      </c>
      <c r="C41" s="95" t="s">
        <v>244</v>
      </c>
      <c r="D41" s="95" t="s">
        <v>308</v>
      </c>
      <c r="E41" s="96" t="s">
        <v>309</v>
      </c>
      <c r="F41" s="95" t="s">
        <v>307</v>
      </c>
      <c r="G41" s="95" t="s">
        <v>214</v>
      </c>
      <c r="H41" s="95" t="s">
        <v>9</v>
      </c>
      <c r="I41" s="95" t="s">
        <v>190</v>
      </c>
      <c r="J41" s="96" t="s">
        <v>215</v>
      </c>
      <c r="K41" s="97">
        <v>0.96000000000000008</v>
      </c>
      <c r="L41" s="97">
        <f>K41*VLOOKUP(H41,dagsoorttabel1,2,FALSE)</f>
        <v>0.96000000000000008</v>
      </c>
      <c r="M41" s="98">
        <f>prodnorm24</f>
        <v>0</v>
      </c>
      <c r="N41" s="41">
        <f>dagwerk24</f>
        <v>0</v>
      </c>
      <c r="O41" s="95" t="s">
        <v>101</v>
      </c>
      <c r="P41" s="26">
        <f>uurtarief24</f>
        <v>0</v>
      </c>
      <c r="Q41" s="97" t="e">
        <f>IF(ISBLANK(M41),0,L41/ROUND(M41,4))</f>
        <v>#DIV/0!</v>
      </c>
      <c r="R41" s="97" t="e">
        <f>IF(ISBLANK(M41),0,Q41*ROUND(N41,2))</f>
        <v>#DIV/0!</v>
      </c>
      <c r="S41" s="26" t="e">
        <f>ROUND(P41,2)*Q41</f>
        <v>#DIV/0!</v>
      </c>
      <c r="T41" s="97" t="e">
        <f>Q41*dagenperjaar1</f>
        <v>#DIV/0!</v>
      </c>
      <c r="U41" s="27" t="e">
        <f>T41*ROUND(P41,2)</f>
        <v>#DIV/0!</v>
      </c>
    </row>
    <row r="42" spans="1:21" x14ac:dyDescent="0.2">
      <c r="A42" s="94" t="s">
        <v>243</v>
      </c>
      <c r="B42" s="95" t="s">
        <v>35</v>
      </c>
      <c r="C42" s="95" t="s">
        <v>244</v>
      </c>
      <c r="D42" s="95" t="s">
        <v>310</v>
      </c>
      <c r="E42" s="96" t="s">
        <v>311</v>
      </c>
      <c r="F42" s="95" t="s">
        <v>307</v>
      </c>
      <c r="G42" s="95" t="s">
        <v>214</v>
      </c>
      <c r="H42" s="95" t="s">
        <v>9</v>
      </c>
      <c r="I42" s="95" t="s">
        <v>190</v>
      </c>
      <c r="J42" s="96" t="s">
        <v>215</v>
      </c>
      <c r="K42" s="97">
        <v>0.96000000000000008</v>
      </c>
      <c r="L42" s="97">
        <f>K42*VLOOKUP(H42,dagsoorttabel1,2,FALSE)</f>
        <v>0.96000000000000008</v>
      </c>
      <c r="M42" s="98">
        <f>prodnorm24</f>
        <v>0</v>
      </c>
      <c r="N42" s="41">
        <f>dagwerk24</f>
        <v>0</v>
      </c>
      <c r="O42" s="95" t="s">
        <v>101</v>
      </c>
      <c r="P42" s="26">
        <f>uurtarief24</f>
        <v>0</v>
      </c>
      <c r="Q42" s="97" t="e">
        <f>IF(ISBLANK(M42),0,L42/ROUND(M42,4))</f>
        <v>#DIV/0!</v>
      </c>
      <c r="R42" s="97" t="e">
        <f>IF(ISBLANK(M42),0,Q42*ROUND(N42,2))</f>
        <v>#DIV/0!</v>
      </c>
      <c r="S42" s="26" t="e">
        <f>ROUND(P42,2)*Q42</f>
        <v>#DIV/0!</v>
      </c>
      <c r="T42" s="97" t="e">
        <f>Q42*dagenperjaar1</f>
        <v>#DIV/0!</v>
      </c>
      <c r="U42" s="27" t="e">
        <f>T42*ROUND(P42,2)</f>
        <v>#DIV/0!</v>
      </c>
    </row>
    <row r="43" spans="1:21" x14ac:dyDescent="0.2">
      <c r="A43" s="94" t="s">
        <v>243</v>
      </c>
      <c r="B43" s="95" t="s">
        <v>35</v>
      </c>
      <c r="C43" s="95" t="s">
        <v>244</v>
      </c>
      <c r="D43" s="95" t="s">
        <v>312</v>
      </c>
      <c r="E43" s="96" t="s">
        <v>313</v>
      </c>
      <c r="F43" s="95" t="s">
        <v>307</v>
      </c>
      <c r="G43" s="95" t="s">
        <v>214</v>
      </c>
      <c r="H43" s="95" t="s">
        <v>9</v>
      </c>
      <c r="I43" s="95" t="s">
        <v>190</v>
      </c>
      <c r="J43" s="96" t="s">
        <v>215</v>
      </c>
      <c r="K43" s="97">
        <v>0.96000000000000008</v>
      </c>
      <c r="L43" s="97">
        <f>K43*VLOOKUP(H43,dagsoorttabel1,2,FALSE)</f>
        <v>0.96000000000000008</v>
      </c>
      <c r="M43" s="98">
        <f>prodnorm24</f>
        <v>0</v>
      </c>
      <c r="N43" s="41">
        <f>dagwerk24</f>
        <v>0</v>
      </c>
      <c r="O43" s="95" t="s">
        <v>101</v>
      </c>
      <c r="P43" s="26">
        <f>uurtarief24</f>
        <v>0</v>
      </c>
      <c r="Q43" s="97" t="e">
        <f>IF(ISBLANK(M43),0,L43/ROUND(M43,4))</f>
        <v>#DIV/0!</v>
      </c>
      <c r="R43" s="97" t="e">
        <f>IF(ISBLANK(M43),0,Q43*ROUND(N43,2))</f>
        <v>#DIV/0!</v>
      </c>
      <c r="S43" s="26" t="e">
        <f>ROUND(P43,2)*Q43</f>
        <v>#DIV/0!</v>
      </c>
      <c r="T43" s="97" t="e">
        <f>Q43*dagenperjaar1</f>
        <v>#DIV/0!</v>
      </c>
      <c r="U43" s="27" t="e">
        <f>T43*ROUND(P43,2)</f>
        <v>#DIV/0!</v>
      </c>
    </row>
    <row r="44" spans="1:21" x14ac:dyDescent="0.2">
      <c r="A44" s="94" t="s">
        <v>243</v>
      </c>
      <c r="B44" s="95" t="s">
        <v>35</v>
      </c>
      <c r="C44" s="95" t="s">
        <v>244</v>
      </c>
      <c r="D44" s="95" t="s">
        <v>314</v>
      </c>
      <c r="E44" s="96" t="s">
        <v>315</v>
      </c>
      <c r="F44" s="95" t="s">
        <v>258</v>
      </c>
      <c r="G44" s="95" t="s">
        <v>228</v>
      </c>
      <c r="H44" s="95" t="s">
        <v>9</v>
      </c>
      <c r="I44" s="95" t="s">
        <v>190</v>
      </c>
      <c r="J44" s="96" t="s">
        <v>229</v>
      </c>
      <c r="K44" s="97">
        <v>48.4</v>
      </c>
      <c r="L44" s="97">
        <f>K44*VLOOKUP(H44,dagsoorttabel1,2,FALSE)</f>
        <v>48.4</v>
      </c>
      <c r="M44" s="98">
        <f>prodnorm31</f>
        <v>0</v>
      </c>
      <c r="N44" s="41">
        <f>dagwerk31</f>
        <v>0</v>
      </c>
      <c r="O44" s="95" t="s">
        <v>101</v>
      </c>
      <c r="P44" s="26">
        <f>uurtarief31</f>
        <v>0</v>
      </c>
      <c r="Q44" s="97" t="e">
        <f>IF(ISBLANK(M44),0,L44/ROUND(M44,4))</f>
        <v>#DIV/0!</v>
      </c>
      <c r="R44" s="97" t="e">
        <f>IF(ISBLANK(M44),0,Q44*ROUND(N44,2))</f>
        <v>#DIV/0!</v>
      </c>
      <c r="S44" s="26" t="e">
        <f>ROUND(P44,2)*Q44</f>
        <v>#DIV/0!</v>
      </c>
      <c r="T44" s="97" t="e">
        <f>Q44*dagenperjaar1</f>
        <v>#DIV/0!</v>
      </c>
      <c r="U44" s="27" t="e">
        <f>T44*ROUND(P44,2)</f>
        <v>#DIV/0!</v>
      </c>
    </row>
    <row r="45" spans="1:21" x14ac:dyDescent="0.2">
      <c r="A45" s="94" t="s">
        <v>243</v>
      </c>
      <c r="B45" s="95" t="s">
        <v>35</v>
      </c>
      <c r="C45" s="95" t="s">
        <v>244</v>
      </c>
      <c r="D45" s="95" t="s">
        <v>316</v>
      </c>
      <c r="E45" s="96" t="s">
        <v>317</v>
      </c>
      <c r="F45" s="95" t="s">
        <v>258</v>
      </c>
      <c r="G45" s="95" t="s">
        <v>220</v>
      </c>
      <c r="H45" s="95" t="s">
        <v>9</v>
      </c>
      <c r="I45" s="95" t="s">
        <v>190</v>
      </c>
      <c r="J45" s="96" t="s">
        <v>221</v>
      </c>
      <c r="K45" s="97">
        <v>63.690000000000005</v>
      </c>
      <c r="L45" s="97">
        <f>K45*VLOOKUP(H45,dagsoorttabel1,2,FALSE)</f>
        <v>63.690000000000005</v>
      </c>
      <c r="M45" s="98">
        <f>prodnorm27</f>
        <v>0</v>
      </c>
      <c r="N45" s="41">
        <f>dagwerk27</f>
        <v>0</v>
      </c>
      <c r="O45" s="95" t="s">
        <v>101</v>
      </c>
      <c r="P45" s="26">
        <f>uurtarief27</f>
        <v>0</v>
      </c>
      <c r="Q45" s="97" t="e">
        <f>IF(ISBLANK(M45),0,L45/ROUND(M45,4))</f>
        <v>#DIV/0!</v>
      </c>
      <c r="R45" s="97" t="e">
        <f>IF(ISBLANK(M45),0,Q45*ROUND(N45,2))</f>
        <v>#DIV/0!</v>
      </c>
      <c r="S45" s="26" t="e">
        <f>ROUND(P45,2)*Q45</f>
        <v>#DIV/0!</v>
      </c>
      <c r="T45" s="97" t="e">
        <f>Q45*dagenperjaar1</f>
        <v>#DIV/0!</v>
      </c>
      <c r="U45" s="27" t="e">
        <f>T45*ROUND(P45,2)</f>
        <v>#DIV/0!</v>
      </c>
    </row>
    <row r="46" spans="1:21" x14ac:dyDescent="0.2">
      <c r="A46" s="94" t="s">
        <v>243</v>
      </c>
      <c r="B46" s="95" t="s">
        <v>35</v>
      </c>
      <c r="C46" s="95" t="s">
        <v>244</v>
      </c>
      <c r="D46" s="95" t="s">
        <v>318</v>
      </c>
      <c r="E46" s="96" t="s">
        <v>319</v>
      </c>
      <c r="F46" s="95" t="s">
        <v>258</v>
      </c>
      <c r="G46" s="95" t="s">
        <v>281</v>
      </c>
      <c r="H46" s="95"/>
      <c r="I46" s="95"/>
      <c r="J46" s="95"/>
      <c r="K46" s="97">
        <v>12.8</v>
      </c>
      <c r="L46" s="97"/>
      <c r="M46" s="98"/>
      <c r="N46" s="41"/>
      <c r="O46" s="95"/>
      <c r="P46" s="26"/>
      <c r="Q46" s="97"/>
      <c r="R46" s="97"/>
      <c r="S46" s="26"/>
      <c r="T46" s="99"/>
      <c r="U46" s="27"/>
    </row>
    <row r="47" spans="1:21" x14ac:dyDescent="0.2">
      <c r="A47" s="94" t="s">
        <v>243</v>
      </c>
      <c r="B47" s="95" t="s">
        <v>35</v>
      </c>
      <c r="C47" s="95" t="s">
        <v>244</v>
      </c>
      <c r="D47" s="95" t="s">
        <v>320</v>
      </c>
      <c r="E47" s="96" t="s">
        <v>321</v>
      </c>
      <c r="F47" s="95" t="s">
        <v>280</v>
      </c>
      <c r="G47" s="95" t="s">
        <v>281</v>
      </c>
      <c r="H47" s="95"/>
      <c r="I47" s="95"/>
      <c r="J47" s="95"/>
      <c r="K47" s="97">
        <v>1.02</v>
      </c>
      <c r="L47" s="97"/>
      <c r="M47" s="98"/>
      <c r="N47" s="41"/>
      <c r="O47" s="95"/>
      <c r="P47" s="26"/>
      <c r="Q47" s="97"/>
      <c r="R47" s="97"/>
      <c r="S47" s="26"/>
      <c r="T47" s="99"/>
      <c r="U47" s="27"/>
    </row>
    <row r="48" spans="1:21" x14ac:dyDescent="0.2">
      <c r="A48" s="94" t="s">
        <v>243</v>
      </c>
      <c r="B48" s="95" t="s">
        <v>35</v>
      </c>
      <c r="C48" s="95" t="s">
        <v>244</v>
      </c>
      <c r="D48" s="95" t="s">
        <v>322</v>
      </c>
      <c r="E48" s="96" t="s">
        <v>323</v>
      </c>
      <c r="F48" s="95" t="s">
        <v>307</v>
      </c>
      <c r="G48" s="95" t="s">
        <v>281</v>
      </c>
      <c r="H48" s="95"/>
      <c r="I48" s="95"/>
      <c r="J48" s="95"/>
      <c r="K48" s="97">
        <v>6.23</v>
      </c>
      <c r="L48" s="97"/>
      <c r="M48" s="98"/>
      <c r="N48" s="41"/>
      <c r="O48" s="95"/>
      <c r="P48" s="26"/>
      <c r="Q48" s="97"/>
      <c r="R48" s="97"/>
      <c r="S48" s="26"/>
      <c r="T48" s="99"/>
      <c r="U48" s="27"/>
    </row>
    <row r="49" spans="1:21" x14ac:dyDescent="0.2">
      <c r="A49" s="94" t="s">
        <v>243</v>
      </c>
      <c r="B49" s="95" t="s">
        <v>35</v>
      </c>
      <c r="C49" s="95" t="s">
        <v>244</v>
      </c>
      <c r="D49" s="95" t="s">
        <v>324</v>
      </c>
      <c r="E49" s="96" t="s">
        <v>325</v>
      </c>
      <c r="F49" s="95" t="s">
        <v>307</v>
      </c>
      <c r="G49" s="95" t="s">
        <v>281</v>
      </c>
      <c r="H49" s="95"/>
      <c r="I49" s="95"/>
      <c r="J49" s="95"/>
      <c r="K49" s="97">
        <v>5.76</v>
      </c>
      <c r="L49" s="97"/>
      <c r="M49" s="98"/>
      <c r="N49" s="41"/>
      <c r="O49" s="95"/>
      <c r="P49" s="26"/>
      <c r="Q49" s="97"/>
      <c r="R49" s="97"/>
      <c r="S49" s="26"/>
      <c r="T49" s="99"/>
      <c r="U49" s="27"/>
    </row>
    <row r="50" spans="1:21" x14ac:dyDescent="0.2">
      <c r="A50" s="94" t="s">
        <v>243</v>
      </c>
      <c r="B50" s="95" t="s">
        <v>35</v>
      </c>
      <c r="C50" s="95" t="s">
        <v>244</v>
      </c>
      <c r="D50" s="95" t="s">
        <v>326</v>
      </c>
      <c r="E50" s="96" t="s">
        <v>327</v>
      </c>
      <c r="F50" s="95" t="s">
        <v>258</v>
      </c>
      <c r="G50" s="95" t="s">
        <v>216</v>
      </c>
      <c r="H50" s="95" t="s">
        <v>9</v>
      </c>
      <c r="I50" s="95" t="s">
        <v>190</v>
      </c>
      <c r="J50" s="96" t="s">
        <v>217</v>
      </c>
      <c r="K50" s="97">
        <v>42.879999999999995</v>
      </c>
      <c r="L50" s="97">
        <f>K50*VLOOKUP(H50,dagsoorttabel1,2,FALSE)</f>
        <v>42.879999999999995</v>
      </c>
      <c r="M50" s="98">
        <f>prodnorm25</f>
        <v>0</v>
      </c>
      <c r="N50" s="41">
        <f>dagwerk25</f>
        <v>0</v>
      </c>
      <c r="O50" s="95" t="s">
        <v>101</v>
      </c>
      <c r="P50" s="26">
        <f>uurtarief25</f>
        <v>0</v>
      </c>
      <c r="Q50" s="97" t="e">
        <f>IF(ISBLANK(M50),0,L50/ROUND(M50,4))</f>
        <v>#DIV/0!</v>
      </c>
      <c r="R50" s="97" t="e">
        <f>IF(ISBLANK(M50),0,Q50*ROUND(N50,2))</f>
        <v>#DIV/0!</v>
      </c>
      <c r="S50" s="26" t="e">
        <f>ROUND(P50,2)*Q50</f>
        <v>#DIV/0!</v>
      </c>
      <c r="T50" s="97" t="e">
        <f>Q50*dagenperjaar1</f>
        <v>#DIV/0!</v>
      </c>
      <c r="U50" s="27" t="e">
        <f>T50*ROUND(P50,2)</f>
        <v>#DIV/0!</v>
      </c>
    </row>
    <row r="51" spans="1:21" x14ac:dyDescent="0.2">
      <c r="A51" s="94" t="s">
        <v>243</v>
      </c>
      <c r="B51" s="95" t="s">
        <v>35</v>
      </c>
      <c r="C51" s="95" t="s">
        <v>244</v>
      </c>
      <c r="D51" s="95" t="s">
        <v>328</v>
      </c>
      <c r="E51" s="96" t="s">
        <v>329</v>
      </c>
      <c r="F51" s="95" t="s">
        <v>307</v>
      </c>
      <c r="G51" s="95" t="s">
        <v>212</v>
      </c>
      <c r="H51" s="95" t="s">
        <v>9</v>
      </c>
      <c r="I51" s="95" t="s">
        <v>190</v>
      </c>
      <c r="J51" s="96" t="s">
        <v>213</v>
      </c>
      <c r="K51" s="97">
        <v>8.9</v>
      </c>
      <c r="L51" s="97">
        <f>K51*VLOOKUP(H51,dagsoorttabel1,2,FALSE)</f>
        <v>8.9</v>
      </c>
      <c r="M51" s="98">
        <f>prodnorm23</f>
        <v>0</v>
      </c>
      <c r="N51" s="41">
        <f>dagwerk23</f>
        <v>0</v>
      </c>
      <c r="O51" s="95" t="s">
        <v>101</v>
      </c>
      <c r="P51" s="26">
        <f>uurtarief23</f>
        <v>0</v>
      </c>
      <c r="Q51" s="97" t="e">
        <f>IF(ISBLANK(M51),0,L51/ROUND(M51,4))</f>
        <v>#DIV/0!</v>
      </c>
      <c r="R51" s="97" t="e">
        <f>IF(ISBLANK(M51),0,Q51*ROUND(N51,2))</f>
        <v>#DIV/0!</v>
      </c>
      <c r="S51" s="26" t="e">
        <f>ROUND(P51,2)*Q51</f>
        <v>#DIV/0!</v>
      </c>
      <c r="T51" s="97" t="e">
        <f>Q51*dagenperjaar1</f>
        <v>#DIV/0!</v>
      </c>
      <c r="U51" s="27" t="e">
        <f>T51*ROUND(P51,2)</f>
        <v>#DIV/0!</v>
      </c>
    </row>
    <row r="52" spans="1:21" x14ac:dyDescent="0.2">
      <c r="A52" s="94" t="s">
        <v>243</v>
      </c>
      <c r="B52" s="95" t="s">
        <v>35</v>
      </c>
      <c r="C52" s="95" t="s">
        <v>244</v>
      </c>
      <c r="D52" s="95" t="s">
        <v>330</v>
      </c>
      <c r="E52" s="96" t="s">
        <v>331</v>
      </c>
      <c r="F52" s="95" t="s">
        <v>307</v>
      </c>
      <c r="G52" s="95" t="s">
        <v>210</v>
      </c>
      <c r="H52" s="95" t="s">
        <v>9</v>
      </c>
      <c r="I52" s="95" t="s">
        <v>190</v>
      </c>
      <c r="J52" s="96" t="s">
        <v>211</v>
      </c>
      <c r="K52" s="97">
        <v>1.9800000000000002</v>
      </c>
      <c r="L52" s="97">
        <f>K52*VLOOKUP(H52,dagsoorttabel1,2,FALSE)</f>
        <v>1.9800000000000002</v>
      </c>
      <c r="M52" s="98">
        <f>prodnorm22</f>
        <v>0</v>
      </c>
      <c r="N52" s="41">
        <f>dagwerk22</f>
        <v>0</v>
      </c>
      <c r="O52" s="95" t="s">
        <v>101</v>
      </c>
      <c r="P52" s="26">
        <f>uurtarief22</f>
        <v>0</v>
      </c>
      <c r="Q52" s="97" t="e">
        <f>IF(ISBLANK(M52),0,L52/ROUND(M52,4))</f>
        <v>#DIV/0!</v>
      </c>
      <c r="R52" s="97" t="e">
        <f>IF(ISBLANK(M52),0,Q52*ROUND(N52,2))</f>
        <v>#DIV/0!</v>
      </c>
      <c r="S52" s="26" t="e">
        <f>ROUND(P52,2)*Q52</f>
        <v>#DIV/0!</v>
      </c>
      <c r="T52" s="97" t="e">
        <f>Q52*dagenperjaar1</f>
        <v>#DIV/0!</v>
      </c>
      <c r="U52" s="27" t="e">
        <f>T52*ROUND(P52,2)</f>
        <v>#DIV/0!</v>
      </c>
    </row>
    <row r="53" spans="1:21" x14ac:dyDescent="0.2">
      <c r="A53" s="94" t="s">
        <v>243</v>
      </c>
      <c r="B53" s="95" t="s">
        <v>35</v>
      </c>
      <c r="C53" s="95" t="s">
        <v>244</v>
      </c>
      <c r="D53" s="95" t="s">
        <v>332</v>
      </c>
      <c r="E53" s="96" t="s">
        <v>333</v>
      </c>
      <c r="F53" s="95" t="s">
        <v>307</v>
      </c>
      <c r="G53" s="95" t="s">
        <v>212</v>
      </c>
      <c r="H53" s="95" t="s">
        <v>9</v>
      </c>
      <c r="I53" s="95" t="s">
        <v>190</v>
      </c>
      <c r="J53" s="96" t="s">
        <v>213</v>
      </c>
      <c r="K53" s="97">
        <v>5.89</v>
      </c>
      <c r="L53" s="97">
        <f>K53*VLOOKUP(H53,dagsoorttabel1,2,FALSE)</f>
        <v>5.89</v>
      </c>
      <c r="M53" s="98">
        <f>prodnorm23</f>
        <v>0</v>
      </c>
      <c r="N53" s="41">
        <f>dagwerk23</f>
        <v>0</v>
      </c>
      <c r="O53" s="95" t="s">
        <v>101</v>
      </c>
      <c r="P53" s="26">
        <f>uurtarief23</f>
        <v>0</v>
      </c>
      <c r="Q53" s="97" t="e">
        <f>IF(ISBLANK(M53),0,L53/ROUND(M53,4))</f>
        <v>#DIV/0!</v>
      </c>
      <c r="R53" s="97" t="e">
        <f>IF(ISBLANK(M53),0,Q53*ROUND(N53,2))</f>
        <v>#DIV/0!</v>
      </c>
      <c r="S53" s="26" t="e">
        <f>ROUND(P53,2)*Q53</f>
        <v>#DIV/0!</v>
      </c>
      <c r="T53" s="97" t="e">
        <f>Q53*dagenperjaar1</f>
        <v>#DIV/0!</v>
      </c>
      <c r="U53" s="27" t="e">
        <f>T53*ROUND(P53,2)</f>
        <v>#DIV/0!</v>
      </c>
    </row>
    <row r="54" spans="1:21" x14ac:dyDescent="0.2">
      <c r="A54" s="94" t="s">
        <v>243</v>
      </c>
      <c r="B54" s="95" t="s">
        <v>35</v>
      </c>
      <c r="C54" s="95" t="s">
        <v>244</v>
      </c>
      <c r="D54" s="95" t="s">
        <v>334</v>
      </c>
      <c r="E54" s="96" t="s">
        <v>335</v>
      </c>
      <c r="F54" s="95" t="s">
        <v>307</v>
      </c>
      <c r="G54" s="95" t="s">
        <v>210</v>
      </c>
      <c r="H54" s="95" t="s">
        <v>9</v>
      </c>
      <c r="I54" s="95" t="s">
        <v>190</v>
      </c>
      <c r="J54" s="96" t="s">
        <v>211</v>
      </c>
      <c r="K54" s="97">
        <v>1.9800000000000002</v>
      </c>
      <c r="L54" s="97">
        <f>K54*VLOOKUP(H54,dagsoorttabel1,2,FALSE)</f>
        <v>1.9800000000000002</v>
      </c>
      <c r="M54" s="98">
        <f>prodnorm22</f>
        <v>0</v>
      </c>
      <c r="N54" s="41">
        <f>dagwerk22</f>
        <v>0</v>
      </c>
      <c r="O54" s="95" t="s">
        <v>101</v>
      </c>
      <c r="P54" s="26">
        <f>uurtarief22</f>
        <v>0</v>
      </c>
      <c r="Q54" s="97" t="e">
        <f>IF(ISBLANK(M54),0,L54/ROUND(M54,4))</f>
        <v>#DIV/0!</v>
      </c>
      <c r="R54" s="97" t="e">
        <f>IF(ISBLANK(M54),0,Q54*ROUND(N54,2))</f>
        <v>#DIV/0!</v>
      </c>
      <c r="S54" s="26" t="e">
        <f>ROUND(P54,2)*Q54</f>
        <v>#DIV/0!</v>
      </c>
      <c r="T54" s="97" t="e">
        <f>Q54*dagenperjaar1</f>
        <v>#DIV/0!</v>
      </c>
      <c r="U54" s="27" t="e">
        <f>T54*ROUND(P54,2)</f>
        <v>#DIV/0!</v>
      </c>
    </row>
    <row r="55" spans="1:21" x14ac:dyDescent="0.2">
      <c r="A55" s="94" t="s">
        <v>243</v>
      </c>
      <c r="B55" s="95" t="s">
        <v>35</v>
      </c>
      <c r="C55" s="95" t="s">
        <v>244</v>
      </c>
      <c r="D55" s="95" t="s">
        <v>336</v>
      </c>
      <c r="E55" s="96" t="s">
        <v>289</v>
      </c>
      <c r="F55" s="95" t="s">
        <v>253</v>
      </c>
      <c r="G55" s="95" t="s">
        <v>192</v>
      </c>
      <c r="H55" s="95" t="s">
        <v>9</v>
      </c>
      <c r="I55" s="95" t="s">
        <v>190</v>
      </c>
      <c r="J55" s="96" t="s">
        <v>193</v>
      </c>
      <c r="K55" s="97">
        <v>26</v>
      </c>
      <c r="L55" s="97">
        <f>K55*VLOOKUP(H55,dagsoorttabel1,2,FALSE)</f>
        <v>26</v>
      </c>
      <c r="M55" s="98">
        <f>prodnorm12</f>
        <v>0</v>
      </c>
      <c r="N55" s="41">
        <f>dagwerk12</f>
        <v>0</v>
      </c>
      <c r="O55" s="95" t="s">
        <v>101</v>
      </c>
      <c r="P55" s="26">
        <f>uurtarief12</f>
        <v>0</v>
      </c>
      <c r="Q55" s="97" t="e">
        <f>IF(ISBLANK(M55),0,L55/ROUND(M55,4))</f>
        <v>#DIV/0!</v>
      </c>
      <c r="R55" s="97" t="e">
        <f>IF(ISBLANK(M55),0,Q55*ROUND(N55,2))</f>
        <v>#DIV/0!</v>
      </c>
      <c r="S55" s="26" t="e">
        <f>ROUND(P55,2)*Q55</f>
        <v>#DIV/0!</v>
      </c>
      <c r="T55" s="97" t="e">
        <f>Q55*dagenperjaar1</f>
        <v>#DIV/0!</v>
      </c>
      <c r="U55" s="27" t="e">
        <f>T55*ROUND(P55,2)</f>
        <v>#DIV/0!</v>
      </c>
    </row>
    <row r="56" spans="1:21" x14ac:dyDescent="0.2">
      <c r="A56" s="94" t="s">
        <v>243</v>
      </c>
      <c r="B56" s="95" t="s">
        <v>35</v>
      </c>
      <c r="C56" s="95" t="s">
        <v>244</v>
      </c>
      <c r="D56" s="95" t="s">
        <v>337</v>
      </c>
      <c r="E56" s="96" t="s">
        <v>338</v>
      </c>
      <c r="F56" s="95" t="s">
        <v>258</v>
      </c>
      <c r="G56" s="95" t="s">
        <v>194</v>
      </c>
      <c r="H56" s="95" t="s">
        <v>9</v>
      </c>
      <c r="I56" s="95" t="s">
        <v>190</v>
      </c>
      <c r="J56" s="96" t="s">
        <v>195</v>
      </c>
      <c r="K56" s="97">
        <v>35</v>
      </c>
      <c r="L56" s="97">
        <f>K56*VLOOKUP(H56,dagsoorttabel1,2,FALSE)</f>
        <v>35</v>
      </c>
      <c r="M56" s="98">
        <f>prodnorm13</f>
        <v>0</v>
      </c>
      <c r="N56" s="41">
        <f>dagwerk13</f>
        <v>0</v>
      </c>
      <c r="O56" s="95" t="s">
        <v>101</v>
      </c>
      <c r="P56" s="26">
        <f>uurtarief13</f>
        <v>0</v>
      </c>
      <c r="Q56" s="97" t="e">
        <f>IF(ISBLANK(M56),0,L56/ROUND(M56,4))</f>
        <v>#DIV/0!</v>
      </c>
      <c r="R56" s="97" t="e">
        <f>IF(ISBLANK(M56),0,Q56*ROUND(N56,2))</f>
        <v>#DIV/0!</v>
      </c>
      <c r="S56" s="26" t="e">
        <f>ROUND(P56,2)*Q56</f>
        <v>#DIV/0!</v>
      </c>
      <c r="T56" s="97" t="e">
        <f>Q56*dagenperjaar1</f>
        <v>#DIV/0!</v>
      </c>
      <c r="U56" s="27" t="e">
        <f>T56*ROUND(P56,2)</f>
        <v>#DIV/0!</v>
      </c>
    </row>
    <row r="57" spans="1:21" x14ac:dyDescent="0.2">
      <c r="A57" s="94" t="s">
        <v>243</v>
      </c>
      <c r="B57" s="95" t="s">
        <v>35</v>
      </c>
      <c r="C57" s="95" t="s">
        <v>244</v>
      </c>
      <c r="D57" s="95" t="s">
        <v>339</v>
      </c>
      <c r="E57" s="96" t="s">
        <v>340</v>
      </c>
      <c r="F57" s="95" t="s">
        <v>247</v>
      </c>
      <c r="G57" s="95" t="s">
        <v>222</v>
      </c>
      <c r="H57" s="95" t="s">
        <v>9</v>
      </c>
      <c r="I57" s="95" t="s">
        <v>190</v>
      </c>
      <c r="J57" s="96" t="s">
        <v>223</v>
      </c>
      <c r="K57" s="97">
        <v>17.86</v>
      </c>
      <c r="L57" s="97">
        <f>K57*VLOOKUP(H57,dagsoorttabel1,2,FALSE)</f>
        <v>17.86</v>
      </c>
      <c r="M57" s="98">
        <f>prodnorm28</f>
        <v>0</v>
      </c>
      <c r="N57" s="41">
        <f>dagwerk28</f>
        <v>0</v>
      </c>
      <c r="O57" s="95" t="s">
        <v>101</v>
      </c>
      <c r="P57" s="26">
        <f>uurtarief28</f>
        <v>0</v>
      </c>
      <c r="Q57" s="97" t="e">
        <f>IF(ISBLANK(M57),0,L57/ROUND(M57,4))</f>
        <v>#DIV/0!</v>
      </c>
      <c r="R57" s="97" t="e">
        <f>IF(ISBLANK(M57),0,Q57*ROUND(N57,2))</f>
        <v>#DIV/0!</v>
      </c>
      <c r="S57" s="26" t="e">
        <f>ROUND(P57,2)*Q57</f>
        <v>#DIV/0!</v>
      </c>
      <c r="T57" s="97" t="e">
        <f>Q57*dagenperjaar1</f>
        <v>#DIV/0!</v>
      </c>
      <c r="U57" s="27" t="e">
        <f>T57*ROUND(P57,2)</f>
        <v>#DIV/0!</v>
      </c>
    </row>
    <row r="58" spans="1:21" ht="25.5" x14ac:dyDescent="0.2">
      <c r="A58" s="94" t="s">
        <v>243</v>
      </c>
      <c r="B58" s="95" t="s">
        <v>35</v>
      </c>
      <c r="C58" s="95" t="s">
        <v>244</v>
      </c>
      <c r="D58" s="95" t="s">
        <v>341</v>
      </c>
      <c r="E58" s="96" t="s">
        <v>342</v>
      </c>
      <c r="F58" s="95" t="s">
        <v>307</v>
      </c>
      <c r="G58" s="95" t="s">
        <v>198</v>
      </c>
      <c r="H58" s="95" t="s">
        <v>9</v>
      </c>
      <c r="I58" s="95" t="s">
        <v>190</v>
      </c>
      <c r="J58" s="96" t="s">
        <v>199</v>
      </c>
      <c r="K58" s="97">
        <v>5.28</v>
      </c>
      <c r="L58" s="97">
        <f>K58*VLOOKUP(H58,dagsoorttabel1,2,FALSE)</f>
        <v>5.28</v>
      </c>
      <c r="M58" s="98">
        <f>prodnorm16</f>
        <v>0</v>
      </c>
      <c r="N58" s="41">
        <f>dagwerk16</f>
        <v>0</v>
      </c>
      <c r="O58" s="95" t="s">
        <v>101</v>
      </c>
      <c r="P58" s="26">
        <f>uurtarief16</f>
        <v>0</v>
      </c>
      <c r="Q58" s="97" t="e">
        <f>IF(ISBLANK(M58),0,L58/ROUND(M58,4))</f>
        <v>#DIV/0!</v>
      </c>
      <c r="R58" s="97" t="e">
        <f>IF(ISBLANK(M58),0,Q58*ROUND(N58,2))</f>
        <v>#DIV/0!</v>
      </c>
      <c r="S58" s="26" t="e">
        <f>ROUND(P58,2)*Q58</f>
        <v>#DIV/0!</v>
      </c>
      <c r="T58" s="97" t="e">
        <f>Q58*dagenperjaar1</f>
        <v>#DIV/0!</v>
      </c>
      <c r="U58" s="27" t="e">
        <f>T58*ROUND(P58,2)</f>
        <v>#DIV/0!</v>
      </c>
    </row>
    <row r="59" spans="1:21" x14ac:dyDescent="0.2">
      <c r="A59" s="94" t="s">
        <v>243</v>
      </c>
      <c r="B59" s="95" t="s">
        <v>35</v>
      </c>
      <c r="C59" s="95" t="s">
        <v>244</v>
      </c>
      <c r="D59" s="95" t="s">
        <v>343</v>
      </c>
      <c r="E59" s="96" t="s">
        <v>344</v>
      </c>
      <c r="F59" s="95" t="s">
        <v>258</v>
      </c>
      <c r="G59" s="95" t="s">
        <v>216</v>
      </c>
      <c r="H59" s="95" t="s">
        <v>9</v>
      </c>
      <c r="I59" s="95" t="s">
        <v>190</v>
      </c>
      <c r="J59" s="96" t="s">
        <v>217</v>
      </c>
      <c r="K59" s="97">
        <v>26</v>
      </c>
      <c r="L59" s="97">
        <f>K59*VLOOKUP(H59,dagsoorttabel1,2,FALSE)</f>
        <v>26</v>
      </c>
      <c r="M59" s="98">
        <f>prodnorm25</f>
        <v>0</v>
      </c>
      <c r="N59" s="41">
        <f>dagwerk25</f>
        <v>0</v>
      </c>
      <c r="O59" s="95" t="s">
        <v>101</v>
      </c>
      <c r="P59" s="26">
        <f>uurtarief25</f>
        <v>0</v>
      </c>
      <c r="Q59" s="97" t="e">
        <f>IF(ISBLANK(M59),0,L59/ROUND(M59,4))</f>
        <v>#DIV/0!</v>
      </c>
      <c r="R59" s="97" t="e">
        <f>IF(ISBLANK(M59),0,Q59*ROUND(N59,2))</f>
        <v>#DIV/0!</v>
      </c>
      <c r="S59" s="26" t="e">
        <f>ROUND(P59,2)*Q59</f>
        <v>#DIV/0!</v>
      </c>
      <c r="T59" s="97" t="e">
        <f>Q59*dagenperjaar1</f>
        <v>#DIV/0!</v>
      </c>
      <c r="U59" s="27" t="e">
        <f>T59*ROUND(P59,2)</f>
        <v>#DIV/0!</v>
      </c>
    </row>
    <row r="60" spans="1:21" x14ac:dyDescent="0.2">
      <c r="A60" s="94" t="s">
        <v>243</v>
      </c>
      <c r="B60" s="95" t="s">
        <v>35</v>
      </c>
      <c r="C60" s="95" t="s">
        <v>244</v>
      </c>
      <c r="D60" s="95" t="s">
        <v>345</v>
      </c>
      <c r="E60" s="96" t="s">
        <v>346</v>
      </c>
      <c r="F60" s="95" t="s">
        <v>280</v>
      </c>
      <c r="G60" s="95" t="s">
        <v>281</v>
      </c>
      <c r="H60" s="95"/>
      <c r="I60" s="95"/>
      <c r="J60" s="95"/>
      <c r="K60" s="97">
        <v>6.2</v>
      </c>
      <c r="L60" s="97"/>
      <c r="M60" s="98"/>
      <c r="N60" s="41"/>
      <c r="O60" s="95"/>
      <c r="P60" s="26"/>
      <c r="Q60" s="97"/>
      <c r="R60" s="97"/>
      <c r="S60" s="26"/>
      <c r="T60" s="99"/>
      <c r="U60" s="27"/>
    </row>
    <row r="61" spans="1:21" x14ac:dyDescent="0.2">
      <c r="A61" s="94" t="s">
        <v>243</v>
      </c>
      <c r="B61" s="95" t="s">
        <v>35</v>
      </c>
      <c r="C61" s="95" t="s">
        <v>244</v>
      </c>
      <c r="D61" s="95" t="s">
        <v>347</v>
      </c>
      <c r="E61" s="96" t="s">
        <v>348</v>
      </c>
      <c r="F61" s="95" t="s">
        <v>258</v>
      </c>
      <c r="G61" s="95" t="s">
        <v>281</v>
      </c>
      <c r="H61" s="95"/>
      <c r="I61" s="95"/>
      <c r="J61" s="95"/>
      <c r="K61" s="97">
        <v>2.4</v>
      </c>
      <c r="L61" s="97"/>
      <c r="M61" s="98"/>
      <c r="N61" s="41"/>
      <c r="O61" s="95"/>
      <c r="P61" s="26"/>
      <c r="Q61" s="97"/>
      <c r="R61" s="97"/>
      <c r="S61" s="26"/>
      <c r="T61" s="99"/>
      <c r="U61" s="27"/>
    </row>
    <row r="62" spans="1:21" x14ac:dyDescent="0.2">
      <c r="A62" s="94" t="s">
        <v>243</v>
      </c>
      <c r="B62" s="95" t="s">
        <v>35</v>
      </c>
      <c r="C62" s="95" t="s">
        <v>244</v>
      </c>
      <c r="D62" s="95" t="s">
        <v>349</v>
      </c>
      <c r="E62" s="96" t="s">
        <v>279</v>
      </c>
      <c r="F62" s="95" t="s">
        <v>280</v>
      </c>
      <c r="G62" s="95" t="s">
        <v>281</v>
      </c>
      <c r="H62" s="95"/>
      <c r="I62" s="95"/>
      <c r="J62" s="95"/>
      <c r="K62" s="97">
        <v>4.2</v>
      </c>
      <c r="L62" s="97"/>
      <c r="M62" s="98"/>
      <c r="N62" s="41"/>
      <c r="O62" s="95"/>
      <c r="P62" s="26"/>
      <c r="Q62" s="97"/>
      <c r="R62" s="97"/>
      <c r="S62" s="26"/>
      <c r="T62" s="99"/>
      <c r="U62" s="27"/>
    </row>
    <row r="63" spans="1:21" x14ac:dyDescent="0.2">
      <c r="A63" s="94" t="s">
        <v>243</v>
      </c>
      <c r="B63" s="95" t="s">
        <v>35</v>
      </c>
      <c r="C63" s="95" t="s">
        <v>244</v>
      </c>
      <c r="D63" s="95" t="s">
        <v>350</v>
      </c>
      <c r="E63" s="96" t="s">
        <v>351</v>
      </c>
      <c r="F63" s="95" t="s">
        <v>258</v>
      </c>
      <c r="G63" s="95" t="s">
        <v>281</v>
      </c>
      <c r="H63" s="95"/>
      <c r="I63" s="95"/>
      <c r="J63" s="95"/>
      <c r="K63" s="97">
        <v>37.630000000000003</v>
      </c>
      <c r="L63" s="97"/>
      <c r="M63" s="98"/>
      <c r="N63" s="41"/>
      <c r="O63" s="95"/>
      <c r="P63" s="26"/>
      <c r="Q63" s="97"/>
      <c r="R63" s="97"/>
      <c r="S63" s="26"/>
      <c r="T63" s="99"/>
      <c r="U63" s="27"/>
    </row>
    <row r="64" spans="1:21" x14ac:dyDescent="0.2">
      <c r="A64" s="94" t="s">
        <v>243</v>
      </c>
      <c r="B64" s="95" t="s">
        <v>35</v>
      </c>
      <c r="C64" s="95" t="s">
        <v>244</v>
      </c>
      <c r="D64" s="95" t="s">
        <v>352</v>
      </c>
      <c r="E64" s="96" t="s">
        <v>272</v>
      </c>
      <c r="F64" s="95" t="s">
        <v>258</v>
      </c>
      <c r="G64" s="95" t="s">
        <v>216</v>
      </c>
      <c r="H64" s="95" t="s">
        <v>9</v>
      </c>
      <c r="I64" s="95" t="s">
        <v>190</v>
      </c>
      <c r="J64" s="96" t="s">
        <v>217</v>
      </c>
      <c r="K64" s="97">
        <v>20.399999999999999</v>
      </c>
      <c r="L64" s="97">
        <f>K64*VLOOKUP(H64,dagsoorttabel1,2,FALSE)</f>
        <v>20.399999999999999</v>
      </c>
      <c r="M64" s="98">
        <f>prodnorm25</f>
        <v>0</v>
      </c>
      <c r="N64" s="41">
        <f>dagwerk25</f>
        <v>0</v>
      </c>
      <c r="O64" s="95" t="s">
        <v>101</v>
      </c>
      <c r="P64" s="26">
        <f>uurtarief25</f>
        <v>0</v>
      </c>
      <c r="Q64" s="97" t="e">
        <f>IF(ISBLANK(M64),0,L64/ROUND(M64,4))</f>
        <v>#DIV/0!</v>
      </c>
      <c r="R64" s="97" t="e">
        <f>IF(ISBLANK(M64),0,Q64*ROUND(N64,2))</f>
        <v>#DIV/0!</v>
      </c>
      <c r="S64" s="26" t="e">
        <f>ROUND(P64,2)*Q64</f>
        <v>#DIV/0!</v>
      </c>
      <c r="T64" s="97" t="e">
        <f>Q64*dagenperjaar1</f>
        <v>#DIV/0!</v>
      </c>
      <c r="U64" s="27" t="e">
        <f>T64*ROUND(P64,2)</f>
        <v>#DIV/0!</v>
      </c>
    </row>
    <row r="65" spans="1:21" x14ac:dyDescent="0.2">
      <c r="A65" s="94" t="s">
        <v>243</v>
      </c>
      <c r="B65" s="95" t="s">
        <v>35</v>
      </c>
      <c r="C65" s="95" t="s">
        <v>244</v>
      </c>
      <c r="D65" s="95" t="s">
        <v>353</v>
      </c>
      <c r="E65" s="96" t="s">
        <v>272</v>
      </c>
      <c r="F65" s="95" t="s">
        <v>258</v>
      </c>
      <c r="G65" s="95" t="s">
        <v>216</v>
      </c>
      <c r="H65" s="95" t="s">
        <v>9</v>
      </c>
      <c r="I65" s="95" t="s">
        <v>190</v>
      </c>
      <c r="J65" s="96" t="s">
        <v>217</v>
      </c>
      <c r="K65" s="97">
        <v>99.14</v>
      </c>
      <c r="L65" s="97">
        <f>K65*VLOOKUP(H65,dagsoorttabel1,2,FALSE)</f>
        <v>99.14</v>
      </c>
      <c r="M65" s="98">
        <f>prodnorm25</f>
        <v>0</v>
      </c>
      <c r="N65" s="41">
        <f>dagwerk25</f>
        <v>0</v>
      </c>
      <c r="O65" s="95" t="s">
        <v>101</v>
      </c>
      <c r="P65" s="26">
        <f>uurtarief25</f>
        <v>0</v>
      </c>
      <c r="Q65" s="97" t="e">
        <f>IF(ISBLANK(M65),0,L65/ROUND(M65,4))</f>
        <v>#DIV/0!</v>
      </c>
      <c r="R65" s="97" t="e">
        <f>IF(ISBLANK(M65),0,Q65*ROUND(N65,2))</f>
        <v>#DIV/0!</v>
      </c>
      <c r="S65" s="26" t="e">
        <f>ROUND(P65,2)*Q65</f>
        <v>#DIV/0!</v>
      </c>
      <c r="T65" s="97" t="e">
        <f>Q65*dagenperjaar1</f>
        <v>#DIV/0!</v>
      </c>
      <c r="U65" s="27" t="e">
        <f>T65*ROUND(P65,2)</f>
        <v>#DIV/0!</v>
      </c>
    </row>
    <row r="66" spans="1:21" x14ac:dyDescent="0.2">
      <c r="A66" s="94" t="s">
        <v>243</v>
      </c>
      <c r="B66" s="95" t="s">
        <v>35</v>
      </c>
      <c r="C66" s="95" t="s">
        <v>244</v>
      </c>
      <c r="D66" s="95" t="s">
        <v>354</v>
      </c>
      <c r="E66" s="96" t="s">
        <v>272</v>
      </c>
      <c r="F66" s="95" t="s">
        <v>258</v>
      </c>
      <c r="G66" s="95" t="s">
        <v>216</v>
      </c>
      <c r="H66" s="95" t="s">
        <v>9</v>
      </c>
      <c r="I66" s="95" t="s">
        <v>190</v>
      </c>
      <c r="J66" s="96" t="s">
        <v>217</v>
      </c>
      <c r="K66" s="97">
        <v>20.16</v>
      </c>
      <c r="L66" s="97">
        <f>K66*VLOOKUP(H66,dagsoorttabel1,2,FALSE)</f>
        <v>20.16</v>
      </c>
      <c r="M66" s="98">
        <f>prodnorm25</f>
        <v>0</v>
      </c>
      <c r="N66" s="41">
        <f>dagwerk25</f>
        <v>0</v>
      </c>
      <c r="O66" s="95" t="s">
        <v>101</v>
      </c>
      <c r="P66" s="26">
        <f>uurtarief25</f>
        <v>0</v>
      </c>
      <c r="Q66" s="97" t="e">
        <f>IF(ISBLANK(M66),0,L66/ROUND(M66,4))</f>
        <v>#DIV/0!</v>
      </c>
      <c r="R66" s="97" t="e">
        <f>IF(ISBLANK(M66),0,Q66*ROUND(N66,2))</f>
        <v>#DIV/0!</v>
      </c>
      <c r="S66" s="26" t="e">
        <f>ROUND(P66,2)*Q66</f>
        <v>#DIV/0!</v>
      </c>
      <c r="T66" s="97" t="e">
        <f>Q66*dagenperjaar1</f>
        <v>#DIV/0!</v>
      </c>
      <c r="U66" s="27" t="e">
        <f>T66*ROUND(P66,2)</f>
        <v>#DIV/0!</v>
      </c>
    </row>
    <row r="67" spans="1:21" x14ac:dyDescent="0.2">
      <c r="A67" s="94" t="s">
        <v>243</v>
      </c>
      <c r="B67" s="95" t="s">
        <v>35</v>
      </c>
      <c r="C67" s="95" t="s">
        <v>244</v>
      </c>
      <c r="D67" s="95" t="s">
        <v>355</v>
      </c>
      <c r="E67" s="96" t="s">
        <v>356</v>
      </c>
      <c r="F67" s="95" t="s">
        <v>357</v>
      </c>
      <c r="G67" s="95" t="s">
        <v>281</v>
      </c>
      <c r="H67" s="95"/>
      <c r="I67" s="95"/>
      <c r="J67" s="95"/>
      <c r="K67" s="97">
        <v>37.949999999999996</v>
      </c>
      <c r="L67" s="97"/>
      <c r="M67" s="98"/>
      <c r="N67" s="41"/>
      <c r="O67" s="95"/>
      <c r="P67" s="26"/>
      <c r="Q67" s="97"/>
      <c r="R67" s="97"/>
      <c r="S67" s="26"/>
      <c r="T67" s="99"/>
      <c r="U67" s="27"/>
    </row>
    <row r="68" spans="1:21" x14ac:dyDescent="0.2">
      <c r="A68" s="94" t="s">
        <v>243</v>
      </c>
      <c r="B68" s="95" t="s">
        <v>35</v>
      </c>
      <c r="C68" s="95" t="s">
        <v>244</v>
      </c>
      <c r="D68" s="95" t="s">
        <v>358</v>
      </c>
      <c r="E68" s="96" t="s">
        <v>359</v>
      </c>
      <c r="F68" s="95" t="s">
        <v>357</v>
      </c>
      <c r="G68" s="95" t="s">
        <v>281</v>
      </c>
      <c r="H68" s="95"/>
      <c r="I68" s="95"/>
      <c r="J68" s="95"/>
      <c r="K68" s="97">
        <v>12.54</v>
      </c>
      <c r="L68" s="97"/>
      <c r="M68" s="98"/>
      <c r="N68" s="41"/>
      <c r="O68" s="95"/>
      <c r="P68" s="26"/>
      <c r="Q68" s="97"/>
      <c r="R68" s="97"/>
      <c r="S68" s="26"/>
      <c r="T68" s="99"/>
      <c r="U68" s="27"/>
    </row>
    <row r="69" spans="1:21" x14ac:dyDescent="0.2">
      <c r="A69" s="94" t="s">
        <v>243</v>
      </c>
      <c r="B69" s="95" t="s">
        <v>35</v>
      </c>
      <c r="C69" s="95" t="s">
        <v>244</v>
      </c>
      <c r="D69" s="95" t="s">
        <v>360</v>
      </c>
      <c r="E69" s="96" t="s">
        <v>361</v>
      </c>
      <c r="F69" s="95" t="s">
        <v>357</v>
      </c>
      <c r="G69" s="95" t="s">
        <v>281</v>
      </c>
      <c r="H69" s="95"/>
      <c r="I69" s="95"/>
      <c r="J69" s="95"/>
      <c r="K69" s="97">
        <v>4.29</v>
      </c>
      <c r="L69" s="97"/>
      <c r="M69" s="98"/>
      <c r="N69" s="41"/>
      <c r="O69" s="95"/>
      <c r="P69" s="26"/>
      <c r="Q69" s="97"/>
      <c r="R69" s="97"/>
      <c r="S69" s="26"/>
      <c r="T69" s="99"/>
      <c r="U69" s="27"/>
    </row>
    <row r="70" spans="1:21" x14ac:dyDescent="0.2">
      <c r="A70" s="94" t="s">
        <v>243</v>
      </c>
      <c r="B70" s="95" t="s">
        <v>35</v>
      </c>
      <c r="C70" s="95" t="s">
        <v>244</v>
      </c>
      <c r="D70" s="95" t="s">
        <v>362</v>
      </c>
      <c r="E70" s="96" t="s">
        <v>287</v>
      </c>
      <c r="F70" s="95" t="s">
        <v>280</v>
      </c>
      <c r="G70" s="95" t="s">
        <v>281</v>
      </c>
      <c r="H70" s="95"/>
      <c r="I70" s="95"/>
      <c r="J70" s="95"/>
      <c r="K70" s="97">
        <v>1.75</v>
      </c>
      <c r="L70" s="97"/>
      <c r="M70" s="98"/>
      <c r="N70" s="41"/>
      <c r="O70" s="95"/>
      <c r="P70" s="26"/>
      <c r="Q70" s="97"/>
      <c r="R70" s="97"/>
      <c r="S70" s="26"/>
      <c r="T70" s="99"/>
      <c r="U70" s="27"/>
    </row>
    <row r="71" spans="1:21" x14ac:dyDescent="0.2">
      <c r="A71" s="94" t="s">
        <v>243</v>
      </c>
      <c r="B71" s="95" t="s">
        <v>35</v>
      </c>
      <c r="C71" s="95" t="s">
        <v>244</v>
      </c>
      <c r="D71" s="95" t="s">
        <v>363</v>
      </c>
      <c r="E71" s="96" t="s">
        <v>364</v>
      </c>
      <c r="F71" s="95" t="s">
        <v>258</v>
      </c>
      <c r="G71" s="95" t="s">
        <v>281</v>
      </c>
      <c r="H71" s="95"/>
      <c r="I71" s="95"/>
      <c r="J71" s="95"/>
      <c r="K71" s="97">
        <v>19.68</v>
      </c>
      <c r="L71" s="97"/>
      <c r="M71" s="98"/>
      <c r="N71" s="41"/>
      <c r="O71" s="95"/>
      <c r="P71" s="26"/>
      <c r="Q71" s="97"/>
      <c r="R71" s="97"/>
      <c r="S71" s="26"/>
      <c r="T71" s="99"/>
      <c r="U71" s="27"/>
    </row>
    <row r="72" spans="1:21" ht="25.5" x14ac:dyDescent="0.2">
      <c r="A72" s="94" t="s">
        <v>243</v>
      </c>
      <c r="B72" s="95" t="s">
        <v>35</v>
      </c>
      <c r="C72" s="95" t="s">
        <v>244</v>
      </c>
      <c r="D72" s="95" t="s">
        <v>365</v>
      </c>
      <c r="E72" s="96" t="s">
        <v>366</v>
      </c>
      <c r="F72" s="95" t="s">
        <v>258</v>
      </c>
      <c r="G72" s="95" t="s">
        <v>198</v>
      </c>
      <c r="H72" s="95" t="s">
        <v>9</v>
      </c>
      <c r="I72" s="95" t="s">
        <v>190</v>
      </c>
      <c r="J72" s="96" t="s">
        <v>199</v>
      </c>
      <c r="K72" s="97">
        <v>27.56</v>
      </c>
      <c r="L72" s="97">
        <f>K72*VLOOKUP(H72,dagsoorttabel1,2,FALSE)</f>
        <v>27.56</v>
      </c>
      <c r="M72" s="98">
        <f>prodnorm16</f>
        <v>0</v>
      </c>
      <c r="N72" s="41">
        <f>dagwerk16</f>
        <v>0</v>
      </c>
      <c r="O72" s="95" t="s">
        <v>101</v>
      </c>
      <c r="P72" s="26">
        <f>uurtarief16</f>
        <v>0</v>
      </c>
      <c r="Q72" s="97" t="e">
        <f>IF(ISBLANK(M72),0,L72/ROUND(M72,4))</f>
        <v>#DIV/0!</v>
      </c>
      <c r="R72" s="97" t="e">
        <f>IF(ISBLANK(M72),0,Q72*ROUND(N72,2))</f>
        <v>#DIV/0!</v>
      </c>
      <c r="S72" s="26" t="e">
        <f>ROUND(P72,2)*Q72</f>
        <v>#DIV/0!</v>
      </c>
      <c r="T72" s="97" t="e">
        <f>Q72*dagenperjaar1</f>
        <v>#DIV/0!</v>
      </c>
      <c r="U72" s="27" t="e">
        <f>T72*ROUND(P72,2)</f>
        <v>#DIV/0!</v>
      </c>
    </row>
    <row r="73" spans="1:21" x14ac:dyDescent="0.2">
      <c r="A73" s="94" t="s">
        <v>243</v>
      </c>
      <c r="B73" s="95" t="s">
        <v>35</v>
      </c>
      <c r="C73" s="95" t="s">
        <v>244</v>
      </c>
      <c r="D73" s="95" t="s">
        <v>367</v>
      </c>
      <c r="E73" s="96" t="s">
        <v>315</v>
      </c>
      <c r="F73" s="95" t="s">
        <v>253</v>
      </c>
      <c r="G73" s="95" t="s">
        <v>228</v>
      </c>
      <c r="H73" s="95" t="s">
        <v>9</v>
      </c>
      <c r="I73" s="95" t="s">
        <v>190</v>
      </c>
      <c r="J73" s="96" t="s">
        <v>229</v>
      </c>
      <c r="K73" s="97">
        <v>11.25</v>
      </c>
      <c r="L73" s="97">
        <f>K73*VLOOKUP(H73,dagsoorttabel1,2,FALSE)</f>
        <v>11.25</v>
      </c>
      <c r="M73" s="98">
        <f>prodnorm31</f>
        <v>0</v>
      </c>
      <c r="N73" s="41">
        <f>dagwerk31</f>
        <v>0</v>
      </c>
      <c r="O73" s="95" t="s">
        <v>101</v>
      </c>
      <c r="P73" s="26">
        <f>uurtarief31</f>
        <v>0</v>
      </c>
      <c r="Q73" s="97" t="e">
        <f>IF(ISBLANK(M73),0,L73/ROUND(M73,4))</f>
        <v>#DIV/0!</v>
      </c>
      <c r="R73" s="97" t="e">
        <f>IF(ISBLANK(M73),0,Q73*ROUND(N73,2))</f>
        <v>#DIV/0!</v>
      </c>
      <c r="S73" s="26" t="e">
        <f>ROUND(P73,2)*Q73</f>
        <v>#DIV/0!</v>
      </c>
      <c r="T73" s="97" t="e">
        <f>Q73*dagenperjaar1</f>
        <v>#DIV/0!</v>
      </c>
      <c r="U73" s="27" t="e">
        <f>T73*ROUND(P73,2)</f>
        <v>#DIV/0!</v>
      </c>
    </row>
    <row r="74" spans="1:21" ht="25.5" x14ac:dyDescent="0.2">
      <c r="A74" s="94" t="s">
        <v>243</v>
      </c>
      <c r="B74" s="95" t="s">
        <v>35</v>
      </c>
      <c r="C74" s="95" t="s">
        <v>244</v>
      </c>
      <c r="D74" s="95" t="s">
        <v>368</v>
      </c>
      <c r="E74" s="96" t="s">
        <v>369</v>
      </c>
      <c r="F74" s="95" t="s">
        <v>258</v>
      </c>
      <c r="G74" s="95" t="s">
        <v>198</v>
      </c>
      <c r="H74" s="95" t="s">
        <v>9</v>
      </c>
      <c r="I74" s="95" t="s">
        <v>190</v>
      </c>
      <c r="J74" s="96" t="s">
        <v>199</v>
      </c>
      <c r="K74" s="97">
        <v>37.1</v>
      </c>
      <c r="L74" s="97">
        <f>K74*VLOOKUP(H74,dagsoorttabel1,2,FALSE)</f>
        <v>37.1</v>
      </c>
      <c r="M74" s="98">
        <f>prodnorm16</f>
        <v>0</v>
      </c>
      <c r="N74" s="41">
        <f>dagwerk16</f>
        <v>0</v>
      </c>
      <c r="O74" s="95" t="s">
        <v>101</v>
      </c>
      <c r="P74" s="26">
        <f>uurtarief16</f>
        <v>0</v>
      </c>
      <c r="Q74" s="97" t="e">
        <f>IF(ISBLANK(M74),0,L74/ROUND(M74,4))</f>
        <v>#DIV/0!</v>
      </c>
      <c r="R74" s="97" t="e">
        <f>IF(ISBLANK(M74),0,Q74*ROUND(N74,2))</f>
        <v>#DIV/0!</v>
      </c>
      <c r="S74" s="26" t="e">
        <f>ROUND(P74,2)*Q74</f>
        <v>#DIV/0!</v>
      </c>
      <c r="T74" s="97" t="e">
        <f>Q74*dagenperjaar1</f>
        <v>#DIV/0!</v>
      </c>
      <c r="U74" s="27" t="e">
        <f>T74*ROUND(P74,2)</f>
        <v>#DIV/0!</v>
      </c>
    </row>
    <row r="75" spans="1:21" x14ac:dyDescent="0.2">
      <c r="A75" s="94" t="s">
        <v>243</v>
      </c>
      <c r="B75" s="95" t="s">
        <v>35</v>
      </c>
      <c r="C75" s="95" t="s">
        <v>244</v>
      </c>
      <c r="D75" s="95" t="s">
        <v>370</v>
      </c>
      <c r="E75" s="96" t="s">
        <v>371</v>
      </c>
      <c r="F75" s="95" t="s">
        <v>258</v>
      </c>
      <c r="G75" s="95" t="s">
        <v>212</v>
      </c>
      <c r="H75" s="95" t="s">
        <v>9</v>
      </c>
      <c r="I75" s="95" t="s">
        <v>190</v>
      </c>
      <c r="J75" s="96" t="s">
        <v>213</v>
      </c>
      <c r="K75" s="97">
        <v>3.84</v>
      </c>
      <c r="L75" s="97">
        <f>K75*VLOOKUP(H75,dagsoorttabel1,2,FALSE)</f>
        <v>3.84</v>
      </c>
      <c r="M75" s="98">
        <f>prodnorm23</f>
        <v>0</v>
      </c>
      <c r="N75" s="41">
        <f>dagwerk23</f>
        <v>0</v>
      </c>
      <c r="O75" s="95" t="s">
        <v>101</v>
      </c>
      <c r="P75" s="26">
        <f>uurtarief23</f>
        <v>0</v>
      </c>
      <c r="Q75" s="97" t="e">
        <f>IF(ISBLANK(M75),0,L75/ROUND(M75,4))</f>
        <v>#DIV/0!</v>
      </c>
      <c r="R75" s="97" t="e">
        <f>IF(ISBLANK(M75),0,Q75*ROUND(N75,2))</f>
        <v>#DIV/0!</v>
      </c>
      <c r="S75" s="26" t="e">
        <f>ROUND(P75,2)*Q75</f>
        <v>#DIV/0!</v>
      </c>
      <c r="T75" s="97" t="e">
        <f>Q75*dagenperjaar1</f>
        <v>#DIV/0!</v>
      </c>
      <c r="U75" s="27" t="e">
        <f>T75*ROUND(P75,2)</f>
        <v>#DIV/0!</v>
      </c>
    </row>
    <row r="76" spans="1:21" ht="25.5" x14ac:dyDescent="0.2">
      <c r="A76" s="94" t="s">
        <v>243</v>
      </c>
      <c r="B76" s="95" t="s">
        <v>35</v>
      </c>
      <c r="C76" s="95" t="s">
        <v>244</v>
      </c>
      <c r="D76" s="95" t="s">
        <v>372</v>
      </c>
      <c r="E76" s="96" t="s">
        <v>373</v>
      </c>
      <c r="F76" s="95" t="s">
        <v>258</v>
      </c>
      <c r="G76" s="95" t="s">
        <v>198</v>
      </c>
      <c r="H76" s="95" t="s">
        <v>9</v>
      </c>
      <c r="I76" s="95" t="s">
        <v>190</v>
      </c>
      <c r="J76" s="96" t="s">
        <v>199</v>
      </c>
      <c r="K76" s="97">
        <v>36.4</v>
      </c>
      <c r="L76" s="97">
        <f>K76*VLOOKUP(H76,dagsoorttabel1,2,FALSE)</f>
        <v>36.4</v>
      </c>
      <c r="M76" s="98">
        <f>prodnorm16</f>
        <v>0</v>
      </c>
      <c r="N76" s="41">
        <f>dagwerk16</f>
        <v>0</v>
      </c>
      <c r="O76" s="95" t="s">
        <v>101</v>
      </c>
      <c r="P76" s="26">
        <f>uurtarief16</f>
        <v>0</v>
      </c>
      <c r="Q76" s="97" t="e">
        <f>IF(ISBLANK(M76),0,L76/ROUND(M76,4))</f>
        <v>#DIV/0!</v>
      </c>
      <c r="R76" s="97" t="e">
        <f>IF(ISBLANK(M76),0,Q76*ROUND(N76,2))</f>
        <v>#DIV/0!</v>
      </c>
      <c r="S76" s="26" t="e">
        <f>ROUND(P76,2)*Q76</f>
        <v>#DIV/0!</v>
      </c>
      <c r="T76" s="97" t="e">
        <f>Q76*dagenperjaar1</f>
        <v>#DIV/0!</v>
      </c>
      <c r="U76" s="27" t="e">
        <f>T76*ROUND(P76,2)</f>
        <v>#DIV/0!</v>
      </c>
    </row>
    <row r="77" spans="1:21" x14ac:dyDescent="0.2">
      <c r="A77" s="94" t="s">
        <v>243</v>
      </c>
      <c r="B77" s="95" t="s">
        <v>35</v>
      </c>
      <c r="C77" s="95" t="s">
        <v>244</v>
      </c>
      <c r="D77" s="95" t="s">
        <v>374</v>
      </c>
      <c r="E77" s="96" t="s">
        <v>375</v>
      </c>
      <c r="F77" s="95" t="s">
        <v>258</v>
      </c>
      <c r="G77" s="95" t="s">
        <v>202</v>
      </c>
      <c r="H77" s="95" t="s">
        <v>9</v>
      </c>
      <c r="I77" s="95" t="s">
        <v>190</v>
      </c>
      <c r="J77" s="96" t="s">
        <v>203</v>
      </c>
      <c r="K77" s="97">
        <v>75.260000000000005</v>
      </c>
      <c r="L77" s="97">
        <f>K77*VLOOKUP(H77,dagsoorttabel1,2,FALSE)</f>
        <v>75.260000000000005</v>
      </c>
      <c r="M77" s="98">
        <f>prodnorm18</f>
        <v>0</v>
      </c>
      <c r="N77" s="41">
        <f>dagwerk18</f>
        <v>0</v>
      </c>
      <c r="O77" s="95" t="s">
        <v>101</v>
      </c>
      <c r="P77" s="26">
        <f>uurtarief18</f>
        <v>0</v>
      </c>
      <c r="Q77" s="97" t="e">
        <f>IF(ISBLANK(M77),0,L77/ROUND(M77,4))</f>
        <v>#DIV/0!</v>
      </c>
      <c r="R77" s="97" t="e">
        <f>IF(ISBLANK(M77),0,Q77*ROUND(N77,2))</f>
        <v>#DIV/0!</v>
      </c>
      <c r="S77" s="26" t="e">
        <f>ROUND(P77,2)*Q77</f>
        <v>#DIV/0!</v>
      </c>
      <c r="T77" s="97" t="e">
        <f>Q77*dagenperjaar1</f>
        <v>#DIV/0!</v>
      </c>
      <c r="U77" s="27" t="e">
        <f>T77*ROUND(P77,2)</f>
        <v>#DIV/0!</v>
      </c>
    </row>
    <row r="78" spans="1:21" x14ac:dyDescent="0.2">
      <c r="A78" s="94" t="s">
        <v>243</v>
      </c>
      <c r="B78" s="95" t="s">
        <v>35</v>
      </c>
      <c r="C78" s="95" t="s">
        <v>244</v>
      </c>
      <c r="D78" s="95" t="s">
        <v>376</v>
      </c>
      <c r="E78" s="96" t="s">
        <v>377</v>
      </c>
      <c r="F78" s="95" t="s">
        <v>378</v>
      </c>
      <c r="G78" s="95" t="s">
        <v>281</v>
      </c>
      <c r="H78" s="95"/>
      <c r="I78" s="95"/>
      <c r="J78" s="95"/>
      <c r="K78" s="97">
        <v>22.79</v>
      </c>
      <c r="L78" s="97"/>
      <c r="M78" s="98"/>
      <c r="N78" s="41"/>
      <c r="O78" s="95"/>
      <c r="P78" s="26"/>
      <c r="Q78" s="97"/>
      <c r="R78" s="97"/>
      <c r="S78" s="26"/>
      <c r="T78" s="99"/>
      <c r="U78" s="27"/>
    </row>
    <row r="79" spans="1:21" x14ac:dyDescent="0.2">
      <c r="A79" s="94" t="s">
        <v>243</v>
      </c>
      <c r="B79" s="95" t="s">
        <v>35</v>
      </c>
      <c r="C79" s="95" t="s">
        <v>244</v>
      </c>
      <c r="D79" s="95" t="s">
        <v>379</v>
      </c>
      <c r="E79" s="96" t="s">
        <v>380</v>
      </c>
      <c r="F79" s="95" t="s">
        <v>258</v>
      </c>
      <c r="G79" s="95" t="s">
        <v>281</v>
      </c>
      <c r="H79" s="95"/>
      <c r="I79" s="95"/>
      <c r="J79" s="95"/>
      <c r="K79" s="97">
        <v>18.899999999999999</v>
      </c>
      <c r="L79" s="97"/>
      <c r="M79" s="98"/>
      <c r="N79" s="41"/>
      <c r="O79" s="95"/>
      <c r="P79" s="26"/>
      <c r="Q79" s="97"/>
      <c r="R79" s="97"/>
      <c r="S79" s="26"/>
      <c r="T79" s="99"/>
      <c r="U79" s="27"/>
    </row>
    <row r="80" spans="1:21" x14ac:dyDescent="0.2">
      <c r="A80" s="94" t="s">
        <v>243</v>
      </c>
      <c r="B80" s="95" t="s">
        <v>35</v>
      </c>
      <c r="C80" s="95" t="s">
        <v>244</v>
      </c>
      <c r="D80" s="95" t="s">
        <v>381</v>
      </c>
      <c r="E80" s="96" t="s">
        <v>382</v>
      </c>
      <c r="F80" s="95" t="s">
        <v>258</v>
      </c>
      <c r="G80" s="95" t="s">
        <v>281</v>
      </c>
      <c r="H80" s="95"/>
      <c r="I80" s="95"/>
      <c r="J80" s="95"/>
      <c r="K80" s="97">
        <v>28.08</v>
      </c>
      <c r="L80" s="97"/>
      <c r="M80" s="98"/>
      <c r="N80" s="41"/>
      <c r="O80" s="95"/>
      <c r="P80" s="26"/>
      <c r="Q80" s="97"/>
      <c r="R80" s="97"/>
      <c r="S80" s="26"/>
      <c r="T80" s="99"/>
      <c r="U80" s="27"/>
    </row>
    <row r="81" spans="1:21" x14ac:dyDescent="0.2">
      <c r="A81" s="94" t="s">
        <v>243</v>
      </c>
      <c r="B81" s="95" t="s">
        <v>35</v>
      </c>
      <c r="C81" s="95" t="s">
        <v>244</v>
      </c>
      <c r="D81" s="95" t="s">
        <v>383</v>
      </c>
      <c r="E81" s="96" t="s">
        <v>384</v>
      </c>
      <c r="F81" s="95" t="s">
        <v>258</v>
      </c>
      <c r="G81" s="95" t="s">
        <v>224</v>
      </c>
      <c r="H81" s="95" t="s">
        <v>9</v>
      </c>
      <c r="I81" s="95" t="s">
        <v>190</v>
      </c>
      <c r="J81" s="96" t="s">
        <v>225</v>
      </c>
      <c r="K81" s="97">
        <v>2.2999999999999998</v>
      </c>
      <c r="L81" s="97">
        <f>K81*VLOOKUP(H81,dagsoorttabel1,2,FALSE)</f>
        <v>2.2999999999999998</v>
      </c>
      <c r="M81" s="98">
        <f>prodnorm29</f>
        <v>0</v>
      </c>
      <c r="N81" s="41">
        <f>dagwerk29</f>
        <v>0</v>
      </c>
      <c r="O81" s="95" t="s">
        <v>101</v>
      </c>
      <c r="P81" s="26">
        <f>uurtarief29</f>
        <v>0</v>
      </c>
      <c r="Q81" s="97" t="e">
        <f>IF(ISBLANK(M81),0,L81/ROUND(M81,4))</f>
        <v>#DIV/0!</v>
      </c>
      <c r="R81" s="97" t="e">
        <f>IF(ISBLANK(M81),0,Q81*ROUND(N81,2))</f>
        <v>#DIV/0!</v>
      </c>
      <c r="S81" s="26" t="e">
        <f>ROUND(P81,2)*Q81</f>
        <v>#DIV/0!</v>
      </c>
      <c r="T81" s="97" t="e">
        <f>Q81*dagenperjaar1</f>
        <v>#DIV/0!</v>
      </c>
      <c r="U81" s="27" t="e">
        <f>T81*ROUND(P81,2)</f>
        <v>#DIV/0!</v>
      </c>
    </row>
    <row r="82" spans="1:21" x14ac:dyDescent="0.2">
      <c r="A82" s="94" t="s">
        <v>243</v>
      </c>
      <c r="B82" s="95" t="s">
        <v>35</v>
      </c>
      <c r="C82" s="95" t="s">
        <v>244</v>
      </c>
      <c r="D82" s="95" t="s">
        <v>385</v>
      </c>
      <c r="E82" s="96" t="s">
        <v>386</v>
      </c>
      <c r="F82" s="95" t="s">
        <v>307</v>
      </c>
      <c r="G82" s="95" t="s">
        <v>214</v>
      </c>
      <c r="H82" s="95" t="s">
        <v>9</v>
      </c>
      <c r="I82" s="95" t="s">
        <v>190</v>
      </c>
      <c r="J82" s="96" t="s">
        <v>215</v>
      </c>
      <c r="K82" s="97">
        <v>2.4</v>
      </c>
      <c r="L82" s="97">
        <f>K82*VLOOKUP(H82,dagsoorttabel1,2,FALSE)</f>
        <v>2.4</v>
      </c>
      <c r="M82" s="98">
        <f>prodnorm24</f>
        <v>0</v>
      </c>
      <c r="N82" s="41">
        <f>dagwerk24</f>
        <v>0</v>
      </c>
      <c r="O82" s="95" t="s">
        <v>101</v>
      </c>
      <c r="P82" s="26">
        <f>uurtarief24</f>
        <v>0</v>
      </c>
      <c r="Q82" s="97" t="e">
        <f>IF(ISBLANK(M82),0,L82/ROUND(M82,4))</f>
        <v>#DIV/0!</v>
      </c>
      <c r="R82" s="97" t="e">
        <f>IF(ISBLANK(M82),0,Q82*ROUND(N82,2))</f>
        <v>#DIV/0!</v>
      </c>
      <c r="S82" s="26" t="e">
        <f>ROUND(P82,2)*Q82</f>
        <v>#DIV/0!</v>
      </c>
      <c r="T82" s="97" t="e">
        <f>Q82*dagenperjaar1</f>
        <v>#DIV/0!</v>
      </c>
      <c r="U82" s="27" t="e">
        <f>T82*ROUND(P82,2)</f>
        <v>#DIV/0!</v>
      </c>
    </row>
    <row r="83" spans="1:21" x14ac:dyDescent="0.2">
      <c r="A83" s="94" t="s">
        <v>243</v>
      </c>
      <c r="B83" s="95" t="s">
        <v>35</v>
      </c>
      <c r="C83" s="95" t="s">
        <v>244</v>
      </c>
      <c r="D83" s="95" t="s">
        <v>387</v>
      </c>
      <c r="E83" s="96" t="s">
        <v>388</v>
      </c>
      <c r="F83" s="95" t="s">
        <v>307</v>
      </c>
      <c r="G83" s="95" t="s">
        <v>214</v>
      </c>
      <c r="H83" s="95" t="s">
        <v>9</v>
      </c>
      <c r="I83" s="95" t="s">
        <v>190</v>
      </c>
      <c r="J83" s="96" t="s">
        <v>215</v>
      </c>
      <c r="K83" s="97">
        <v>1.1400000000000001</v>
      </c>
      <c r="L83" s="97">
        <f>K83*VLOOKUP(H83,dagsoorttabel1,2,FALSE)</f>
        <v>1.1400000000000001</v>
      </c>
      <c r="M83" s="98">
        <f>prodnorm24</f>
        <v>0</v>
      </c>
      <c r="N83" s="41">
        <f>dagwerk24</f>
        <v>0</v>
      </c>
      <c r="O83" s="95" t="s">
        <v>101</v>
      </c>
      <c r="P83" s="26">
        <f>uurtarief24</f>
        <v>0</v>
      </c>
      <c r="Q83" s="97" t="e">
        <f>IF(ISBLANK(M83),0,L83/ROUND(M83,4))</f>
        <v>#DIV/0!</v>
      </c>
      <c r="R83" s="97" t="e">
        <f>IF(ISBLANK(M83),0,Q83*ROUND(N83,2))</f>
        <v>#DIV/0!</v>
      </c>
      <c r="S83" s="26" t="e">
        <f>ROUND(P83,2)*Q83</f>
        <v>#DIV/0!</v>
      </c>
      <c r="T83" s="97" t="e">
        <f>Q83*dagenperjaar1</f>
        <v>#DIV/0!</v>
      </c>
      <c r="U83" s="27" t="e">
        <f>T83*ROUND(P83,2)</f>
        <v>#DIV/0!</v>
      </c>
    </row>
    <row r="84" spans="1:21" x14ac:dyDescent="0.2">
      <c r="A84" s="94" t="s">
        <v>243</v>
      </c>
      <c r="B84" s="95" t="s">
        <v>35</v>
      </c>
      <c r="C84" s="95" t="s">
        <v>244</v>
      </c>
      <c r="D84" s="95" t="s">
        <v>389</v>
      </c>
      <c r="E84" s="96" t="s">
        <v>390</v>
      </c>
      <c r="F84" s="95" t="s">
        <v>307</v>
      </c>
      <c r="G84" s="95" t="s">
        <v>214</v>
      </c>
      <c r="H84" s="95" t="s">
        <v>9</v>
      </c>
      <c r="I84" s="95" t="s">
        <v>190</v>
      </c>
      <c r="J84" s="96" t="s">
        <v>215</v>
      </c>
      <c r="K84" s="97">
        <v>5.8</v>
      </c>
      <c r="L84" s="97">
        <f>K84*VLOOKUP(H84,dagsoorttabel1,2,FALSE)</f>
        <v>5.8</v>
      </c>
      <c r="M84" s="98">
        <f>prodnorm24</f>
        <v>0</v>
      </c>
      <c r="N84" s="41">
        <f>dagwerk24</f>
        <v>0</v>
      </c>
      <c r="O84" s="95" t="s">
        <v>101</v>
      </c>
      <c r="P84" s="26">
        <f>uurtarief24</f>
        <v>0</v>
      </c>
      <c r="Q84" s="97" t="e">
        <f>IF(ISBLANK(M84),0,L84/ROUND(M84,4))</f>
        <v>#DIV/0!</v>
      </c>
      <c r="R84" s="97" t="e">
        <f>IF(ISBLANK(M84),0,Q84*ROUND(N84,2))</f>
        <v>#DIV/0!</v>
      </c>
      <c r="S84" s="26" t="e">
        <f>ROUND(P84,2)*Q84</f>
        <v>#DIV/0!</v>
      </c>
      <c r="T84" s="97" t="e">
        <f>Q84*dagenperjaar1</f>
        <v>#DIV/0!</v>
      </c>
      <c r="U84" s="27" t="e">
        <f>T84*ROUND(P84,2)</f>
        <v>#DIV/0!</v>
      </c>
    </row>
    <row r="85" spans="1:21" x14ac:dyDescent="0.2">
      <c r="A85" s="94" t="s">
        <v>243</v>
      </c>
      <c r="B85" s="95" t="s">
        <v>35</v>
      </c>
      <c r="C85" s="95" t="s">
        <v>244</v>
      </c>
      <c r="D85" s="95" t="s">
        <v>391</v>
      </c>
      <c r="E85" s="96" t="s">
        <v>388</v>
      </c>
      <c r="F85" s="95" t="s">
        <v>307</v>
      </c>
      <c r="G85" s="95" t="s">
        <v>214</v>
      </c>
      <c r="H85" s="95" t="s">
        <v>9</v>
      </c>
      <c r="I85" s="95" t="s">
        <v>190</v>
      </c>
      <c r="J85" s="96" t="s">
        <v>215</v>
      </c>
      <c r="K85" s="97">
        <v>1.1400000000000001</v>
      </c>
      <c r="L85" s="97">
        <f>K85*VLOOKUP(H85,dagsoorttabel1,2,FALSE)</f>
        <v>1.1400000000000001</v>
      </c>
      <c r="M85" s="98">
        <f>prodnorm24</f>
        <v>0</v>
      </c>
      <c r="N85" s="41">
        <f>dagwerk24</f>
        <v>0</v>
      </c>
      <c r="O85" s="95" t="s">
        <v>101</v>
      </c>
      <c r="P85" s="26">
        <f>uurtarief24</f>
        <v>0</v>
      </c>
      <c r="Q85" s="97" t="e">
        <f>IF(ISBLANK(M85),0,L85/ROUND(M85,4))</f>
        <v>#DIV/0!</v>
      </c>
      <c r="R85" s="97" t="e">
        <f>IF(ISBLANK(M85),0,Q85*ROUND(N85,2))</f>
        <v>#DIV/0!</v>
      </c>
      <c r="S85" s="26" t="e">
        <f>ROUND(P85,2)*Q85</f>
        <v>#DIV/0!</v>
      </c>
      <c r="T85" s="97" t="e">
        <f>Q85*dagenperjaar1</f>
        <v>#DIV/0!</v>
      </c>
      <c r="U85" s="27" t="e">
        <f>T85*ROUND(P85,2)</f>
        <v>#DIV/0!</v>
      </c>
    </row>
    <row r="86" spans="1:21" x14ac:dyDescent="0.2">
      <c r="A86" s="94" t="s">
        <v>243</v>
      </c>
      <c r="B86" s="95" t="s">
        <v>35</v>
      </c>
      <c r="C86" s="95" t="s">
        <v>244</v>
      </c>
      <c r="D86" s="95" t="s">
        <v>392</v>
      </c>
      <c r="E86" s="96" t="s">
        <v>393</v>
      </c>
      <c r="F86" s="95" t="s">
        <v>307</v>
      </c>
      <c r="G86" s="95" t="s">
        <v>214</v>
      </c>
      <c r="H86" s="95" t="s">
        <v>9</v>
      </c>
      <c r="I86" s="95" t="s">
        <v>190</v>
      </c>
      <c r="J86" s="96" t="s">
        <v>215</v>
      </c>
      <c r="K86" s="97">
        <v>1.1400000000000001</v>
      </c>
      <c r="L86" s="97">
        <f>K86*VLOOKUP(H86,dagsoorttabel1,2,FALSE)</f>
        <v>1.1400000000000001</v>
      </c>
      <c r="M86" s="98">
        <f>prodnorm24</f>
        <v>0</v>
      </c>
      <c r="N86" s="41">
        <f>dagwerk24</f>
        <v>0</v>
      </c>
      <c r="O86" s="95" t="s">
        <v>101</v>
      </c>
      <c r="P86" s="26">
        <f>uurtarief24</f>
        <v>0</v>
      </c>
      <c r="Q86" s="97" t="e">
        <f>IF(ISBLANK(M86),0,L86/ROUND(M86,4))</f>
        <v>#DIV/0!</v>
      </c>
      <c r="R86" s="97" t="e">
        <f>IF(ISBLANK(M86),0,Q86*ROUND(N86,2))</f>
        <v>#DIV/0!</v>
      </c>
      <c r="S86" s="26" t="e">
        <f>ROUND(P86,2)*Q86</f>
        <v>#DIV/0!</v>
      </c>
      <c r="T86" s="97" t="e">
        <f>Q86*dagenperjaar1</f>
        <v>#DIV/0!</v>
      </c>
      <c r="U86" s="27" t="e">
        <f>T86*ROUND(P86,2)</f>
        <v>#DIV/0!</v>
      </c>
    </row>
    <row r="87" spans="1:21" x14ac:dyDescent="0.2">
      <c r="A87" s="94" t="s">
        <v>243</v>
      </c>
      <c r="B87" s="95" t="s">
        <v>35</v>
      </c>
      <c r="C87" s="95" t="s">
        <v>244</v>
      </c>
      <c r="D87" s="95" t="s">
        <v>394</v>
      </c>
      <c r="E87" s="96" t="s">
        <v>393</v>
      </c>
      <c r="F87" s="95" t="s">
        <v>307</v>
      </c>
      <c r="G87" s="95" t="s">
        <v>214</v>
      </c>
      <c r="H87" s="95" t="s">
        <v>9</v>
      </c>
      <c r="I87" s="95" t="s">
        <v>190</v>
      </c>
      <c r="J87" s="96" t="s">
        <v>215</v>
      </c>
      <c r="K87" s="97">
        <v>1.1400000000000001</v>
      </c>
      <c r="L87" s="97">
        <f>K87*VLOOKUP(H87,dagsoorttabel1,2,FALSE)</f>
        <v>1.1400000000000001</v>
      </c>
      <c r="M87" s="98">
        <f>prodnorm24</f>
        <v>0</v>
      </c>
      <c r="N87" s="41">
        <f>dagwerk24</f>
        <v>0</v>
      </c>
      <c r="O87" s="95" t="s">
        <v>101</v>
      </c>
      <c r="P87" s="26">
        <f>uurtarief24</f>
        <v>0</v>
      </c>
      <c r="Q87" s="97" t="e">
        <f>IF(ISBLANK(M87),0,L87/ROUND(M87,4))</f>
        <v>#DIV/0!</v>
      </c>
      <c r="R87" s="97" t="e">
        <f>IF(ISBLANK(M87),0,Q87*ROUND(N87,2))</f>
        <v>#DIV/0!</v>
      </c>
      <c r="S87" s="26" t="e">
        <f>ROUND(P87,2)*Q87</f>
        <v>#DIV/0!</v>
      </c>
      <c r="T87" s="97" t="e">
        <f>Q87*dagenperjaar1</f>
        <v>#DIV/0!</v>
      </c>
      <c r="U87" s="27" t="e">
        <f>T87*ROUND(P87,2)</f>
        <v>#DIV/0!</v>
      </c>
    </row>
    <row r="88" spans="1:21" x14ac:dyDescent="0.2">
      <c r="A88" s="94" t="s">
        <v>243</v>
      </c>
      <c r="B88" s="95" t="s">
        <v>35</v>
      </c>
      <c r="C88" s="95" t="s">
        <v>244</v>
      </c>
      <c r="D88" s="95" t="s">
        <v>395</v>
      </c>
      <c r="E88" s="96" t="s">
        <v>396</v>
      </c>
      <c r="F88" s="95" t="s">
        <v>280</v>
      </c>
      <c r="G88" s="95" t="s">
        <v>281</v>
      </c>
      <c r="H88" s="95"/>
      <c r="I88" s="95"/>
      <c r="J88" s="95"/>
      <c r="K88" s="97">
        <v>1.02</v>
      </c>
      <c r="L88" s="97"/>
      <c r="M88" s="98"/>
      <c r="N88" s="41"/>
      <c r="O88" s="95"/>
      <c r="P88" s="26"/>
      <c r="Q88" s="97"/>
      <c r="R88" s="97"/>
      <c r="S88" s="26"/>
      <c r="T88" s="99"/>
      <c r="U88" s="27"/>
    </row>
    <row r="89" spans="1:21" x14ac:dyDescent="0.2">
      <c r="A89" s="94" t="s">
        <v>243</v>
      </c>
      <c r="B89" s="95" t="s">
        <v>35</v>
      </c>
      <c r="C89" s="95" t="s">
        <v>244</v>
      </c>
      <c r="D89" s="95" t="s">
        <v>397</v>
      </c>
      <c r="E89" s="96" t="s">
        <v>398</v>
      </c>
      <c r="F89" s="95" t="s">
        <v>280</v>
      </c>
      <c r="G89" s="95" t="s">
        <v>281</v>
      </c>
      <c r="H89" s="95"/>
      <c r="I89" s="95"/>
      <c r="J89" s="95"/>
      <c r="K89" s="97">
        <v>5.04</v>
      </c>
      <c r="L89" s="97"/>
      <c r="M89" s="98"/>
      <c r="N89" s="41"/>
      <c r="O89" s="95"/>
      <c r="P89" s="26"/>
      <c r="Q89" s="97"/>
      <c r="R89" s="97"/>
      <c r="S89" s="26"/>
      <c r="T89" s="99"/>
      <c r="U89" s="27"/>
    </row>
    <row r="90" spans="1:21" x14ac:dyDescent="0.2">
      <c r="A90" s="94" t="s">
        <v>243</v>
      </c>
      <c r="B90" s="95" t="s">
        <v>35</v>
      </c>
      <c r="C90" s="95" t="s">
        <v>244</v>
      </c>
      <c r="D90" s="95" t="s">
        <v>399</v>
      </c>
      <c r="E90" s="96" t="s">
        <v>400</v>
      </c>
      <c r="F90" s="95" t="s">
        <v>280</v>
      </c>
      <c r="G90" s="95" t="s">
        <v>281</v>
      </c>
      <c r="H90" s="95"/>
      <c r="I90" s="95"/>
      <c r="J90" s="95"/>
      <c r="K90" s="97">
        <v>1.9800000000000002</v>
      </c>
      <c r="L90" s="97"/>
      <c r="M90" s="98"/>
      <c r="N90" s="41"/>
      <c r="O90" s="95"/>
      <c r="P90" s="26"/>
      <c r="Q90" s="97"/>
      <c r="R90" s="97"/>
      <c r="S90" s="26"/>
      <c r="T90" s="99"/>
      <c r="U90" s="27"/>
    </row>
    <row r="91" spans="1:21" x14ac:dyDescent="0.2">
      <c r="A91" s="94" t="s">
        <v>243</v>
      </c>
      <c r="B91" s="95" t="s">
        <v>35</v>
      </c>
      <c r="C91" s="95" t="s">
        <v>401</v>
      </c>
      <c r="D91" s="95" t="s">
        <v>402</v>
      </c>
      <c r="E91" s="96" t="s">
        <v>403</v>
      </c>
      <c r="F91" s="95" t="s">
        <v>280</v>
      </c>
      <c r="G91" s="95" t="s">
        <v>228</v>
      </c>
      <c r="H91" s="95" t="s">
        <v>9</v>
      </c>
      <c r="I91" s="95" t="s">
        <v>190</v>
      </c>
      <c r="J91" s="96" t="s">
        <v>229</v>
      </c>
      <c r="K91" s="97">
        <v>19.350000000000001</v>
      </c>
      <c r="L91" s="97">
        <f>K91*VLOOKUP(H91,dagsoorttabel1,2,FALSE)</f>
        <v>19.350000000000001</v>
      </c>
      <c r="M91" s="98">
        <f>prodnorm31</f>
        <v>0</v>
      </c>
      <c r="N91" s="41">
        <f>dagwerk31</f>
        <v>0</v>
      </c>
      <c r="O91" s="95" t="s">
        <v>101</v>
      </c>
      <c r="P91" s="26">
        <f>uurtarief31</f>
        <v>0</v>
      </c>
      <c r="Q91" s="97" t="e">
        <f>IF(ISBLANK(M91),0,L91/ROUND(M91,4))</f>
        <v>#DIV/0!</v>
      </c>
      <c r="R91" s="97" t="e">
        <f>IF(ISBLANK(M91),0,Q91*ROUND(N91,2))</f>
        <v>#DIV/0!</v>
      </c>
      <c r="S91" s="26" t="e">
        <f>ROUND(P91,2)*Q91</f>
        <v>#DIV/0!</v>
      </c>
      <c r="T91" s="97" t="e">
        <f>Q91*dagenperjaar1</f>
        <v>#DIV/0!</v>
      </c>
      <c r="U91" s="27" t="e">
        <f>T91*ROUND(P91,2)</f>
        <v>#DIV/0!</v>
      </c>
    </row>
    <row r="92" spans="1:21" x14ac:dyDescent="0.2">
      <c r="A92" s="94" t="s">
        <v>243</v>
      </c>
      <c r="B92" s="95" t="s">
        <v>35</v>
      </c>
      <c r="C92" s="95" t="s">
        <v>401</v>
      </c>
      <c r="D92" s="95" t="s">
        <v>404</v>
      </c>
      <c r="E92" s="96" t="s">
        <v>257</v>
      </c>
      <c r="F92" s="95" t="s">
        <v>258</v>
      </c>
      <c r="G92" s="95" t="s">
        <v>220</v>
      </c>
      <c r="H92" s="95" t="s">
        <v>9</v>
      </c>
      <c r="I92" s="95" t="s">
        <v>190</v>
      </c>
      <c r="J92" s="96" t="s">
        <v>221</v>
      </c>
      <c r="K92" s="97">
        <v>170.23999999999998</v>
      </c>
      <c r="L92" s="97">
        <f>K92*VLOOKUP(H92,dagsoorttabel1,2,FALSE)</f>
        <v>170.23999999999998</v>
      </c>
      <c r="M92" s="98">
        <f>prodnorm27</f>
        <v>0</v>
      </c>
      <c r="N92" s="41">
        <f>dagwerk27</f>
        <v>0</v>
      </c>
      <c r="O92" s="95" t="s">
        <v>101</v>
      </c>
      <c r="P92" s="26">
        <f>uurtarief27</f>
        <v>0</v>
      </c>
      <c r="Q92" s="97" t="e">
        <f>IF(ISBLANK(M92),0,L92/ROUND(M92,4))</f>
        <v>#DIV/0!</v>
      </c>
      <c r="R92" s="97" t="e">
        <f>IF(ISBLANK(M92),0,Q92*ROUND(N92,2))</f>
        <v>#DIV/0!</v>
      </c>
      <c r="S92" s="26" t="e">
        <f>ROUND(P92,2)*Q92</f>
        <v>#DIV/0!</v>
      </c>
      <c r="T92" s="97" t="e">
        <f>Q92*dagenperjaar1</f>
        <v>#DIV/0!</v>
      </c>
      <c r="U92" s="27" t="e">
        <f>T92*ROUND(P92,2)</f>
        <v>#DIV/0!</v>
      </c>
    </row>
    <row r="93" spans="1:21" ht="25.5" x14ac:dyDescent="0.2">
      <c r="A93" s="94" t="s">
        <v>243</v>
      </c>
      <c r="B93" s="95" t="s">
        <v>35</v>
      </c>
      <c r="C93" s="95" t="s">
        <v>401</v>
      </c>
      <c r="D93" s="95" t="s">
        <v>405</v>
      </c>
      <c r="E93" s="96" t="s">
        <v>406</v>
      </c>
      <c r="F93" s="95" t="s">
        <v>258</v>
      </c>
      <c r="G93" s="95" t="s">
        <v>198</v>
      </c>
      <c r="H93" s="95" t="s">
        <v>9</v>
      </c>
      <c r="I93" s="95" t="s">
        <v>190</v>
      </c>
      <c r="J93" s="96" t="s">
        <v>199</v>
      </c>
      <c r="K93" s="97">
        <v>44.55</v>
      </c>
      <c r="L93" s="97">
        <f>K93*VLOOKUP(H93,dagsoorttabel1,2,FALSE)</f>
        <v>44.55</v>
      </c>
      <c r="M93" s="98">
        <f>prodnorm16</f>
        <v>0</v>
      </c>
      <c r="N93" s="41">
        <f>dagwerk16</f>
        <v>0</v>
      </c>
      <c r="O93" s="95" t="s">
        <v>101</v>
      </c>
      <c r="P93" s="26">
        <f>uurtarief16</f>
        <v>0</v>
      </c>
      <c r="Q93" s="97" t="e">
        <f>IF(ISBLANK(M93),0,L93/ROUND(M93,4))</f>
        <v>#DIV/0!</v>
      </c>
      <c r="R93" s="97" t="e">
        <f>IF(ISBLANK(M93),0,Q93*ROUND(N93,2))</f>
        <v>#DIV/0!</v>
      </c>
      <c r="S93" s="26" t="e">
        <f>ROUND(P93,2)*Q93</f>
        <v>#DIV/0!</v>
      </c>
      <c r="T93" s="97" t="e">
        <f>Q93*dagenperjaar1</f>
        <v>#DIV/0!</v>
      </c>
      <c r="U93" s="27" t="e">
        <f>T93*ROUND(P93,2)</f>
        <v>#DIV/0!</v>
      </c>
    </row>
    <row r="94" spans="1:21" ht="25.5" x14ac:dyDescent="0.2">
      <c r="A94" s="94" t="s">
        <v>243</v>
      </c>
      <c r="B94" s="95" t="s">
        <v>35</v>
      </c>
      <c r="C94" s="95" t="s">
        <v>401</v>
      </c>
      <c r="D94" s="95" t="s">
        <v>407</v>
      </c>
      <c r="E94" s="96" t="s">
        <v>406</v>
      </c>
      <c r="F94" s="95" t="s">
        <v>258</v>
      </c>
      <c r="G94" s="95" t="s">
        <v>198</v>
      </c>
      <c r="H94" s="95" t="s">
        <v>9</v>
      </c>
      <c r="I94" s="95" t="s">
        <v>190</v>
      </c>
      <c r="J94" s="96" t="s">
        <v>199</v>
      </c>
      <c r="K94" s="97">
        <v>29.16</v>
      </c>
      <c r="L94" s="97">
        <f>K94*VLOOKUP(H94,dagsoorttabel1,2,FALSE)</f>
        <v>29.16</v>
      </c>
      <c r="M94" s="98">
        <f>prodnorm16</f>
        <v>0</v>
      </c>
      <c r="N94" s="41">
        <f>dagwerk16</f>
        <v>0</v>
      </c>
      <c r="O94" s="95" t="s">
        <v>101</v>
      </c>
      <c r="P94" s="26">
        <f>uurtarief16</f>
        <v>0</v>
      </c>
      <c r="Q94" s="97" t="e">
        <f>IF(ISBLANK(M94),0,L94/ROUND(M94,4))</f>
        <v>#DIV/0!</v>
      </c>
      <c r="R94" s="97" t="e">
        <f>IF(ISBLANK(M94),0,Q94*ROUND(N94,2))</f>
        <v>#DIV/0!</v>
      </c>
      <c r="S94" s="26" t="e">
        <f>ROUND(P94,2)*Q94</f>
        <v>#DIV/0!</v>
      </c>
      <c r="T94" s="97" t="e">
        <f>Q94*dagenperjaar1</f>
        <v>#DIV/0!</v>
      </c>
      <c r="U94" s="27" t="e">
        <f>T94*ROUND(P94,2)</f>
        <v>#DIV/0!</v>
      </c>
    </row>
    <row r="95" spans="1:21" x14ac:dyDescent="0.2">
      <c r="A95" s="94" t="s">
        <v>243</v>
      </c>
      <c r="B95" s="95" t="s">
        <v>35</v>
      </c>
      <c r="C95" s="95" t="s">
        <v>401</v>
      </c>
      <c r="D95" s="95" t="s">
        <v>408</v>
      </c>
      <c r="E95" s="96" t="s">
        <v>321</v>
      </c>
      <c r="F95" s="95" t="s">
        <v>280</v>
      </c>
      <c r="G95" s="95" t="s">
        <v>281</v>
      </c>
      <c r="H95" s="95"/>
      <c r="I95" s="95"/>
      <c r="J95" s="95"/>
      <c r="K95" s="97">
        <v>1.08</v>
      </c>
      <c r="L95" s="97"/>
      <c r="M95" s="98"/>
      <c r="N95" s="41"/>
      <c r="O95" s="95"/>
      <c r="P95" s="26"/>
      <c r="Q95" s="97"/>
      <c r="R95" s="97"/>
      <c r="S95" s="26"/>
      <c r="T95" s="99"/>
      <c r="U95" s="27"/>
    </row>
    <row r="96" spans="1:21" x14ac:dyDescent="0.2">
      <c r="A96" s="94" t="s">
        <v>243</v>
      </c>
      <c r="B96" s="95" t="s">
        <v>35</v>
      </c>
      <c r="C96" s="95" t="s">
        <v>401</v>
      </c>
      <c r="D96" s="95" t="s">
        <v>409</v>
      </c>
      <c r="E96" s="96" t="s">
        <v>356</v>
      </c>
      <c r="F96" s="95" t="s">
        <v>258</v>
      </c>
      <c r="G96" s="95" t="s">
        <v>204</v>
      </c>
      <c r="H96" s="95" t="s">
        <v>9</v>
      </c>
      <c r="I96" s="95" t="s">
        <v>190</v>
      </c>
      <c r="J96" s="96" t="s">
        <v>205</v>
      </c>
      <c r="K96" s="97">
        <v>7.2</v>
      </c>
      <c r="L96" s="97">
        <f>K96*VLOOKUP(H96,dagsoorttabel1,2,FALSE)</f>
        <v>7.2</v>
      </c>
      <c r="M96" s="98">
        <f>prodnorm19</f>
        <v>0</v>
      </c>
      <c r="N96" s="41">
        <f>dagwerk19</f>
        <v>0</v>
      </c>
      <c r="O96" s="95" t="s">
        <v>101</v>
      </c>
      <c r="P96" s="26">
        <f>uurtarief19</f>
        <v>0</v>
      </c>
      <c r="Q96" s="97" t="e">
        <f>IF(ISBLANK(M96),0,L96/ROUND(M96,4))</f>
        <v>#DIV/0!</v>
      </c>
      <c r="R96" s="97" t="e">
        <f>IF(ISBLANK(M96),0,Q96*ROUND(N96,2))</f>
        <v>#DIV/0!</v>
      </c>
      <c r="S96" s="26" t="e">
        <f>ROUND(P96,2)*Q96</f>
        <v>#DIV/0!</v>
      </c>
      <c r="T96" s="97" t="e">
        <f>Q96*dagenperjaar1</f>
        <v>#DIV/0!</v>
      </c>
      <c r="U96" s="27" t="e">
        <f>T96*ROUND(P96,2)</f>
        <v>#DIV/0!</v>
      </c>
    </row>
    <row r="97" spans="1:21" x14ac:dyDescent="0.2">
      <c r="A97" s="94" t="s">
        <v>243</v>
      </c>
      <c r="B97" s="95" t="s">
        <v>35</v>
      </c>
      <c r="C97" s="95" t="s">
        <v>401</v>
      </c>
      <c r="D97" s="95" t="s">
        <v>410</v>
      </c>
      <c r="E97" s="96" t="s">
        <v>289</v>
      </c>
      <c r="F97" s="95" t="s">
        <v>253</v>
      </c>
      <c r="G97" s="95" t="s">
        <v>192</v>
      </c>
      <c r="H97" s="95" t="s">
        <v>9</v>
      </c>
      <c r="I97" s="95" t="s">
        <v>190</v>
      </c>
      <c r="J97" s="96" t="s">
        <v>193</v>
      </c>
      <c r="K97" s="97">
        <v>29.16</v>
      </c>
      <c r="L97" s="97">
        <f>K97*VLOOKUP(H97,dagsoorttabel1,2,FALSE)</f>
        <v>29.16</v>
      </c>
      <c r="M97" s="98">
        <f>prodnorm12</f>
        <v>0</v>
      </c>
      <c r="N97" s="41">
        <f>dagwerk12</f>
        <v>0</v>
      </c>
      <c r="O97" s="95" t="s">
        <v>101</v>
      </c>
      <c r="P97" s="26">
        <f>uurtarief12</f>
        <v>0</v>
      </c>
      <c r="Q97" s="97" t="e">
        <f>IF(ISBLANK(M97),0,L97/ROUND(M97,4))</f>
        <v>#DIV/0!</v>
      </c>
      <c r="R97" s="97" t="e">
        <f>IF(ISBLANK(M97),0,Q97*ROUND(N97,2))</f>
        <v>#DIV/0!</v>
      </c>
      <c r="S97" s="26" t="e">
        <f>ROUND(P97,2)*Q97</f>
        <v>#DIV/0!</v>
      </c>
      <c r="T97" s="97" t="e">
        <f>Q97*dagenperjaar1</f>
        <v>#DIV/0!</v>
      </c>
      <c r="U97" s="27" t="e">
        <f>T97*ROUND(P97,2)</f>
        <v>#DIV/0!</v>
      </c>
    </row>
    <row r="98" spans="1:21" ht="25.5" x14ac:dyDescent="0.2">
      <c r="A98" s="94" t="s">
        <v>243</v>
      </c>
      <c r="B98" s="95" t="s">
        <v>35</v>
      </c>
      <c r="C98" s="95" t="s">
        <v>401</v>
      </c>
      <c r="D98" s="95" t="s">
        <v>411</v>
      </c>
      <c r="E98" s="96" t="s">
        <v>412</v>
      </c>
      <c r="F98" s="95" t="s">
        <v>253</v>
      </c>
      <c r="G98" s="95" t="s">
        <v>200</v>
      </c>
      <c r="H98" s="95" t="s">
        <v>9</v>
      </c>
      <c r="I98" s="95" t="s">
        <v>190</v>
      </c>
      <c r="J98" s="96" t="s">
        <v>201</v>
      </c>
      <c r="K98" s="97">
        <v>17.939999999999998</v>
      </c>
      <c r="L98" s="97">
        <f>K98*VLOOKUP(H98,dagsoorttabel1,2,FALSE)</f>
        <v>17.939999999999998</v>
      </c>
      <c r="M98" s="98">
        <f>prodnorm17</f>
        <v>0</v>
      </c>
      <c r="N98" s="41">
        <f>dagwerk17</f>
        <v>0</v>
      </c>
      <c r="O98" s="95" t="s">
        <v>101</v>
      </c>
      <c r="P98" s="26">
        <f>uurtarief17</f>
        <v>0</v>
      </c>
      <c r="Q98" s="97" t="e">
        <f>IF(ISBLANK(M98),0,L98/ROUND(M98,4))</f>
        <v>#DIV/0!</v>
      </c>
      <c r="R98" s="97" t="e">
        <f>IF(ISBLANK(M98),0,Q98*ROUND(N98,2))</f>
        <v>#DIV/0!</v>
      </c>
      <c r="S98" s="26" t="e">
        <f>ROUND(P98,2)*Q98</f>
        <v>#DIV/0!</v>
      </c>
      <c r="T98" s="97" t="e">
        <f>Q98*dagenperjaar1</f>
        <v>#DIV/0!</v>
      </c>
      <c r="U98" s="27" t="e">
        <f>T98*ROUND(P98,2)</f>
        <v>#DIV/0!</v>
      </c>
    </row>
    <row r="99" spans="1:21" x14ac:dyDescent="0.2">
      <c r="A99" s="94" t="s">
        <v>243</v>
      </c>
      <c r="B99" s="95" t="s">
        <v>35</v>
      </c>
      <c r="C99" s="95" t="s">
        <v>401</v>
      </c>
      <c r="D99" s="95" t="s">
        <v>413</v>
      </c>
      <c r="E99" s="96" t="s">
        <v>390</v>
      </c>
      <c r="F99" s="95" t="s">
        <v>307</v>
      </c>
      <c r="G99" s="95" t="s">
        <v>214</v>
      </c>
      <c r="H99" s="95" t="s">
        <v>9</v>
      </c>
      <c r="I99" s="95" t="s">
        <v>190</v>
      </c>
      <c r="J99" s="96" t="s">
        <v>215</v>
      </c>
      <c r="K99" s="97">
        <v>9.3000000000000007</v>
      </c>
      <c r="L99" s="97">
        <f>K99*VLOOKUP(H99,dagsoorttabel1,2,FALSE)</f>
        <v>9.3000000000000007</v>
      </c>
      <c r="M99" s="98">
        <f>prodnorm24</f>
        <v>0</v>
      </c>
      <c r="N99" s="41">
        <f>dagwerk24</f>
        <v>0</v>
      </c>
      <c r="O99" s="95" t="s">
        <v>101</v>
      </c>
      <c r="P99" s="26">
        <f>uurtarief24</f>
        <v>0</v>
      </c>
      <c r="Q99" s="97" t="e">
        <f>IF(ISBLANK(M99),0,L99/ROUND(M99,4))</f>
        <v>#DIV/0!</v>
      </c>
      <c r="R99" s="97" t="e">
        <f>IF(ISBLANK(M99),0,Q99*ROUND(N99,2))</f>
        <v>#DIV/0!</v>
      </c>
      <c r="S99" s="26" t="e">
        <f>ROUND(P99,2)*Q99</f>
        <v>#DIV/0!</v>
      </c>
      <c r="T99" s="97" t="e">
        <f>Q99*dagenperjaar1</f>
        <v>#DIV/0!</v>
      </c>
      <c r="U99" s="27" t="e">
        <f>T99*ROUND(P99,2)</f>
        <v>#DIV/0!</v>
      </c>
    </row>
    <row r="100" spans="1:21" x14ac:dyDescent="0.2">
      <c r="A100" s="94" t="s">
        <v>243</v>
      </c>
      <c r="B100" s="95" t="s">
        <v>35</v>
      </c>
      <c r="C100" s="95" t="s">
        <v>401</v>
      </c>
      <c r="D100" s="95" t="s">
        <v>414</v>
      </c>
      <c r="E100" s="96" t="s">
        <v>390</v>
      </c>
      <c r="F100" s="95" t="s">
        <v>307</v>
      </c>
      <c r="G100" s="95" t="s">
        <v>214</v>
      </c>
      <c r="H100" s="95" t="s">
        <v>9</v>
      </c>
      <c r="I100" s="95" t="s">
        <v>190</v>
      </c>
      <c r="J100" s="96" t="s">
        <v>215</v>
      </c>
      <c r="K100" s="97">
        <v>1.1700000000000002</v>
      </c>
      <c r="L100" s="97">
        <f>K100*VLOOKUP(H100,dagsoorttabel1,2,FALSE)</f>
        <v>1.1700000000000002</v>
      </c>
      <c r="M100" s="98">
        <f>prodnorm24</f>
        <v>0</v>
      </c>
      <c r="N100" s="41">
        <f>dagwerk24</f>
        <v>0</v>
      </c>
      <c r="O100" s="95" t="s">
        <v>101</v>
      </c>
      <c r="P100" s="26">
        <f>uurtarief24</f>
        <v>0</v>
      </c>
      <c r="Q100" s="97" t="e">
        <f>IF(ISBLANK(M100),0,L100/ROUND(M100,4))</f>
        <v>#DIV/0!</v>
      </c>
      <c r="R100" s="97" t="e">
        <f>IF(ISBLANK(M100),0,Q100*ROUND(N100,2))</f>
        <v>#DIV/0!</v>
      </c>
      <c r="S100" s="26" t="e">
        <f>ROUND(P100,2)*Q100</f>
        <v>#DIV/0!</v>
      </c>
      <c r="T100" s="97" t="e">
        <f>Q100*dagenperjaar1</f>
        <v>#DIV/0!</v>
      </c>
      <c r="U100" s="27" t="e">
        <f>T100*ROUND(P100,2)</f>
        <v>#DIV/0!</v>
      </c>
    </row>
    <row r="101" spans="1:21" x14ac:dyDescent="0.2">
      <c r="A101" s="94" t="s">
        <v>243</v>
      </c>
      <c r="B101" s="95" t="s">
        <v>35</v>
      </c>
      <c r="C101" s="95" t="s">
        <v>401</v>
      </c>
      <c r="D101" s="95" t="s">
        <v>415</v>
      </c>
      <c r="E101" s="96" t="s">
        <v>390</v>
      </c>
      <c r="F101" s="95" t="s">
        <v>307</v>
      </c>
      <c r="G101" s="95" t="s">
        <v>214</v>
      </c>
      <c r="H101" s="95" t="s">
        <v>9</v>
      </c>
      <c r="I101" s="95" t="s">
        <v>190</v>
      </c>
      <c r="J101" s="96" t="s">
        <v>215</v>
      </c>
      <c r="K101" s="97">
        <v>1.1700000000000002</v>
      </c>
      <c r="L101" s="97">
        <f>K101*VLOOKUP(H101,dagsoorttabel1,2,FALSE)</f>
        <v>1.1700000000000002</v>
      </c>
      <c r="M101" s="98">
        <f>prodnorm24</f>
        <v>0</v>
      </c>
      <c r="N101" s="41">
        <f>dagwerk24</f>
        <v>0</v>
      </c>
      <c r="O101" s="95" t="s">
        <v>101</v>
      </c>
      <c r="P101" s="26">
        <f>uurtarief24</f>
        <v>0</v>
      </c>
      <c r="Q101" s="97" t="e">
        <f>IF(ISBLANK(M101),0,L101/ROUND(M101,4))</f>
        <v>#DIV/0!</v>
      </c>
      <c r="R101" s="97" t="e">
        <f>IF(ISBLANK(M101),0,Q101*ROUND(N101,2))</f>
        <v>#DIV/0!</v>
      </c>
      <c r="S101" s="26" t="e">
        <f>ROUND(P101,2)*Q101</f>
        <v>#DIV/0!</v>
      </c>
      <c r="T101" s="97" t="e">
        <f>Q101*dagenperjaar1</f>
        <v>#DIV/0!</v>
      </c>
      <c r="U101" s="27" t="e">
        <f>T101*ROUND(P101,2)</f>
        <v>#DIV/0!</v>
      </c>
    </row>
    <row r="102" spans="1:21" x14ac:dyDescent="0.2">
      <c r="A102" s="94" t="s">
        <v>243</v>
      </c>
      <c r="B102" s="95" t="s">
        <v>35</v>
      </c>
      <c r="C102" s="95" t="s">
        <v>401</v>
      </c>
      <c r="D102" s="95" t="s">
        <v>416</v>
      </c>
      <c r="E102" s="96" t="s">
        <v>390</v>
      </c>
      <c r="F102" s="95" t="s">
        <v>307</v>
      </c>
      <c r="G102" s="95" t="s">
        <v>214</v>
      </c>
      <c r="H102" s="95" t="s">
        <v>9</v>
      </c>
      <c r="I102" s="95" t="s">
        <v>190</v>
      </c>
      <c r="J102" s="96" t="s">
        <v>215</v>
      </c>
      <c r="K102" s="97">
        <v>1.1700000000000002</v>
      </c>
      <c r="L102" s="97">
        <f>K102*VLOOKUP(H102,dagsoorttabel1,2,FALSE)</f>
        <v>1.1700000000000002</v>
      </c>
      <c r="M102" s="98">
        <f>prodnorm24</f>
        <v>0</v>
      </c>
      <c r="N102" s="41">
        <f>dagwerk24</f>
        <v>0</v>
      </c>
      <c r="O102" s="95" t="s">
        <v>101</v>
      </c>
      <c r="P102" s="26">
        <f>uurtarief24</f>
        <v>0</v>
      </c>
      <c r="Q102" s="97" t="e">
        <f>IF(ISBLANK(M102),0,L102/ROUND(M102,4))</f>
        <v>#DIV/0!</v>
      </c>
      <c r="R102" s="97" t="e">
        <f>IF(ISBLANK(M102),0,Q102*ROUND(N102,2))</f>
        <v>#DIV/0!</v>
      </c>
      <c r="S102" s="26" t="e">
        <f>ROUND(P102,2)*Q102</f>
        <v>#DIV/0!</v>
      </c>
      <c r="T102" s="97" t="e">
        <f>Q102*dagenperjaar1</f>
        <v>#DIV/0!</v>
      </c>
      <c r="U102" s="27" t="e">
        <f>T102*ROUND(P102,2)</f>
        <v>#DIV/0!</v>
      </c>
    </row>
    <row r="103" spans="1:21" x14ac:dyDescent="0.2">
      <c r="A103" s="94" t="s">
        <v>243</v>
      </c>
      <c r="B103" s="95" t="s">
        <v>35</v>
      </c>
      <c r="C103" s="95" t="s">
        <v>401</v>
      </c>
      <c r="D103" s="95" t="s">
        <v>417</v>
      </c>
      <c r="E103" s="96" t="s">
        <v>390</v>
      </c>
      <c r="F103" s="95" t="s">
        <v>307</v>
      </c>
      <c r="G103" s="95" t="s">
        <v>214</v>
      </c>
      <c r="H103" s="95" t="s">
        <v>9</v>
      </c>
      <c r="I103" s="95" t="s">
        <v>190</v>
      </c>
      <c r="J103" s="96" t="s">
        <v>215</v>
      </c>
      <c r="K103" s="97">
        <v>1.1700000000000002</v>
      </c>
      <c r="L103" s="97">
        <f>K103*VLOOKUP(H103,dagsoorttabel1,2,FALSE)</f>
        <v>1.1700000000000002</v>
      </c>
      <c r="M103" s="98">
        <f>prodnorm24</f>
        <v>0</v>
      </c>
      <c r="N103" s="41">
        <f>dagwerk24</f>
        <v>0</v>
      </c>
      <c r="O103" s="95" t="s">
        <v>101</v>
      </c>
      <c r="P103" s="26">
        <f>uurtarief24</f>
        <v>0</v>
      </c>
      <c r="Q103" s="97" t="e">
        <f>IF(ISBLANK(M103),0,L103/ROUND(M103,4))</f>
        <v>#DIV/0!</v>
      </c>
      <c r="R103" s="97" t="e">
        <f>IF(ISBLANK(M103),0,Q103*ROUND(N103,2))</f>
        <v>#DIV/0!</v>
      </c>
      <c r="S103" s="26" t="e">
        <f>ROUND(P103,2)*Q103</f>
        <v>#DIV/0!</v>
      </c>
      <c r="T103" s="97" t="e">
        <f>Q103*dagenperjaar1</f>
        <v>#DIV/0!</v>
      </c>
      <c r="U103" s="27" t="e">
        <f>T103*ROUND(P103,2)</f>
        <v>#DIV/0!</v>
      </c>
    </row>
    <row r="104" spans="1:21" x14ac:dyDescent="0.2">
      <c r="A104" s="94" t="s">
        <v>243</v>
      </c>
      <c r="B104" s="95" t="s">
        <v>35</v>
      </c>
      <c r="C104" s="95" t="s">
        <v>401</v>
      </c>
      <c r="D104" s="95" t="s">
        <v>418</v>
      </c>
      <c r="E104" s="96" t="s">
        <v>384</v>
      </c>
      <c r="F104" s="95" t="s">
        <v>258</v>
      </c>
      <c r="G104" s="95" t="s">
        <v>281</v>
      </c>
      <c r="H104" s="95"/>
      <c r="I104" s="95"/>
      <c r="J104" s="95"/>
      <c r="K104" s="97">
        <v>2.2999999999999998</v>
      </c>
      <c r="L104" s="97"/>
      <c r="M104" s="98"/>
      <c r="N104" s="41"/>
      <c r="O104" s="95"/>
      <c r="P104" s="26"/>
      <c r="Q104" s="97"/>
      <c r="R104" s="97"/>
      <c r="S104" s="26"/>
      <c r="T104" s="99"/>
      <c r="U104" s="27"/>
    </row>
    <row r="105" spans="1:21" x14ac:dyDescent="0.2">
      <c r="A105" s="94" t="s">
        <v>243</v>
      </c>
      <c r="B105" s="95" t="s">
        <v>35</v>
      </c>
      <c r="C105" s="95" t="s">
        <v>401</v>
      </c>
      <c r="D105" s="95" t="s">
        <v>419</v>
      </c>
      <c r="E105" s="96" t="s">
        <v>420</v>
      </c>
      <c r="F105" s="95" t="s">
        <v>253</v>
      </c>
      <c r="G105" s="95" t="s">
        <v>218</v>
      </c>
      <c r="H105" s="95" t="s">
        <v>9</v>
      </c>
      <c r="I105" s="95" t="s">
        <v>190</v>
      </c>
      <c r="J105" s="96" t="s">
        <v>219</v>
      </c>
      <c r="K105" s="97">
        <v>64.8</v>
      </c>
      <c r="L105" s="97">
        <f>K105*VLOOKUP(H105,dagsoorttabel1,2,FALSE)</f>
        <v>64.8</v>
      </c>
      <c r="M105" s="98">
        <f>prodnorm26</f>
        <v>0</v>
      </c>
      <c r="N105" s="41">
        <f>dagwerk26</f>
        <v>0</v>
      </c>
      <c r="O105" s="95" t="s">
        <v>101</v>
      </c>
      <c r="P105" s="26">
        <f>uurtarief26</f>
        <v>0</v>
      </c>
      <c r="Q105" s="97" t="e">
        <f>IF(ISBLANK(M105),0,L105/ROUND(M105,4))</f>
        <v>#DIV/0!</v>
      </c>
      <c r="R105" s="97" t="e">
        <f>IF(ISBLANK(M105),0,Q105*ROUND(N105,2))</f>
        <v>#DIV/0!</v>
      </c>
      <c r="S105" s="26" t="e">
        <f>ROUND(P105,2)*Q105</f>
        <v>#DIV/0!</v>
      </c>
      <c r="T105" s="97" t="e">
        <f>Q105*dagenperjaar1</f>
        <v>#DIV/0!</v>
      </c>
      <c r="U105" s="27" t="e">
        <f>T105*ROUND(P105,2)</f>
        <v>#DIV/0!</v>
      </c>
    </row>
    <row r="106" spans="1:21" ht="25.5" x14ac:dyDescent="0.2">
      <c r="A106" s="94" t="s">
        <v>243</v>
      </c>
      <c r="B106" s="95" t="s">
        <v>35</v>
      </c>
      <c r="C106" s="95" t="s">
        <v>401</v>
      </c>
      <c r="D106" s="95" t="s">
        <v>421</v>
      </c>
      <c r="E106" s="96" t="s">
        <v>422</v>
      </c>
      <c r="F106" s="95" t="s">
        <v>253</v>
      </c>
      <c r="G106" s="95" t="s">
        <v>200</v>
      </c>
      <c r="H106" s="95" t="s">
        <v>9</v>
      </c>
      <c r="I106" s="95" t="s">
        <v>190</v>
      </c>
      <c r="J106" s="96" t="s">
        <v>201</v>
      </c>
      <c r="K106" s="97">
        <v>53.46</v>
      </c>
      <c r="L106" s="97">
        <f>K106*VLOOKUP(H106,dagsoorttabel1,2,FALSE)</f>
        <v>53.46</v>
      </c>
      <c r="M106" s="98">
        <f>prodnorm17</f>
        <v>0</v>
      </c>
      <c r="N106" s="41">
        <f>dagwerk17</f>
        <v>0</v>
      </c>
      <c r="O106" s="95" t="s">
        <v>101</v>
      </c>
      <c r="P106" s="26">
        <f>uurtarief17</f>
        <v>0</v>
      </c>
      <c r="Q106" s="97" t="e">
        <f>IF(ISBLANK(M106),0,L106/ROUND(M106,4))</f>
        <v>#DIV/0!</v>
      </c>
      <c r="R106" s="97" t="e">
        <f>IF(ISBLANK(M106),0,Q106*ROUND(N106,2))</f>
        <v>#DIV/0!</v>
      </c>
      <c r="S106" s="26" t="e">
        <f>ROUND(P106,2)*Q106</f>
        <v>#DIV/0!</v>
      </c>
      <c r="T106" s="97" t="e">
        <f>Q106*dagenperjaar1</f>
        <v>#DIV/0!</v>
      </c>
      <c r="U106" s="27" t="e">
        <f>T106*ROUND(P106,2)</f>
        <v>#DIV/0!</v>
      </c>
    </row>
    <row r="107" spans="1:21" x14ac:dyDescent="0.2">
      <c r="A107" s="94" t="s">
        <v>243</v>
      </c>
      <c r="B107" s="95" t="s">
        <v>35</v>
      </c>
      <c r="C107" s="95" t="s">
        <v>401</v>
      </c>
      <c r="D107" s="95" t="s">
        <v>423</v>
      </c>
      <c r="E107" s="96" t="s">
        <v>315</v>
      </c>
      <c r="F107" s="95" t="s">
        <v>253</v>
      </c>
      <c r="G107" s="95" t="s">
        <v>228</v>
      </c>
      <c r="H107" s="95" t="s">
        <v>9</v>
      </c>
      <c r="I107" s="95" t="s">
        <v>190</v>
      </c>
      <c r="J107" s="96" t="s">
        <v>229</v>
      </c>
      <c r="K107" s="97">
        <v>11</v>
      </c>
      <c r="L107" s="97">
        <f>K107*VLOOKUP(H107,dagsoorttabel1,2,FALSE)</f>
        <v>11</v>
      </c>
      <c r="M107" s="98">
        <f>prodnorm31</f>
        <v>0</v>
      </c>
      <c r="N107" s="41">
        <f>dagwerk31</f>
        <v>0</v>
      </c>
      <c r="O107" s="95" t="s">
        <v>101</v>
      </c>
      <c r="P107" s="26">
        <f>uurtarief31</f>
        <v>0</v>
      </c>
      <c r="Q107" s="97" t="e">
        <f>IF(ISBLANK(M107),0,L107/ROUND(M107,4))</f>
        <v>#DIV/0!</v>
      </c>
      <c r="R107" s="97" t="e">
        <f>IF(ISBLANK(M107),0,Q107*ROUND(N107,2))</f>
        <v>#DIV/0!</v>
      </c>
      <c r="S107" s="26" t="e">
        <f>ROUND(P107,2)*Q107</f>
        <v>#DIV/0!</v>
      </c>
      <c r="T107" s="97" t="e">
        <f>Q107*dagenperjaar1</f>
        <v>#DIV/0!</v>
      </c>
      <c r="U107" s="27" t="e">
        <f>T107*ROUND(P107,2)</f>
        <v>#DIV/0!</v>
      </c>
    </row>
    <row r="108" spans="1:21" x14ac:dyDescent="0.2">
      <c r="A108" s="94" t="s">
        <v>243</v>
      </c>
      <c r="B108" s="95" t="s">
        <v>35</v>
      </c>
      <c r="C108" s="95" t="s">
        <v>401</v>
      </c>
      <c r="D108" s="95" t="s">
        <v>424</v>
      </c>
      <c r="E108" s="96" t="s">
        <v>287</v>
      </c>
      <c r="F108" s="95" t="s">
        <v>280</v>
      </c>
      <c r="G108" s="95" t="s">
        <v>281</v>
      </c>
      <c r="H108" s="95"/>
      <c r="I108" s="95"/>
      <c r="J108" s="95"/>
      <c r="K108" s="97">
        <v>1.75</v>
      </c>
      <c r="L108" s="97"/>
      <c r="M108" s="98"/>
      <c r="N108" s="41"/>
      <c r="O108" s="95"/>
      <c r="P108" s="26"/>
      <c r="Q108" s="97"/>
      <c r="R108" s="97"/>
      <c r="S108" s="26"/>
      <c r="T108" s="99"/>
      <c r="U108" s="27"/>
    </row>
    <row r="109" spans="1:21" x14ac:dyDescent="0.2">
      <c r="A109" s="94" t="s">
        <v>243</v>
      </c>
      <c r="B109" s="95" t="s">
        <v>35</v>
      </c>
      <c r="C109" s="95" t="s">
        <v>401</v>
      </c>
      <c r="D109" s="95" t="s">
        <v>425</v>
      </c>
      <c r="E109" s="96" t="s">
        <v>289</v>
      </c>
      <c r="F109" s="95" t="s">
        <v>253</v>
      </c>
      <c r="G109" s="95" t="s">
        <v>192</v>
      </c>
      <c r="H109" s="95" t="s">
        <v>9</v>
      </c>
      <c r="I109" s="95" t="s">
        <v>190</v>
      </c>
      <c r="J109" s="96" t="s">
        <v>193</v>
      </c>
      <c r="K109" s="97">
        <v>30.24</v>
      </c>
      <c r="L109" s="97">
        <f>K109*VLOOKUP(H109,dagsoorttabel1,2,FALSE)</f>
        <v>30.24</v>
      </c>
      <c r="M109" s="98">
        <f>prodnorm12</f>
        <v>0</v>
      </c>
      <c r="N109" s="41">
        <f>dagwerk12</f>
        <v>0</v>
      </c>
      <c r="O109" s="95" t="s">
        <v>101</v>
      </c>
      <c r="P109" s="26">
        <f>uurtarief12</f>
        <v>0</v>
      </c>
      <c r="Q109" s="97" t="e">
        <f>IF(ISBLANK(M109),0,L109/ROUND(M109,4))</f>
        <v>#DIV/0!</v>
      </c>
      <c r="R109" s="97" t="e">
        <f>IF(ISBLANK(M109),0,Q109*ROUND(N109,2))</f>
        <v>#DIV/0!</v>
      </c>
      <c r="S109" s="26" t="e">
        <f>ROUND(P109,2)*Q109</f>
        <v>#DIV/0!</v>
      </c>
      <c r="T109" s="97" t="e">
        <f>Q109*dagenperjaar1</f>
        <v>#DIV/0!</v>
      </c>
      <c r="U109" s="27" t="e">
        <f>T109*ROUND(P109,2)</f>
        <v>#DIV/0!</v>
      </c>
    </row>
    <row r="110" spans="1:21" x14ac:dyDescent="0.2">
      <c r="A110" s="94" t="s">
        <v>243</v>
      </c>
      <c r="B110" s="95" t="s">
        <v>35</v>
      </c>
      <c r="C110" s="95" t="s">
        <v>401</v>
      </c>
      <c r="D110" s="95" t="s">
        <v>426</v>
      </c>
      <c r="E110" s="96" t="s">
        <v>289</v>
      </c>
      <c r="F110" s="95" t="s">
        <v>253</v>
      </c>
      <c r="G110" s="95" t="s">
        <v>192</v>
      </c>
      <c r="H110" s="95" t="s">
        <v>9</v>
      </c>
      <c r="I110" s="95" t="s">
        <v>190</v>
      </c>
      <c r="J110" s="96" t="s">
        <v>193</v>
      </c>
      <c r="K110" s="97">
        <v>7.26</v>
      </c>
      <c r="L110" s="97">
        <f>K110*VLOOKUP(H110,dagsoorttabel1,2,FALSE)</f>
        <v>7.26</v>
      </c>
      <c r="M110" s="98">
        <f>prodnorm12</f>
        <v>0</v>
      </c>
      <c r="N110" s="41">
        <f>dagwerk12</f>
        <v>0</v>
      </c>
      <c r="O110" s="95" t="s">
        <v>101</v>
      </c>
      <c r="P110" s="26">
        <f>uurtarief12</f>
        <v>0</v>
      </c>
      <c r="Q110" s="97" t="e">
        <f>IF(ISBLANK(M110),0,L110/ROUND(M110,4))</f>
        <v>#DIV/0!</v>
      </c>
      <c r="R110" s="97" t="e">
        <f>IF(ISBLANK(M110),0,Q110*ROUND(N110,2))</f>
        <v>#DIV/0!</v>
      </c>
      <c r="S110" s="26" t="e">
        <f>ROUND(P110,2)*Q110</f>
        <v>#DIV/0!</v>
      </c>
      <c r="T110" s="97" t="e">
        <f>Q110*dagenperjaar1</f>
        <v>#DIV/0!</v>
      </c>
      <c r="U110" s="27" t="e">
        <f>T110*ROUND(P110,2)</f>
        <v>#DIV/0!</v>
      </c>
    </row>
    <row r="111" spans="1:21" x14ac:dyDescent="0.2">
      <c r="A111" s="94" t="s">
        <v>243</v>
      </c>
      <c r="B111" s="95" t="s">
        <v>35</v>
      </c>
      <c r="C111" s="95" t="s">
        <v>401</v>
      </c>
      <c r="D111" s="95" t="s">
        <v>427</v>
      </c>
      <c r="E111" s="96" t="s">
        <v>289</v>
      </c>
      <c r="F111" s="95" t="s">
        <v>253</v>
      </c>
      <c r="G111" s="95" t="s">
        <v>192</v>
      </c>
      <c r="H111" s="95" t="s">
        <v>9</v>
      </c>
      <c r="I111" s="95" t="s">
        <v>190</v>
      </c>
      <c r="J111" s="96" t="s">
        <v>193</v>
      </c>
      <c r="K111" s="97">
        <v>31.32</v>
      </c>
      <c r="L111" s="97">
        <f>K111*VLOOKUP(H111,dagsoorttabel1,2,FALSE)</f>
        <v>31.32</v>
      </c>
      <c r="M111" s="98">
        <f>prodnorm12</f>
        <v>0</v>
      </c>
      <c r="N111" s="41">
        <f>dagwerk12</f>
        <v>0</v>
      </c>
      <c r="O111" s="95" t="s">
        <v>101</v>
      </c>
      <c r="P111" s="26">
        <f>uurtarief12</f>
        <v>0</v>
      </c>
      <c r="Q111" s="97" t="e">
        <f>IF(ISBLANK(M111),0,L111/ROUND(M111,4))</f>
        <v>#DIV/0!</v>
      </c>
      <c r="R111" s="97" t="e">
        <f>IF(ISBLANK(M111),0,Q111*ROUND(N111,2))</f>
        <v>#DIV/0!</v>
      </c>
      <c r="S111" s="26" t="e">
        <f>ROUND(P111,2)*Q111</f>
        <v>#DIV/0!</v>
      </c>
      <c r="T111" s="97" t="e">
        <f>Q111*dagenperjaar1</f>
        <v>#DIV/0!</v>
      </c>
      <c r="U111" s="27" t="e">
        <f>T111*ROUND(P111,2)</f>
        <v>#DIV/0!</v>
      </c>
    </row>
    <row r="112" spans="1:21" x14ac:dyDescent="0.2">
      <c r="A112" s="94" t="s">
        <v>243</v>
      </c>
      <c r="B112" s="95" t="s">
        <v>35</v>
      </c>
      <c r="C112" s="95" t="s">
        <v>401</v>
      </c>
      <c r="D112" s="95" t="s">
        <v>428</v>
      </c>
      <c r="E112" s="96" t="s">
        <v>289</v>
      </c>
      <c r="F112" s="95" t="s">
        <v>253</v>
      </c>
      <c r="G112" s="95" t="s">
        <v>192</v>
      </c>
      <c r="H112" s="95" t="s">
        <v>9</v>
      </c>
      <c r="I112" s="95" t="s">
        <v>190</v>
      </c>
      <c r="J112" s="96" t="s">
        <v>193</v>
      </c>
      <c r="K112" s="97">
        <v>7.26</v>
      </c>
      <c r="L112" s="97">
        <f>K112*VLOOKUP(H112,dagsoorttabel1,2,FALSE)</f>
        <v>7.26</v>
      </c>
      <c r="M112" s="98">
        <f>prodnorm12</f>
        <v>0</v>
      </c>
      <c r="N112" s="41">
        <f>dagwerk12</f>
        <v>0</v>
      </c>
      <c r="O112" s="95" t="s">
        <v>101</v>
      </c>
      <c r="P112" s="26">
        <f>uurtarief12</f>
        <v>0</v>
      </c>
      <c r="Q112" s="97" t="e">
        <f>IF(ISBLANK(M112),0,L112/ROUND(M112,4))</f>
        <v>#DIV/0!</v>
      </c>
      <c r="R112" s="97" t="e">
        <f>IF(ISBLANK(M112),0,Q112*ROUND(N112,2))</f>
        <v>#DIV/0!</v>
      </c>
      <c r="S112" s="26" t="e">
        <f>ROUND(P112,2)*Q112</f>
        <v>#DIV/0!</v>
      </c>
      <c r="T112" s="97" t="e">
        <f>Q112*dagenperjaar1</f>
        <v>#DIV/0!</v>
      </c>
      <c r="U112" s="27" t="e">
        <f>T112*ROUND(P112,2)</f>
        <v>#DIV/0!</v>
      </c>
    </row>
    <row r="113" spans="1:21" x14ac:dyDescent="0.2">
      <c r="A113" s="94" t="s">
        <v>243</v>
      </c>
      <c r="B113" s="95" t="s">
        <v>35</v>
      </c>
      <c r="C113" s="95" t="s">
        <v>401</v>
      </c>
      <c r="D113" s="95" t="s">
        <v>429</v>
      </c>
      <c r="E113" s="96" t="s">
        <v>289</v>
      </c>
      <c r="F113" s="95" t="s">
        <v>253</v>
      </c>
      <c r="G113" s="95" t="s">
        <v>192</v>
      </c>
      <c r="H113" s="95" t="s">
        <v>9</v>
      </c>
      <c r="I113" s="95" t="s">
        <v>190</v>
      </c>
      <c r="J113" s="96" t="s">
        <v>193</v>
      </c>
      <c r="K113" s="97">
        <v>31.32</v>
      </c>
      <c r="L113" s="97">
        <f>K113*VLOOKUP(H113,dagsoorttabel1,2,FALSE)</f>
        <v>31.32</v>
      </c>
      <c r="M113" s="98">
        <f>prodnorm12</f>
        <v>0</v>
      </c>
      <c r="N113" s="41">
        <f>dagwerk12</f>
        <v>0</v>
      </c>
      <c r="O113" s="95" t="s">
        <v>101</v>
      </c>
      <c r="P113" s="26">
        <f>uurtarief12</f>
        <v>0</v>
      </c>
      <c r="Q113" s="97" t="e">
        <f>IF(ISBLANK(M113),0,L113/ROUND(M113,4))</f>
        <v>#DIV/0!</v>
      </c>
      <c r="R113" s="97" t="e">
        <f>IF(ISBLANK(M113),0,Q113*ROUND(N113,2))</f>
        <v>#DIV/0!</v>
      </c>
      <c r="S113" s="26" t="e">
        <f>ROUND(P113,2)*Q113</f>
        <v>#DIV/0!</v>
      </c>
      <c r="T113" s="97" t="e">
        <f>Q113*dagenperjaar1</f>
        <v>#DIV/0!</v>
      </c>
      <c r="U113" s="27" t="e">
        <f>T113*ROUND(P113,2)</f>
        <v>#DIV/0!</v>
      </c>
    </row>
    <row r="114" spans="1:21" x14ac:dyDescent="0.2">
      <c r="A114" s="94" t="s">
        <v>243</v>
      </c>
      <c r="B114" s="95" t="s">
        <v>35</v>
      </c>
      <c r="C114" s="95" t="s">
        <v>401</v>
      </c>
      <c r="D114" s="95" t="s">
        <v>430</v>
      </c>
      <c r="E114" s="96" t="s">
        <v>289</v>
      </c>
      <c r="F114" s="95" t="s">
        <v>253</v>
      </c>
      <c r="G114" s="95" t="s">
        <v>192</v>
      </c>
      <c r="H114" s="95" t="s">
        <v>9</v>
      </c>
      <c r="I114" s="95" t="s">
        <v>190</v>
      </c>
      <c r="J114" s="96" t="s">
        <v>193</v>
      </c>
      <c r="K114" s="97">
        <v>7.26</v>
      </c>
      <c r="L114" s="97">
        <f>K114*VLOOKUP(H114,dagsoorttabel1,2,FALSE)</f>
        <v>7.26</v>
      </c>
      <c r="M114" s="98">
        <f>prodnorm12</f>
        <v>0</v>
      </c>
      <c r="N114" s="41">
        <f>dagwerk12</f>
        <v>0</v>
      </c>
      <c r="O114" s="95" t="s">
        <v>101</v>
      </c>
      <c r="P114" s="26">
        <f>uurtarief12</f>
        <v>0</v>
      </c>
      <c r="Q114" s="97" t="e">
        <f>IF(ISBLANK(M114),0,L114/ROUND(M114,4))</f>
        <v>#DIV/0!</v>
      </c>
      <c r="R114" s="97" t="e">
        <f>IF(ISBLANK(M114),0,Q114*ROUND(N114,2))</f>
        <v>#DIV/0!</v>
      </c>
      <c r="S114" s="26" t="e">
        <f>ROUND(P114,2)*Q114</f>
        <v>#DIV/0!</v>
      </c>
      <c r="T114" s="97" t="e">
        <f>Q114*dagenperjaar1</f>
        <v>#DIV/0!</v>
      </c>
      <c r="U114" s="27" t="e">
        <f>T114*ROUND(P114,2)</f>
        <v>#DIV/0!</v>
      </c>
    </row>
    <row r="115" spans="1:21" x14ac:dyDescent="0.2">
      <c r="A115" s="94" t="s">
        <v>243</v>
      </c>
      <c r="B115" s="95" t="s">
        <v>35</v>
      </c>
      <c r="C115" s="95" t="s">
        <v>401</v>
      </c>
      <c r="D115" s="95" t="s">
        <v>431</v>
      </c>
      <c r="E115" s="96" t="s">
        <v>289</v>
      </c>
      <c r="F115" s="95" t="s">
        <v>253</v>
      </c>
      <c r="G115" s="95" t="s">
        <v>192</v>
      </c>
      <c r="H115" s="95" t="s">
        <v>9</v>
      </c>
      <c r="I115" s="95" t="s">
        <v>190</v>
      </c>
      <c r="J115" s="96" t="s">
        <v>193</v>
      </c>
      <c r="K115" s="97">
        <v>31.32</v>
      </c>
      <c r="L115" s="97">
        <f>K115*VLOOKUP(H115,dagsoorttabel1,2,FALSE)</f>
        <v>31.32</v>
      </c>
      <c r="M115" s="98">
        <f>prodnorm12</f>
        <v>0</v>
      </c>
      <c r="N115" s="41">
        <f>dagwerk12</f>
        <v>0</v>
      </c>
      <c r="O115" s="95" t="s">
        <v>101</v>
      </c>
      <c r="P115" s="26">
        <f>uurtarief12</f>
        <v>0</v>
      </c>
      <c r="Q115" s="97" t="e">
        <f>IF(ISBLANK(M115),0,L115/ROUND(M115,4))</f>
        <v>#DIV/0!</v>
      </c>
      <c r="R115" s="97" t="e">
        <f>IF(ISBLANK(M115),0,Q115*ROUND(N115,2))</f>
        <v>#DIV/0!</v>
      </c>
      <c r="S115" s="26" t="e">
        <f>ROUND(P115,2)*Q115</f>
        <v>#DIV/0!</v>
      </c>
      <c r="T115" s="97" t="e">
        <f>Q115*dagenperjaar1</f>
        <v>#DIV/0!</v>
      </c>
      <c r="U115" s="27" t="e">
        <f>T115*ROUND(P115,2)</f>
        <v>#DIV/0!</v>
      </c>
    </row>
    <row r="116" spans="1:21" x14ac:dyDescent="0.2">
      <c r="A116" s="94" t="s">
        <v>243</v>
      </c>
      <c r="B116" s="95" t="s">
        <v>35</v>
      </c>
      <c r="C116" s="95" t="s">
        <v>401</v>
      </c>
      <c r="D116" s="95" t="s">
        <v>432</v>
      </c>
      <c r="E116" s="96" t="s">
        <v>289</v>
      </c>
      <c r="F116" s="95" t="s">
        <v>253</v>
      </c>
      <c r="G116" s="95" t="s">
        <v>192</v>
      </c>
      <c r="H116" s="95" t="s">
        <v>9</v>
      </c>
      <c r="I116" s="95" t="s">
        <v>190</v>
      </c>
      <c r="J116" s="96" t="s">
        <v>193</v>
      </c>
      <c r="K116" s="97">
        <v>7.26</v>
      </c>
      <c r="L116" s="97">
        <f>K116*VLOOKUP(H116,dagsoorttabel1,2,FALSE)</f>
        <v>7.26</v>
      </c>
      <c r="M116" s="98">
        <f>prodnorm12</f>
        <v>0</v>
      </c>
      <c r="N116" s="41">
        <f>dagwerk12</f>
        <v>0</v>
      </c>
      <c r="O116" s="95" t="s">
        <v>101</v>
      </c>
      <c r="P116" s="26">
        <f>uurtarief12</f>
        <v>0</v>
      </c>
      <c r="Q116" s="97" t="e">
        <f>IF(ISBLANK(M116),0,L116/ROUND(M116,4))</f>
        <v>#DIV/0!</v>
      </c>
      <c r="R116" s="97" t="e">
        <f>IF(ISBLANK(M116),0,Q116*ROUND(N116,2))</f>
        <v>#DIV/0!</v>
      </c>
      <c r="S116" s="26" t="e">
        <f>ROUND(P116,2)*Q116</f>
        <v>#DIV/0!</v>
      </c>
      <c r="T116" s="97" t="e">
        <f>Q116*dagenperjaar1</f>
        <v>#DIV/0!</v>
      </c>
      <c r="U116" s="27" t="e">
        <f>T116*ROUND(P116,2)</f>
        <v>#DIV/0!</v>
      </c>
    </row>
    <row r="117" spans="1:21" x14ac:dyDescent="0.2">
      <c r="A117" s="94" t="s">
        <v>243</v>
      </c>
      <c r="B117" s="95" t="s">
        <v>35</v>
      </c>
      <c r="C117" s="95" t="s">
        <v>401</v>
      </c>
      <c r="D117" s="95" t="s">
        <v>433</v>
      </c>
      <c r="E117" s="96" t="s">
        <v>289</v>
      </c>
      <c r="F117" s="95" t="s">
        <v>253</v>
      </c>
      <c r="G117" s="95" t="s">
        <v>192</v>
      </c>
      <c r="H117" s="95" t="s">
        <v>9</v>
      </c>
      <c r="I117" s="95" t="s">
        <v>190</v>
      </c>
      <c r="J117" s="96" t="s">
        <v>193</v>
      </c>
      <c r="K117" s="97">
        <v>31.32</v>
      </c>
      <c r="L117" s="97">
        <f>K117*VLOOKUP(H117,dagsoorttabel1,2,FALSE)</f>
        <v>31.32</v>
      </c>
      <c r="M117" s="98">
        <f>prodnorm12</f>
        <v>0</v>
      </c>
      <c r="N117" s="41">
        <f>dagwerk12</f>
        <v>0</v>
      </c>
      <c r="O117" s="95" t="s">
        <v>101</v>
      </c>
      <c r="P117" s="26">
        <f>uurtarief12</f>
        <v>0</v>
      </c>
      <c r="Q117" s="97" t="e">
        <f>IF(ISBLANK(M117),0,L117/ROUND(M117,4))</f>
        <v>#DIV/0!</v>
      </c>
      <c r="R117" s="97" t="e">
        <f>IF(ISBLANK(M117),0,Q117*ROUND(N117,2))</f>
        <v>#DIV/0!</v>
      </c>
      <c r="S117" s="26" t="e">
        <f>ROUND(P117,2)*Q117</f>
        <v>#DIV/0!</v>
      </c>
      <c r="T117" s="97" t="e">
        <f>Q117*dagenperjaar1</f>
        <v>#DIV/0!</v>
      </c>
      <c r="U117" s="27" t="e">
        <f>T117*ROUND(P117,2)</f>
        <v>#DIV/0!</v>
      </c>
    </row>
    <row r="118" spans="1:21" x14ac:dyDescent="0.2">
      <c r="A118" s="94" t="s">
        <v>243</v>
      </c>
      <c r="B118" s="95" t="s">
        <v>35</v>
      </c>
      <c r="C118" s="95" t="s">
        <v>401</v>
      </c>
      <c r="D118" s="95" t="s">
        <v>434</v>
      </c>
      <c r="E118" s="96" t="s">
        <v>289</v>
      </c>
      <c r="F118" s="95" t="s">
        <v>253</v>
      </c>
      <c r="G118" s="95" t="s">
        <v>192</v>
      </c>
      <c r="H118" s="95" t="s">
        <v>9</v>
      </c>
      <c r="I118" s="95" t="s">
        <v>190</v>
      </c>
      <c r="J118" s="96" t="s">
        <v>193</v>
      </c>
      <c r="K118" s="97">
        <v>7.26</v>
      </c>
      <c r="L118" s="97">
        <f>K118*VLOOKUP(H118,dagsoorttabel1,2,FALSE)</f>
        <v>7.26</v>
      </c>
      <c r="M118" s="98">
        <f>prodnorm12</f>
        <v>0</v>
      </c>
      <c r="N118" s="41">
        <f>dagwerk12</f>
        <v>0</v>
      </c>
      <c r="O118" s="95" t="s">
        <v>101</v>
      </c>
      <c r="P118" s="26">
        <f>uurtarief12</f>
        <v>0</v>
      </c>
      <c r="Q118" s="97" t="e">
        <f>IF(ISBLANK(M118),0,L118/ROUND(M118,4))</f>
        <v>#DIV/0!</v>
      </c>
      <c r="R118" s="97" t="e">
        <f>IF(ISBLANK(M118),0,Q118*ROUND(N118,2))</f>
        <v>#DIV/0!</v>
      </c>
      <c r="S118" s="26" t="e">
        <f>ROUND(P118,2)*Q118</f>
        <v>#DIV/0!</v>
      </c>
      <c r="T118" s="97" t="e">
        <f>Q118*dagenperjaar1</f>
        <v>#DIV/0!</v>
      </c>
      <c r="U118" s="27" t="e">
        <f>T118*ROUND(P118,2)</f>
        <v>#DIV/0!</v>
      </c>
    </row>
    <row r="119" spans="1:21" x14ac:dyDescent="0.2">
      <c r="A119" s="94" t="s">
        <v>243</v>
      </c>
      <c r="B119" s="95" t="s">
        <v>35</v>
      </c>
      <c r="C119" s="95" t="s">
        <v>401</v>
      </c>
      <c r="D119" s="95" t="s">
        <v>435</v>
      </c>
      <c r="E119" s="96" t="s">
        <v>289</v>
      </c>
      <c r="F119" s="95" t="s">
        <v>253</v>
      </c>
      <c r="G119" s="95" t="s">
        <v>192</v>
      </c>
      <c r="H119" s="95" t="s">
        <v>9</v>
      </c>
      <c r="I119" s="95" t="s">
        <v>190</v>
      </c>
      <c r="J119" s="96" t="s">
        <v>193</v>
      </c>
      <c r="K119" s="97">
        <v>31.32</v>
      </c>
      <c r="L119" s="97">
        <f>K119*VLOOKUP(H119,dagsoorttabel1,2,FALSE)</f>
        <v>31.32</v>
      </c>
      <c r="M119" s="98">
        <f>prodnorm12</f>
        <v>0</v>
      </c>
      <c r="N119" s="41">
        <f>dagwerk12</f>
        <v>0</v>
      </c>
      <c r="O119" s="95" t="s">
        <v>101</v>
      </c>
      <c r="P119" s="26">
        <f>uurtarief12</f>
        <v>0</v>
      </c>
      <c r="Q119" s="97" t="e">
        <f>IF(ISBLANK(M119),0,L119/ROUND(M119,4))</f>
        <v>#DIV/0!</v>
      </c>
      <c r="R119" s="97" t="e">
        <f>IF(ISBLANK(M119),0,Q119*ROUND(N119,2))</f>
        <v>#DIV/0!</v>
      </c>
      <c r="S119" s="26" t="e">
        <f>ROUND(P119,2)*Q119</f>
        <v>#DIV/0!</v>
      </c>
      <c r="T119" s="97" t="e">
        <f>Q119*dagenperjaar1</f>
        <v>#DIV/0!</v>
      </c>
      <c r="U119" s="27" t="e">
        <f>T119*ROUND(P119,2)</f>
        <v>#DIV/0!</v>
      </c>
    </row>
    <row r="120" spans="1:21" x14ac:dyDescent="0.2">
      <c r="A120" s="94" t="s">
        <v>243</v>
      </c>
      <c r="B120" s="95" t="s">
        <v>35</v>
      </c>
      <c r="C120" s="95" t="s">
        <v>401</v>
      </c>
      <c r="D120" s="95" t="s">
        <v>436</v>
      </c>
      <c r="E120" s="96" t="s">
        <v>289</v>
      </c>
      <c r="F120" s="95" t="s">
        <v>253</v>
      </c>
      <c r="G120" s="95" t="s">
        <v>192</v>
      </c>
      <c r="H120" s="95" t="s">
        <v>9</v>
      </c>
      <c r="I120" s="95" t="s">
        <v>190</v>
      </c>
      <c r="J120" s="96" t="s">
        <v>193</v>
      </c>
      <c r="K120" s="97">
        <v>7.26</v>
      </c>
      <c r="L120" s="97">
        <f>K120*VLOOKUP(H120,dagsoorttabel1,2,FALSE)</f>
        <v>7.26</v>
      </c>
      <c r="M120" s="98">
        <f>prodnorm12</f>
        <v>0</v>
      </c>
      <c r="N120" s="41">
        <f>dagwerk12</f>
        <v>0</v>
      </c>
      <c r="O120" s="95" t="s">
        <v>101</v>
      </c>
      <c r="P120" s="26">
        <f>uurtarief12</f>
        <v>0</v>
      </c>
      <c r="Q120" s="97" t="e">
        <f>IF(ISBLANK(M120),0,L120/ROUND(M120,4))</f>
        <v>#DIV/0!</v>
      </c>
      <c r="R120" s="97" t="e">
        <f>IF(ISBLANK(M120),0,Q120*ROUND(N120,2))</f>
        <v>#DIV/0!</v>
      </c>
      <c r="S120" s="26" t="e">
        <f>ROUND(P120,2)*Q120</f>
        <v>#DIV/0!</v>
      </c>
      <c r="T120" s="97" t="e">
        <f>Q120*dagenperjaar1</f>
        <v>#DIV/0!</v>
      </c>
      <c r="U120" s="27" t="e">
        <f>T120*ROUND(P120,2)</f>
        <v>#DIV/0!</v>
      </c>
    </row>
    <row r="121" spans="1:21" x14ac:dyDescent="0.2">
      <c r="A121" s="94" t="s">
        <v>243</v>
      </c>
      <c r="B121" s="95" t="s">
        <v>35</v>
      </c>
      <c r="C121" s="95" t="s">
        <v>401</v>
      </c>
      <c r="D121" s="95" t="s">
        <v>437</v>
      </c>
      <c r="E121" s="96" t="s">
        <v>289</v>
      </c>
      <c r="F121" s="95" t="s">
        <v>253</v>
      </c>
      <c r="G121" s="95" t="s">
        <v>192</v>
      </c>
      <c r="H121" s="95" t="s">
        <v>9</v>
      </c>
      <c r="I121" s="95" t="s">
        <v>190</v>
      </c>
      <c r="J121" s="96" t="s">
        <v>193</v>
      </c>
      <c r="K121" s="97">
        <v>31.32</v>
      </c>
      <c r="L121" s="97">
        <f>K121*VLOOKUP(H121,dagsoorttabel1,2,FALSE)</f>
        <v>31.32</v>
      </c>
      <c r="M121" s="98">
        <f>prodnorm12</f>
        <v>0</v>
      </c>
      <c r="N121" s="41">
        <f>dagwerk12</f>
        <v>0</v>
      </c>
      <c r="O121" s="95" t="s">
        <v>101</v>
      </c>
      <c r="P121" s="26">
        <f>uurtarief12</f>
        <v>0</v>
      </c>
      <c r="Q121" s="97" t="e">
        <f>IF(ISBLANK(M121),0,L121/ROUND(M121,4))</f>
        <v>#DIV/0!</v>
      </c>
      <c r="R121" s="97" t="e">
        <f>IF(ISBLANK(M121),0,Q121*ROUND(N121,2))</f>
        <v>#DIV/0!</v>
      </c>
      <c r="S121" s="26" t="e">
        <f>ROUND(P121,2)*Q121</f>
        <v>#DIV/0!</v>
      </c>
      <c r="T121" s="97" t="e">
        <f>Q121*dagenperjaar1</f>
        <v>#DIV/0!</v>
      </c>
      <c r="U121" s="27" t="e">
        <f>T121*ROUND(P121,2)</f>
        <v>#DIV/0!</v>
      </c>
    </row>
    <row r="122" spans="1:21" x14ac:dyDescent="0.2">
      <c r="A122" s="94" t="s">
        <v>243</v>
      </c>
      <c r="B122" s="95" t="s">
        <v>35</v>
      </c>
      <c r="C122" s="95" t="s">
        <v>401</v>
      </c>
      <c r="D122" s="95" t="s">
        <v>438</v>
      </c>
      <c r="E122" s="96" t="s">
        <v>289</v>
      </c>
      <c r="F122" s="95" t="s">
        <v>253</v>
      </c>
      <c r="G122" s="95" t="s">
        <v>192</v>
      </c>
      <c r="H122" s="95" t="s">
        <v>9</v>
      </c>
      <c r="I122" s="95" t="s">
        <v>190</v>
      </c>
      <c r="J122" s="96" t="s">
        <v>193</v>
      </c>
      <c r="K122" s="97">
        <v>7.26</v>
      </c>
      <c r="L122" s="97">
        <f>K122*VLOOKUP(H122,dagsoorttabel1,2,FALSE)</f>
        <v>7.26</v>
      </c>
      <c r="M122" s="98">
        <f>prodnorm12</f>
        <v>0</v>
      </c>
      <c r="N122" s="41">
        <f>dagwerk12</f>
        <v>0</v>
      </c>
      <c r="O122" s="95" t="s">
        <v>101</v>
      </c>
      <c r="P122" s="26">
        <f>uurtarief12</f>
        <v>0</v>
      </c>
      <c r="Q122" s="97" t="e">
        <f>IF(ISBLANK(M122),0,L122/ROUND(M122,4))</f>
        <v>#DIV/0!</v>
      </c>
      <c r="R122" s="97" t="e">
        <f>IF(ISBLANK(M122),0,Q122*ROUND(N122,2))</f>
        <v>#DIV/0!</v>
      </c>
      <c r="S122" s="26" t="e">
        <f>ROUND(P122,2)*Q122</f>
        <v>#DIV/0!</v>
      </c>
      <c r="T122" s="97" t="e">
        <f>Q122*dagenperjaar1</f>
        <v>#DIV/0!</v>
      </c>
      <c r="U122" s="27" t="e">
        <f>T122*ROUND(P122,2)</f>
        <v>#DIV/0!</v>
      </c>
    </row>
    <row r="123" spans="1:21" x14ac:dyDescent="0.2">
      <c r="A123" s="94" t="s">
        <v>243</v>
      </c>
      <c r="B123" s="95" t="s">
        <v>35</v>
      </c>
      <c r="C123" s="95" t="s">
        <v>401</v>
      </c>
      <c r="D123" s="95" t="s">
        <v>439</v>
      </c>
      <c r="E123" s="96" t="s">
        <v>289</v>
      </c>
      <c r="F123" s="95" t="s">
        <v>253</v>
      </c>
      <c r="G123" s="95" t="s">
        <v>192</v>
      </c>
      <c r="H123" s="95" t="s">
        <v>9</v>
      </c>
      <c r="I123" s="95" t="s">
        <v>190</v>
      </c>
      <c r="J123" s="96" t="s">
        <v>193</v>
      </c>
      <c r="K123" s="97">
        <v>30.24</v>
      </c>
      <c r="L123" s="97">
        <f>K123*VLOOKUP(H123,dagsoorttabel1,2,FALSE)</f>
        <v>30.24</v>
      </c>
      <c r="M123" s="98">
        <f>prodnorm12</f>
        <v>0</v>
      </c>
      <c r="N123" s="41">
        <f>dagwerk12</f>
        <v>0</v>
      </c>
      <c r="O123" s="95" t="s">
        <v>101</v>
      </c>
      <c r="P123" s="26">
        <f>uurtarief12</f>
        <v>0</v>
      </c>
      <c r="Q123" s="97" t="e">
        <f>IF(ISBLANK(M123),0,L123/ROUND(M123,4))</f>
        <v>#DIV/0!</v>
      </c>
      <c r="R123" s="97" t="e">
        <f>IF(ISBLANK(M123),0,Q123*ROUND(N123,2))</f>
        <v>#DIV/0!</v>
      </c>
      <c r="S123" s="26" t="e">
        <f>ROUND(P123,2)*Q123</f>
        <v>#DIV/0!</v>
      </c>
      <c r="T123" s="97" t="e">
        <f>Q123*dagenperjaar1</f>
        <v>#DIV/0!</v>
      </c>
      <c r="U123" s="27" t="e">
        <f>T123*ROUND(P123,2)</f>
        <v>#DIV/0!</v>
      </c>
    </row>
    <row r="124" spans="1:21" ht="25.5" x14ac:dyDescent="0.2">
      <c r="A124" s="94" t="s">
        <v>243</v>
      </c>
      <c r="B124" s="95" t="s">
        <v>35</v>
      </c>
      <c r="C124" s="95" t="s">
        <v>401</v>
      </c>
      <c r="D124" s="95" t="s">
        <v>440</v>
      </c>
      <c r="E124" s="96" t="s">
        <v>277</v>
      </c>
      <c r="F124" s="95" t="s">
        <v>258</v>
      </c>
      <c r="G124" s="95" t="s">
        <v>226</v>
      </c>
      <c r="H124" s="95" t="s">
        <v>9</v>
      </c>
      <c r="I124" s="95" t="s">
        <v>190</v>
      </c>
      <c r="J124" s="96" t="s">
        <v>227</v>
      </c>
      <c r="K124" s="97">
        <v>4.96</v>
      </c>
      <c r="L124" s="97">
        <f>K124*VLOOKUP(H124,dagsoorttabel1,2,FALSE)</f>
        <v>4.96</v>
      </c>
      <c r="M124" s="98">
        <f>prodnorm30</f>
        <v>0</v>
      </c>
      <c r="N124" s="41">
        <f>dagwerk30</f>
        <v>0</v>
      </c>
      <c r="O124" s="95" t="s">
        <v>101</v>
      </c>
      <c r="P124" s="26">
        <f>uurtarief30</f>
        <v>0</v>
      </c>
      <c r="Q124" s="97" t="e">
        <f>IF(ISBLANK(M124),0,L124/ROUND(M124,4))</f>
        <v>#DIV/0!</v>
      </c>
      <c r="R124" s="97" t="e">
        <f>IF(ISBLANK(M124),0,Q124*ROUND(N124,2))</f>
        <v>#DIV/0!</v>
      </c>
      <c r="S124" s="26" t="e">
        <f>ROUND(P124,2)*Q124</f>
        <v>#DIV/0!</v>
      </c>
      <c r="T124" s="97" t="e">
        <f>Q124*dagenperjaar1</f>
        <v>#DIV/0!</v>
      </c>
      <c r="U124" s="27" t="e">
        <f>T124*ROUND(P124,2)</f>
        <v>#DIV/0!</v>
      </c>
    </row>
    <row r="125" spans="1:21" x14ac:dyDescent="0.2">
      <c r="A125" s="94" t="s">
        <v>243</v>
      </c>
      <c r="B125" s="95" t="s">
        <v>35</v>
      </c>
      <c r="C125" s="95" t="s">
        <v>401</v>
      </c>
      <c r="D125" s="95" t="s">
        <v>441</v>
      </c>
      <c r="E125" s="96" t="s">
        <v>442</v>
      </c>
      <c r="F125" s="95" t="s">
        <v>280</v>
      </c>
      <c r="G125" s="95" t="s">
        <v>281</v>
      </c>
      <c r="H125" s="95"/>
      <c r="I125" s="95"/>
      <c r="J125" s="95"/>
      <c r="K125" s="97">
        <v>4.76</v>
      </c>
      <c r="L125" s="97"/>
      <c r="M125" s="98"/>
      <c r="N125" s="41"/>
      <c r="O125" s="95"/>
      <c r="P125" s="26"/>
      <c r="Q125" s="97"/>
      <c r="R125" s="97"/>
      <c r="S125" s="26"/>
      <c r="T125" s="99"/>
      <c r="U125" s="27"/>
    </row>
    <row r="126" spans="1:21" x14ac:dyDescent="0.2">
      <c r="A126" s="94" t="s">
        <v>243</v>
      </c>
      <c r="B126" s="95" t="s">
        <v>35</v>
      </c>
      <c r="C126" s="95" t="s">
        <v>401</v>
      </c>
      <c r="D126" s="95" t="s">
        <v>443</v>
      </c>
      <c r="E126" s="96" t="s">
        <v>306</v>
      </c>
      <c r="F126" s="95" t="s">
        <v>307</v>
      </c>
      <c r="G126" s="95" t="s">
        <v>214</v>
      </c>
      <c r="H126" s="95" t="s">
        <v>9</v>
      </c>
      <c r="I126" s="95" t="s">
        <v>190</v>
      </c>
      <c r="J126" s="96" t="s">
        <v>215</v>
      </c>
      <c r="K126" s="97">
        <v>4.2</v>
      </c>
      <c r="L126" s="97">
        <f>K126*VLOOKUP(H126,dagsoorttabel1,2,FALSE)</f>
        <v>4.2</v>
      </c>
      <c r="M126" s="98">
        <f>prodnorm24</f>
        <v>0</v>
      </c>
      <c r="N126" s="41">
        <f>dagwerk24</f>
        <v>0</v>
      </c>
      <c r="O126" s="95" t="s">
        <v>101</v>
      </c>
      <c r="P126" s="26">
        <f>uurtarief24</f>
        <v>0</v>
      </c>
      <c r="Q126" s="97" t="e">
        <f>IF(ISBLANK(M126),0,L126/ROUND(M126,4))</f>
        <v>#DIV/0!</v>
      </c>
      <c r="R126" s="97" t="e">
        <f>IF(ISBLANK(M126),0,Q126*ROUND(N126,2))</f>
        <v>#DIV/0!</v>
      </c>
      <c r="S126" s="26" t="e">
        <f>ROUND(P126,2)*Q126</f>
        <v>#DIV/0!</v>
      </c>
      <c r="T126" s="97" t="e">
        <f>Q126*dagenperjaar1</f>
        <v>#DIV/0!</v>
      </c>
      <c r="U126" s="27" t="e">
        <f>T126*ROUND(P126,2)</f>
        <v>#DIV/0!</v>
      </c>
    </row>
    <row r="127" spans="1:21" x14ac:dyDescent="0.2">
      <c r="A127" s="94" t="s">
        <v>243</v>
      </c>
      <c r="B127" s="95" t="s">
        <v>35</v>
      </c>
      <c r="C127" s="95" t="s">
        <v>401</v>
      </c>
      <c r="D127" s="95" t="s">
        <v>444</v>
      </c>
      <c r="E127" s="96" t="s">
        <v>306</v>
      </c>
      <c r="F127" s="95" t="s">
        <v>307</v>
      </c>
      <c r="G127" s="95" t="s">
        <v>214</v>
      </c>
      <c r="H127" s="95" t="s">
        <v>9</v>
      </c>
      <c r="I127" s="95" t="s">
        <v>190</v>
      </c>
      <c r="J127" s="96" t="s">
        <v>215</v>
      </c>
      <c r="K127" s="97">
        <v>1.26</v>
      </c>
      <c r="L127" s="97">
        <f>K127*VLOOKUP(H127,dagsoorttabel1,2,FALSE)</f>
        <v>1.26</v>
      </c>
      <c r="M127" s="98">
        <f>prodnorm24</f>
        <v>0</v>
      </c>
      <c r="N127" s="41">
        <f>dagwerk24</f>
        <v>0</v>
      </c>
      <c r="O127" s="95" t="s">
        <v>101</v>
      </c>
      <c r="P127" s="26">
        <f>uurtarief24</f>
        <v>0</v>
      </c>
      <c r="Q127" s="97" t="e">
        <f>IF(ISBLANK(M127),0,L127/ROUND(M127,4))</f>
        <v>#DIV/0!</v>
      </c>
      <c r="R127" s="97" t="e">
        <f>IF(ISBLANK(M127),0,Q127*ROUND(N127,2))</f>
        <v>#DIV/0!</v>
      </c>
      <c r="S127" s="26" t="e">
        <f>ROUND(P127,2)*Q127</f>
        <v>#DIV/0!</v>
      </c>
      <c r="T127" s="97" t="e">
        <f>Q127*dagenperjaar1</f>
        <v>#DIV/0!</v>
      </c>
      <c r="U127" s="27" t="e">
        <f>T127*ROUND(P127,2)</f>
        <v>#DIV/0!</v>
      </c>
    </row>
    <row r="128" spans="1:21" x14ac:dyDescent="0.2">
      <c r="A128" s="94" t="s">
        <v>243</v>
      </c>
      <c r="B128" s="95" t="s">
        <v>35</v>
      </c>
      <c r="C128" s="95" t="s">
        <v>401</v>
      </c>
      <c r="D128" s="95" t="s">
        <v>445</v>
      </c>
      <c r="E128" s="96" t="s">
        <v>306</v>
      </c>
      <c r="F128" s="95" t="s">
        <v>307</v>
      </c>
      <c r="G128" s="95" t="s">
        <v>214</v>
      </c>
      <c r="H128" s="95" t="s">
        <v>9</v>
      </c>
      <c r="I128" s="95" t="s">
        <v>190</v>
      </c>
      <c r="J128" s="96" t="s">
        <v>215</v>
      </c>
      <c r="K128" s="97">
        <v>1.26</v>
      </c>
      <c r="L128" s="97">
        <f>K128*VLOOKUP(H128,dagsoorttabel1,2,FALSE)</f>
        <v>1.26</v>
      </c>
      <c r="M128" s="98">
        <f>prodnorm24</f>
        <v>0</v>
      </c>
      <c r="N128" s="41">
        <f>dagwerk24</f>
        <v>0</v>
      </c>
      <c r="O128" s="95" t="s">
        <v>101</v>
      </c>
      <c r="P128" s="26">
        <f>uurtarief24</f>
        <v>0</v>
      </c>
      <c r="Q128" s="97" t="e">
        <f>IF(ISBLANK(M128),0,L128/ROUND(M128,4))</f>
        <v>#DIV/0!</v>
      </c>
      <c r="R128" s="97" t="e">
        <f>IF(ISBLANK(M128),0,Q128*ROUND(N128,2))</f>
        <v>#DIV/0!</v>
      </c>
      <c r="S128" s="26" t="e">
        <f>ROUND(P128,2)*Q128</f>
        <v>#DIV/0!</v>
      </c>
      <c r="T128" s="97" t="e">
        <f>Q128*dagenperjaar1</f>
        <v>#DIV/0!</v>
      </c>
      <c r="U128" s="27" t="e">
        <f>T128*ROUND(P128,2)</f>
        <v>#DIV/0!</v>
      </c>
    </row>
    <row r="129" spans="1:21" ht="25.5" x14ac:dyDescent="0.2">
      <c r="A129" s="94" t="s">
        <v>243</v>
      </c>
      <c r="B129" s="95" t="s">
        <v>35</v>
      </c>
      <c r="C129" s="95" t="s">
        <v>401</v>
      </c>
      <c r="D129" s="95" t="s">
        <v>446</v>
      </c>
      <c r="E129" s="96" t="s">
        <v>447</v>
      </c>
      <c r="F129" s="95" t="s">
        <v>258</v>
      </c>
      <c r="G129" s="95" t="s">
        <v>198</v>
      </c>
      <c r="H129" s="95" t="s">
        <v>9</v>
      </c>
      <c r="I129" s="95" t="s">
        <v>190</v>
      </c>
      <c r="J129" s="96" t="s">
        <v>199</v>
      </c>
      <c r="K129" s="97">
        <v>29.16</v>
      </c>
      <c r="L129" s="97">
        <f>K129*VLOOKUP(H129,dagsoorttabel1,2,FALSE)</f>
        <v>29.16</v>
      </c>
      <c r="M129" s="98">
        <f>prodnorm16</f>
        <v>0</v>
      </c>
      <c r="N129" s="41">
        <f>dagwerk16</f>
        <v>0</v>
      </c>
      <c r="O129" s="95" t="s">
        <v>101</v>
      </c>
      <c r="P129" s="26">
        <f>uurtarief16</f>
        <v>0</v>
      </c>
      <c r="Q129" s="97" t="e">
        <f>IF(ISBLANK(M129),0,L129/ROUND(M129,4))</f>
        <v>#DIV/0!</v>
      </c>
      <c r="R129" s="97" t="e">
        <f>IF(ISBLANK(M129),0,Q129*ROUND(N129,2))</f>
        <v>#DIV/0!</v>
      </c>
      <c r="S129" s="26" t="e">
        <f>ROUND(P129,2)*Q129</f>
        <v>#DIV/0!</v>
      </c>
      <c r="T129" s="97" t="e">
        <f>Q129*dagenperjaar1</f>
        <v>#DIV/0!</v>
      </c>
      <c r="U129" s="27" t="e">
        <f>T129*ROUND(P129,2)</f>
        <v>#DIV/0!</v>
      </c>
    </row>
    <row r="130" spans="1:21" x14ac:dyDescent="0.2">
      <c r="A130" s="94" t="s">
        <v>243</v>
      </c>
      <c r="B130" s="95" t="s">
        <v>35</v>
      </c>
      <c r="C130" s="95" t="s">
        <v>401</v>
      </c>
      <c r="D130" s="95" t="s">
        <v>448</v>
      </c>
      <c r="E130" s="96" t="s">
        <v>449</v>
      </c>
      <c r="F130" s="95" t="s">
        <v>258</v>
      </c>
      <c r="G130" s="95" t="s">
        <v>204</v>
      </c>
      <c r="H130" s="95" t="s">
        <v>9</v>
      </c>
      <c r="I130" s="95" t="s">
        <v>190</v>
      </c>
      <c r="J130" s="96" t="s">
        <v>205</v>
      </c>
      <c r="K130" s="97">
        <v>7.92</v>
      </c>
      <c r="L130" s="97">
        <f>K130*VLOOKUP(H130,dagsoorttabel1,2,FALSE)</f>
        <v>7.92</v>
      </c>
      <c r="M130" s="98">
        <f>prodnorm19</f>
        <v>0</v>
      </c>
      <c r="N130" s="41">
        <f>dagwerk19</f>
        <v>0</v>
      </c>
      <c r="O130" s="95" t="s">
        <v>101</v>
      </c>
      <c r="P130" s="26">
        <f>uurtarief19</f>
        <v>0</v>
      </c>
      <c r="Q130" s="97" t="e">
        <f>IF(ISBLANK(M130),0,L130/ROUND(M130,4))</f>
        <v>#DIV/0!</v>
      </c>
      <c r="R130" s="97" t="e">
        <f>IF(ISBLANK(M130),0,Q130*ROUND(N130,2))</f>
        <v>#DIV/0!</v>
      </c>
      <c r="S130" s="26" t="e">
        <f>ROUND(P130,2)*Q130</f>
        <v>#DIV/0!</v>
      </c>
      <c r="T130" s="97" t="e">
        <f>Q130*dagenperjaar1</f>
        <v>#DIV/0!</v>
      </c>
      <c r="U130" s="27" t="e">
        <f>T130*ROUND(P130,2)</f>
        <v>#DIV/0!</v>
      </c>
    </row>
    <row r="131" spans="1:21" x14ac:dyDescent="0.2">
      <c r="A131" s="94" t="s">
        <v>243</v>
      </c>
      <c r="B131" s="95" t="s">
        <v>35</v>
      </c>
      <c r="C131" s="95" t="s">
        <v>401</v>
      </c>
      <c r="D131" s="95" t="s">
        <v>450</v>
      </c>
      <c r="E131" s="96" t="s">
        <v>321</v>
      </c>
      <c r="F131" s="95" t="s">
        <v>280</v>
      </c>
      <c r="G131" s="95" t="s">
        <v>281</v>
      </c>
      <c r="H131" s="95"/>
      <c r="I131" s="95"/>
      <c r="J131" s="95"/>
      <c r="K131" s="97">
        <v>1.26</v>
      </c>
      <c r="L131" s="97"/>
      <c r="M131" s="98"/>
      <c r="N131" s="41"/>
      <c r="O131" s="95"/>
      <c r="P131" s="26"/>
      <c r="Q131" s="97"/>
      <c r="R131" s="97"/>
      <c r="S131" s="26"/>
      <c r="T131" s="99"/>
      <c r="U131" s="27"/>
    </row>
    <row r="132" spans="1:21" x14ac:dyDescent="0.2">
      <c r="A132" s="94" t="s">
        <v>243</v>
      </c>
      <c r="B132" s="95" t="s">
        <v>35</v>
      </c>
      <c r="C132" s="95" t="s">
        <v>401</v>
      </c>
      <c r="D132" s="95" t="s">
        <v>451</v>
      </c>
      <c r="E132" s="96" t="s">
        <v>272</v>
      </c>
      <c r="F132" s="95" t="s">
        <v>280</v>
      </c>
      <c r="G132" s="95" t="s">
        <v>216</v>
      </c>
      <c r="H132" s="95" t="s">
        <v>9</v>
      </c>
      <c r="I132" s="95" t="s">
        <v>190</v>
      </c>
      <c r="J132" s="96" t="s">
        <v>217</v>
      </c>
      <c r="K132" s="97">
        <v>1.26</v>
      </c>
      <c r="L132" s="97">
        <f>K132*VLOOKUP(H132,dagsoorttabel1,2,FALSE)</f>
        <v>1.26</v>
      </c>
      <c r="M132" s="98">
        <f>prodnorm25</f>
        <v>0</v>
      </c>
      <c r="N132" s="41">
        <f>dagwerk25</f>
        <v>0</v>
      </c>
      <c r="O132" s="95" t="s">
        <v>101</v>
      </c>
      <c r="P132" s="26">
        <f>uurtarief25</f>
        <v>0</v>
      </c>
      <c r="Q132" s="97" t="e">
        <f>IF(ISBLANK(M132),0,L132/ROUND(M132,4))</f>
        <v>#DIV/0!</v>
      </c>
      <c r="R132" s="97" t="e">
        <f>IF(ISBLANK(M132),0,Q132*ROUND(N132,2))</f>
        <v>#DIV/0!</v>
      </c>
      <c r="S132" s="26" t="e">
        <f>ROUND(P132,2)*Q132</f>
        <v>#DIV/0!</v>
      </c>
      <c r="T132" s="97" t="e">
        <f>Q132*dagenperjaar1</f>
        <v>#DIV/0!</v>
      </c>
      <c r="U132" s="27" t="e">
        <f>T132*ROUND(P132,2)</f>
        <v>#DIV/0!</v>
      </c>
    </row>
    <row r="133" spans="1:21" x14ac:dyDescent="0.2">
      <c r="A133" s="94" t="s">
        <v>243</v>
      </c>
      <c r="B133" s="95" t="s">
        <v>35</v>
      </c>
      <c r="C133" s="95" t="s">
        <v>401</v>
      </c>
      <c r="D133" s="95" t="s">
        <v>452</v>
      </c>
      <c r="E133" s="96" t="s">
        <v>289</v>
      </c>
      <c r="F133" s="95" t="s">
        <v>253</v>
      </c>
      <c r="G133" s="95" t="s">
        <v>192</v>
      </c>
      <c r="H133" s="95" t="s">
        <v>9</v>
      </c>
      <c r="I133" s="95" t="s">
        <v>190</v>
      </c>
      <c r="J133" s="96" t="s">
        <v>193</v>
      </c>
      <c r="K133" s="97">
        <v>30.24</v>
      </c>
      <c r="L133" s="97">
        <f>K133*VLOOKUP(H133,dagsoorttabel1,2,FALSE)</f>
        <v>30.24</v>
      </c>
      <c r="M133" s="98">
        <f>prodnorm12</f>
        <v>0</v>
      </c>
      <c r="N133" s="41">
        <f>dagwerk12</f>
        <v>0</v>
      </c>
      <c r="O133" s="95" t="s">
        <v>101</v>
      </c>
      <c r="P133" s="26">
        <f>uurtarief12</f>
        <v>0</v>
      </c>
      <c r="Q133" s="97" t="e">
        <f>IF(ISBLANK(M133),0,L133/ROUND(M133,4))</f>
        <v>#DIV/0!</v>
      </c>
      <c r="R133" s="97" t="e">
        <f>IF(ISBLANK(M133),0,Q133*ROUND(N133,2))</f>
        <v>#DIV/0!</v>
      </c>
      <c r="S133" s="26" t="e">
        <f>ROUND(P133,2)*Q133</f>
        <v>#DIV/0!</v>
      </c>
      <c r="T133" s="97" t="e">
        <f>Q133*dagenperjaar1</f>
        <v>#DIV/0!</v>
      </c>
      <c r="U133" s="27" t="e">
        <f>T133*ROUND(P133,2)</f>
        <v>#DIV/0!</v>
      </c>
    </row>
    <row r="134" spans="1:21" x14ac:dyDescent="0.2">
      <c r="A134" s="94" t="s">
        <v>243</v>
      </c>
      <c r="B134" s="95" t="s">
        <v>35</v>
      </c>
      <c r="C134" s="95" t="s">
        <v>401</v>
      </c>
      <c r="D134" s="95" t="s">
        <v>453</v>
      </c>
      <c r="E134" s="96" t="s">
        <v>289</v>
      </c>
      <c r="F134" s="95" t="s">
        <v>253</v>
      </c>
      <c r="G134" s="95" t="s">
        <v>192</v>
      </c>
      <c r="H134" s="95" t="s">
        <v>9</v>
      </c>
      <c r="I134" s="95" t="s">
        <v>190</v>
      </c>
      <c r="J134" s="96" t="s">
        <v>193</v>
      </c>
      <c r="K134" s="97">
        <v>7.26</v>
      </c>
      <c r="L134" s="97">
        <f>K134*VLOOKUP(H134,dagsoorttabel1,2,FALSE)</f>
        <v>7.26</v>
      </c>
      <c r="M134" s="98">
        <f>prodnorm12</f>
        <v>0</v>
      </c>
      <c r="N134" s="41">
        <f>dagwerk12</f>
        <v>0</v>
      </c>
      <c r="O134" s="95" t="s">
        <v>101</v>
      </c>
      <c r="P134" s="26">
        <f>uurtarief12</f>
        <v>0</v>
      </c>
      <c r="Q134" s="97" t="e">
        <f>IF(ISBLANK(M134),0,L134/ROUND(M134,4))</f>
        <v>#DIV/0!</v>
      </c>
      <c r="R134" s="97" t="e">
        <f>IF(ISBLANK(M134),0,Q134*ROUND(N134,2))</f>
        <v>#DIV/0!</v>
      </c>
      <c r="S134" s="26" t="e">
        <f>ROUND(P134,2)*Q134</f>
        <v>#DIV/0!</v>
      </c>
      <c r="T134" s="97" t="e">
        <f>Q134*dagenperjaar1</f>
        <v>#DIV/0!</v>
      </c>
      <c r="U134" s="27" t="e">
        <f>T134*ROUND(P134,2)</f>
        <v>#DIV/0!</v>
      </c>
    </row>
    <row r="135" spans="1:21" x14ac:dyDescent="0.2">
      <c r="A135" s="94" t="s">
        <v>243</v>
      </c>
      <c r="B135" s="95" t="s">
        <v>35</v>
      </c>
      <c r="C135" s="95" t="s">
        <v>401</v>
      </c>
      <c r="D135" s="95" t="s">
        <v>454</v>
      </c>
      <c r="E135" s="96" t="s">
        <v>289</v>
      </c>
      <c r="F135" s="95" t="s">
        <v>253</v>
      </c>
      <c r="G135" s="95" t="s">
        <v>192</v>
      </c>
      <c r="H135" s="95" t="s">
        <v>9</v>
      </c>
      <c r="I135" s="95" t="s">
        <v>190</v>
      </c>
      <c r="J135" s="96" t="s">
        <v>193</v>
      </c>
      <c r="K135" s="97">
        <v>31.32</v>
      </c>
      <c r="L135" s="97">
        <f>K135*VLOOKUP(H135,dagsoorttabel1,2,FALSE)</f>
        <v>31.32</v>
      </c>
      <c r="M135" s="98">
        <f>prodnorm12</f>
        <v>0</v>
      </c>
      <c r="N135" s="41">
        <f>dagwerk12</f>
        <v>0</v>
      </c>
      <c r="O135" s="95" t="s">
        <v>101</v>
      </c>
      <c r="P135" s="26">
        <f>uurtarief12</f>
        <v>0</v>
      </c>
      <c r="Q135" s="97" t="e">
        <f>IF(ISBLANK(M135),0,L135/ROUND(M135,4))</f>
        <v>#DIV/0!</v>
      </c>
      <c r="R135" s="97" t="e">
        <f>IF(ISBLANK(M135),0,Q135*ROUND(N135,2))</f>
        <v>#DIV/0!</v>
      </c>
      <c r="S135" s="26" t="e">
        <f>ROUND(P135,2)*Q135</f>
        <v>#DIV/0!</v>
      </c>
      <c r="T135" s="97" t="e">
        <f>Q135*dagenperjaar1</f>
        <v>#DIV/0!</v>
      </c>
      <c r="U135" s="27" t="e">
        <f>T135*ROUND(P135,2)</f>
        <v>#DIV/0!</v>
      </c>
    </row>
    <row r="136" spans="1:21" x14ac:dyDescent="0.2">
      <c r="A136" s="94" t="s">
        <v>243</v>
      </c>
      <c r="B136" s="95" t="s">
        <v>35</v>
      </c>
      <c r="C136" s="95" t="s">
        <v>401</v>
      </c>
      <c r="D136" s="95" t="s">
        <v>455</v>
      </c>
      <c r="E136" s="96" t="s">
        <v>289</v>
      </c>
      <c r="F136" s="95" t="s">
        <v>253</v>
      </c>
      <c r="G136" s="95" t="s">
        <v>192</v>
      </c>
      <c r="H136" s="95" t="s">
        <v>9</v>
      </c>
      <c r="I136" s="95" t="s">
        <v>190</v>
      </c>
      <c r="J136" s="96" t="s">
        <v>193</v>
      </c>
      <c r="K136" s="97">
        <v>7.26</v>
      </c>
      <c r="L136" s="97">
        <f>K136*VLOOKUP(H136,dagsoorttabel1,2,FALSE)</f>
        <v>7.26</v>
      </c>
      <c r="M136" s="98">
        <f>prodnorm12</f>
        <v>0</v>
      </c>
      <c r="N136" s="41">
        <f>dagwerk12</f>
        <v>0</v>
      </c>
      <c r="O136" s="95" t="s">
        <v>101</v>
      </c>
      <c r="P136" s="26">
        <f>uurtarief12</f>
        <v>0</v>
      </c>
      <c r="Q136" s="97" t="e">
        <f>IF(ISBLANK(M136),0,L136/ROUND(M136,4))</f>
        <v>#DIV/0!</v>
      </c>
      <c r="R136" s="97" t="e">
        <f>IF(ISBLANK(M136),0,Q136*ROUND(N136,2))</f>
        <v>#DIV/0!</v>
      </c>
      <c r="S136" s="26" t="e">
        <f>ROUND(P136,2)*Q136</f>
        <v>#DIV/0!</v>
      </c>
      <c r="T136" s="97" t="e">
        <f>Q136*dagenperjaar1</f>
        <v>#DIV/0!</v>
      </c>
      <c r="U136" s="27" t="e">
        <f>T136*ROUND(P136,2)</f>
        <v>#DIV/0!</v>
      </c>
    </row>
    <row r="137" spans="1:21" x14ac:dyDescent="0.2">
      <c r="A137" s="94" t="s">
        <v>243</v>
      </c>
      <c r="B137" s="95" t="s">
        <v>35</v>
      </c>
      <c r="C137" s="95" t="s">
        <v>401</v>
      </c>
      <c r="D137" s="95" t="s">
        <v>456</v>
      </c>
      <c r="E137" s="96" t="s">
        <v>289</v>
      </c>
      <c r="F137" s="95" t="s">
        <v>253</v>
      </c>
      <c r="G137" s="95" t="s">
        <v>192</v>
      </c>
      <c r="H137" s="95" t="s">
        <v>9</v>
      </c>
      <c r="I137" s="95" t="s">
        <v>190</v>
      </c>
      <c r="J137" s="96" t="s">
        <v>193</v>
      </c>
      <c r="K137" s="97">
        <v>30.24</v>
      </c>
      <c r="L137" s="97">
        <f>K137*VLOOKUP(H137,dagsoorttabel1,2,FALSE)</f>
        <v>30.24</v>
      </c>
      <c r="M137" s="98">
        <f>prodnorm12</f>
        <v>0</v>
      </c>
      <c r="N137" s="41">
        <f>dagwerk12</f>
        <v>0</v>
      </c>
      <c r="O137" s="95" t="s">
        <v>101</v>
      </c>
      <c r="P137" s="26">
        <f>uurtarief12</f>
        <v>0</v>
      </c>
      <c r="Q137" s="97" t="e">
        <f>IF(ISBLANK(M137),0,L137/ROUND(M137,4))</f>
        <v>#DIV/0!</v>
      </c>
      <c r="R137" s="97" t="e">
        <f>IF(ISBLANK(M137),0,Q137*ROUND(N137,2))</f>
        <v>#DIV/0!</v>
      </c>
      <c r="S137" s="26" t="e">
        <f>ROUND(P137,2)*Q137</f>
        <v>#DIV/0!</v>
      </c>
      <c r="T137" s="97" t="e">
        <f>Q137*dagenperjaar1</f>
        <v>#DIV/0!</v>
      </c>
      <c r="U137" s="27" t="e">
        <f>T137*ROUND(P137,2)</f>
        <v>#DIV/0!</v>
      </c>
    </row>
    <row r="138" spans="1:21" ht="25.5" x14ac:dyDescent="0.2">
      <c r="A138" s="94" t="s">
        <v>243</v>
      </c>
      <c r="B138" s="95" t="s">
        <v>35</v>
      </c>
      <c r="C138" s="95" t="s">
        <v>401</v>
      </c>
      <c r="D138" s="95" t="s">
        <v>457</v>
      </c>
      <c r="E138" s="96" t="s">
        <v>458</v>
      </c>
      <c r="F138" s="95" t="s">
        <v>253</v>
      </c>
      <c r="G138" s="95" t="s">
        <v>200</v>
      </c>
      <c r="H138" s="95" t="s">
        <v>9</v>
      </c>
      <c r="I138" s="95" t="s">
        <v>190</v>
      </c>
      <c r="J138" s="96" t="s">
        <v>201</v>
      </c>
      <c r="K138" s="97">
        <v>17.939999999999998</v>
      </c>
      <c r="L138" s="97">
        <f>K138*VLOOKUP(H138,dagsoorttabel1,2,FALSE)</f>
        <v>17.939999999999998</v>
      </c>
      <c r="M138" s="98">
        <f>prodnorm17</f>
        <v>0</v>
      </c>
      <c r="N138" s="41">
        <f>dagwerk17</f>
        <v>0</v>
      </c>
      <c r="O138" s="95" t="s">
        <v>101</v>
      </c>
      <c r="P138" s="26">
        <f>uurtarief17</f>
        <v>0</v>
      </c>
      <c r="Q138" s="97" t="e">
        <f>IF(ISBLANK(M138),0,L138/ROUND(M138,4))</f>
        <v>#DIV/0!</v>
      </c>
      <c r="R138" s="97" t="e">
        <f>IF(ISBLANK(M138),0,Q138*ROUND(N138,2))</f>
        <v>#DIV/0!</v>
      </c>
      <c r="S138" s="26" t="e">
        <f>ROUND(P138,2)*Q138</f>
        <v>#DIV/0!</v>
      </c>
      <c r="T138" s="97" t="e">
        <f>Q138*dagenperjaar1</f>
        <v>#DIV/0!</v>
      </c>
      <c r="U138" s="27" t="e">
        <f>T138*ROUND(P138,2)</f>
        <v>#DIV/0!</v>
      </c>
    </row>
    <row r="139" spans="1:21" x14ac:dyDescent="0.2">
      <c r="A139" s="94" t="s">
        <v>243</v>
      </c>
      <c r="B139" s="95" t="s">
        <v>35</v>
      </c>
      <c r="C139" s="95" t="s">
        <v>401</v>
      </c>
      <c r="D139" s="95" t="s">
        <v>459</v>
      </c>
      <c r="E139" s="96" t="s">
        <v>390</v>
      </c>
      <c r="F139" s="95" t="s">
        <v>307</v>
      </c>
      <c r="G139" s="95" t="s">
        <v>214</v>
      </c>
      <c r="H139" s="95" t="s">
        <v>9</v>
      </c>
      <c r="I139" s="95" t="s">
        <v>190</v>
      </c>
      <c r="J139" s="96" t="s">
        <v>215</v>
      </c>
      <c r="K139" s="97">
        <v>9.3000000000000007</v>
      </c>
      <c r="L139" s="97">
        <f>K139*VLOOKUP(H139,dagsoorttabel1,2,FALSE)</f>
        <v>9.3000000000000007</v>
      </c>
      <c r="M139" s="98">
        <f>prodnorm24</f>
        <v>0</v>
      </c>
      <c r="N139" s="41">
        <f>dagwerk24</f>
        <v>0</v>
      </c>
      <c r="O139" s="95" t="s">
        <v>101</v>
      </c>
      <c r="P139" s="26">
        <f>uurtarief24</f>
        <v>0</v>
      </c>
      <c r="Q139" s="97" t="e">
        <f>IF(ISBLANK(M139),0,L139/ROUND(M139,4))</f>
        <v>#DIV/0!</v>
      </c>
      <c r="R139" s="97" t="e">
        <f>IF(ISBLANK(M139),0,Q139*ROUND(N139,2))</f>
        <v>#DIV/0!</v>
      </c>
      <c r="S139" s="26" t="e">
        <f>ROUND(P139,2)*Q139</f>
        <v>#DIV/0!</v>
      </c>
      <c r="T139" s="97" t="e">
        <f>Q139*dagenperjaar1</f>
        <v>#DIV/0!</v>
      </c>
      <c r="U139" s="27" t="e">
        <f>T139*ROUND(P139,2)</f>
        <v>#DIV/0!</v>
      </c>
    </row>
    <row r="140" spans="1:21" x14ac:dyDescent="0.2">
      <c r="A140" s="94" t="s">
        <v>243</v>
      </c>
      <c r="B140" s="95" t="s">
        <v>35</v>
      </c>
      <c r="C140" s="95" t="s">
        <v>401</v>
      </c>
      <c r="D140" s="95" t="s">
        <v>460</v>
      </c>
      <c r="E140" s="96" t="s">
        <v>390</v>
      </c>
      <c r="F140" s="95" t="s">
        <v>307</v>
      </c>
      <c r="G140" s="95" t="s">
        <v>214</v>
      </c>
      <c r="H140" s="95" t="s">
        <v>9</v>
      </c>
      <c r="I140" s="95" t="s">
        <v>190</v>
      </c>
      <c r="J140" s="96" t="s">
        <v>215</v>
      </c>
      <c r="K140" s="97">
        <v>1.1700000000000002</v>
      </c>
      <c r="L140" s="97">
        <f>K140*VLOOKUP(H140,dagsoorttabel1,2,FALSE)</f>
        <v>1.1700000000000002</v>
      </c>
      <c r="M140" s="98">
        <f>prodnorm24</f>
        <v>0</v>
      </c>
      <c r="N140" s="41">
        <f>dagwerk24</f>
        <v>0</v>
      </c>
      <c r="O140" s="95" t="s">
        <v>101</v>
      </c>
      <c r="P140" s="26">
        <f>uurtarief24</f>
        <v>0</v>
      </c>
      <c r="Q140" s="97" t="e">
        <f>IF(ISBLANK(M140),0,L140/ROUND(M140,4))</f>
        <v>#DIV/0!</v>
      </c>
      <c r="R140" s="97" t="e">
        <f>IF(ISBLANK(M140),0,Q140*ROUND(N140,2))</f>
        <v>#DIV/0!</v>
      </c>
      <c r="S140" s="26" t="e">
        <f>ROUND(P140,2)*Q140</f>
        <v>#DIV/0!</v>
      </c>
      <c r="T140" s="97" t="e">
        <f>Q140*dagenperjaar1</f>
        <v>#DIV/0!</v>
      </c>
      <c r="U140" s="27" t="e">
        <f>T140*ROUND(P140,2)</f>
        <v>#DIV/0!</v>
      </c>
    </row>
    <row r="141" spans="1:21" x14ac:dyDescent="0.2">
      <c r="A141" s="94" t="s">
        <v>243</v>
      </c>
      <c r="B141" s="95" t="s">
        <v>35</v>
      </c>
      <c r="C141" s="95" t="s">
        <v>401</v>
      </c>
      <c r="D141" s="95" t="s">
        <v>461</v>
      </c>
      <c r="E141" s="96" t="s">
        <v>390</v>
      </c>
      <c r="F141" s="95" t="s">
        <v>307</v>
      </c>
      <c r="G141" s="95" t="s">
        <v>214</v>
      </c>
      <c r="H141" s="95" t="s">
        <v>9</v>
      </c>
      <c r="I141" s="95" t="s">
        <v>190</v>
      </c>
      <c r="J141" s="96" t="s">
        <v>215</v>
      </c>
      <c r="K141" s="97">
        <v>1.1700000000000002</v>
      </c>
      <c r="L141" s="97">
        <f>K141*VLOOKUP(H141,dagsoorttabel1,2,FALSE)</f>
        <v>1.1700000000000002</v>
      </c>
      <c r="M141" s="98">
        <f>prodnorm24</f>
        <v>0</v>
      </c>
      <c r="N141" s="41">
        <f>dagwerk24</f>
        <v>0</v>
      </c>
      <c r="O141" s="95" t="s">
        <v>101</v>
      </c>
      <c r="P141" s="26">
        <f>uurtarief24</f>
        <v>0</v>
      </c>
      <c r="Q141" s="97" t="e">
        <f>IF(ISBLANK(M141),0,L141/ROUND(M141,4))</f>
        <v>#DIV/0!</v>
      </c>
      <c r="R141" s="97" t="e">
        <f>IF(ISBLANK(M141),0,Q141*ROUND(N141,2))</f>
        <v>#DIV/0!</v>
      </c>
      <c r="S141" s="26" t="e">
        <f>ROUND(P141,2)*Q141</f>
        <v>#DIV/0!</v>
      </c>
      <c r="T141" s="97" t="e">
        <f>Q141*dagenperjaar1</f>
        <v>#DIV/0!</v>
      </c>
      <c r="U141" s="27" t="e">
        <f>T141*ROUND(P141,2)</f>
        <v>#DIV/0!</v>
      </c>
    </row>
    <row r="142" spans="1:21" x14ac:dyDescent="0.2">
      <c r="A142" s="94" t="s">
        <v>243</v>
      </c>
      <c r="B142" s="95" t="s">
        <v>35</v>
      </c>
      <c r="C142" s="95" t="s">
        <v>401</v>
      </c>
      <c r="D142" s="95" t="s">
        <v>462</v>
      </c>
      <c r="E142" s="96" t="s">
        <v>390</v>
      </c>
      <c r="F142" s="95" t="s">
        <v>307</v>
      </c>
      <c r="G142" s="95" t="s">
        <v>214</v>
      </c>
      <c r="H142" s="95" t="s">
        <v>9</v>
      </c>
      <c r="I142" s="95" t="s">
        <v>190</v>
      </c>
      <c r="J142" s="96" t="s">
        <v>215</v>
      </c>
      <c r="K142" s="97">
        <v>1.1700000000000002</v>
      </c>
      <c r="L142" s="97">
        <f>K142*VLOOKUP(H142,dagsoorttabel1,2,FALSE)</f>
        <v>1.1700000000000002</v>
      </c>
      <c r="M142" s="98">
        <f>prodnorm24</f>
        <v>0</v>
      </c>
      <c r="N142" s="41">
        <f>dagwerk24</f>
        <v>0</v>
      </c>
      <c r="O142" s="95" t="s">
        <v>101</v>
      </c>
      <c r="P142" s="26">
        <f>uurtarief24</f>
        <v>0</v>
      </c>
      <c r="Q142" s="97" t="e">
        <f>IF(ISBLANK(M142),0,L142/ROUND(M142,4))</f>
        <v>#DIV/0!</v>
      </c>
      <c r="R142" s="97" t="e">
        <f>IF(ISBLANK(M142),0,Q142*ROUND(N142,2))</f>
        <v>#DIV/0!</v>
      </c>
      <c r="S142" s="26" t="e">
        <f>ROUND(P142,2)*Q142</f>
        <v>#DIV/0!</v>
      </c>
      <c r="T142" s="97" t="e">
        <f>Q142*dagenperjaar1</f>
        <v>#DIV/0!</v>
      </c>
      <c r="U142" s="27" t="e">
        <f>T142*ROUND(P142,2)</f>
        <v>#DIV/0!</v>
      </c>
    </row>
    <row r="143" spans="1:21" x14ac:dyDescent="0.2">
      <c r="A143" s="94" t="s">
        <v>243</v>
      </c>
      <c r="B143" s="95" t="s">
        <v>35</v>
      </c>
      <c r="C143" s="95" t="s">
        <v>401</v>
      </c>
      <c r="D143" s="95" t="s">
        <v>463</v>
      </c>
      <c r="E143" s="96" t="s">
        <v>390</v>
      </c>
      <c r="F143" s="95" t="s">
        <v>307</v>
      </c>
      <c r="G143" s="95" t="s">
        <v>214</v>
      </c>
      <c r="H143" s="95" t="s">
        <v>9</v>
      </c>
      <c r="I143" s="95" t="s">
        <v>190</v>
      </c>
      <c r="J143" s="96" t="s">
        <v>215</v>
      </c>
      <c r="K143" s="97">
        <v>1.1700000000000002</v>
      </c>
      <c r="L143" s="97">
        <f>K143*VLOOKUP(H143,dagsoorttabel1,2,FALSE)</f>
        <v>1.1700000000000002</v>
      </c>
      <c r="M143" s="98">
        <f>prodnorm24</f>
        <v>0</v>
      </c>
      <c r="N143" s="41">
        <f>dagwerk24</f>
        <v>0</v>
      </c>
      <c r="O143" s="95" t="s">
        <v>101</v>
      </c>
      <c r="P143" s="26">
        <f>uurtarief24</f>
        <v>0</v>
      </c>
      <c r="Q143" s="97" t="e">
        <f>IF(ISBLANK(M143),0,L143/ROUND(M143,4))</f>
        <v>#DIV/0!</v>
      </c>
      <c r="R143" s="97" t="e">
        <f>IF(ISBLANK(M143),0,Q143*ROUND(N143,2))</f>
        <v>#DIV/0!</v>
      </c>
      <c r="S143" s="26" t="e">
        <f>ROUND(P143,2)*Q143</f>
        <v>#DIV/0!</v>
      </c>
      <c r="T143" s="97" t="e">
        <f>Q143*dagenperjaar1</f>
        <v>#DIV/0!</v>
      </c>
      <c r="U143" s="27" t="e">
        <f>T143*ROUND(P143,2)</f>
        <v>#DIV/0!</v>
      </c>
    </row>
    <row r="144" spans="1:21" x14ac:dyDescent="0.2">
      <c r="A144" s="94" t="s">
        <v>243</v>
      </c>
      <c r="B144" s="95" t="s">
        <v>35</v>
      </c>
      <c r="C144" s="95" t="s">
        <v>401</v>
      </c>
      <c r="D144" s="95" t="s">
        <v>464</v>
      </c>
      <c r="E144" s="96" t="s">
        <v>384</v>
      </c>
      <c r="F144" s="95" t="s">
        <v>258</v>
      </c>
      <c r="G144" s="95" t="s">
        <v>281</v>
      </c>
      <c r="H144" s="95"/>
      <c r="I144" s="95"/>
      <c r="J144" s="95"/>
      <c r="K144" s="97">
        <v>2.2999999999999998</v>
      </c>
      <c r="L144" s="97"/>
      <c r="M144" s="98"/>
      <c r="N144" s="41"/>
      <c r="O144" s="95"/>
      <c r="P144" s="26"/>
      <c r="Q144" s="97"/>
      <c r="R144" s="97"/>
      <c r="S144" s="26"/>
      <c r="T144" s="99"/>
      <c r="U144" s="27"/>
    </row>
    <row r="145" spans="1:21" x14ac:dyDescent="0.2">
      <c r="A145" s="94" t="s">
        <v>243</v>
      </c>
      <c r="B145" s="95" t="s">
        <v>35</v>
      </c>
      <c r="C145" s="95" t="s">
        <v>401</v>
      </c>
      <c r="D145" s="95" t="s">
        <v>465</v>
      </c>
      <c r="E145" s="96" t="s">
        <v>466</v>
      </c>
      <c r="F145" s="95" t="s">
        <v>280</v>
      </c>
      <c r="G145" s="95" t="s">
        <v>281</v>
      </c>
      <c r="H145" s="95"/>
      <c r="I145" s="95"/>
      <c r="J145" s="95"/>
      <c r="K145" s="97">
        <v>4.59</v>
      </c>
      <c r="L145" s="97"/>
      <c r="M145" s="98"/>
      <c r="N145" s="41"/>
      <c r="O145" s="95"/>
      <c r="P145" s="26"/>
      <c r="Q145" s="97"/>
      <c r="R145" s="97"/>
      <c r="S145" s="26"/>
      <c r="T145" s="99"/>
      <c r="U145" s="27"/>
    </row>
    <row r="146" spans="1:21" x14ac:dyDescent="0.2">
      <c r="A146" s="94" t="s">
        <v>243</v>
      </c>
      <c r="B146" s="95" t="s">
        <v>35</v>
      </c>
      <c r="C146" s="95" t="s">
        <v>401</v>
      </c>
      <c r="D146" s="95" t="s">
        <v>467</v>
      </c>
      <c r="E146" s="96" t="s">
        <v>306</v>
      </c>
      <c r="F146" s="95" t="s">
        <v>307</v>
      </c>
      <c r="G146" s="95" t="s">
        <v>214</v>
      </c>
      <c r="H146" s="95" t="s">
        <v>9</v>
      </c>
      <c r="I146" s="95" t="s">
        <v>190</v>
      </c>
      <c r="J146" s="96" t="s">
        <v>215</v>
      </c>
      <c r="K146" s="97">
        <v>4.2</v>
      </c>
      <c r="L146" s="97">
        <f>K146*VLOOKUP(H146,dagsoorttabel1,2,FALSE)</f>
        <v>4.2</v>
      </c>
      <c r="M146" s="98">
        <f>prodnorm24</f>
        <v>0</v>
      </c>
      <c r="N146" s="41">
        <f>dagwerk24</f>
        <v>0</v>
      </c>
      <c r="O146" s="95" t="s">
        <v>101</v>
      </c>
      <c r="P146" s="26">
        <f>uurtarief24</f>
        <v>0</v>
      </c>
      <c r="Q146" s="97" t="e">
        <f>IF(ISBLANK(M146),0,L146/ROUND(M146,4))</f>
        <v>#DIV/0!</v>
      </c>
      <c r="R146" s="97" t="e">
        <f>IF(ISBLANK(M146),0,Q146*ROUND(N146,2))</f>
        <v>#DIV/0!</v>
      </c>
      <c r="S146" s="26" t="e">
        <f>ROUND(P146,2)*Q146</f>
        <v>#DIV/0!</v>
      </c>
      <c r="T146" s="97" t="e">
        <f>Q146*dagenperjaar1</f>
        <v>#DIV/0!</v>
      </c>
      <c r="U146" s="27" t="e">
        <f>T146*ROUND(P146,2)</f>
        <v>#DIV/0!</v>
      </c>
    </row>
    <row r="147" spans="1:21" x14ac:dyDescent="0.2">
      <c r="A147" s="94" t="s">
        <v>243</v>
      </c>
      <c r="B147" s="95" t="s">
        <v>35</v>
      </c>
      <c r="C147" s="95" t="s">
        <v>401</v>
      </c>
      <c r="D147" s="95" t="s">
        <v>468</v>
      </c>
      <c r="E147" s="96" t="s">
        <v>306</v>
      </c>
      <c r="F147" s="95" t="s">
        <v>307</v>
      </c>
      <c r="G147" s="95" t="s">
        <v>214</v>
      </c>
      <c r="H147" s="95" t="s">
        <v>9</v>
      </c>
      <c r="I147" s="95" t="s">
        <v>190</v>
      </c>
      <c r="J147" s="96" t="s">
        <v>215</v>
      </c>
      <c r="K147" s="97">
        <v>1.26</v>
      </c>
      <c r="L147" s="97">
        <f>K147*VLOOKUP(H147,dagsoorttabel1,2,FALSE)</f>
        <v>1.26</v>
      </c>
      <c r="M147" s="98">
        <f>prodnorm24</f>
        <v>0</v>
      </c>
      <c r="N147" s="41">
        <f>dagwerk24</f>
        <v>0</v>
      </c>
      <c r="O147" s="95" t="s">
        <v>101</v>
      </c>
      <c r="P147" s="26">
        <f>uurtarief24</f>
        <v>0</v>
      </c>
      <c r="Q147" s="97" t="e">
        <f>IF(ISBLANK(M147),0,L147/ROUND(M147,4))</f>
        <v>#DIV/0!</v>
      </c>
      <c r="R147" s="97" t="e">
        <f>IF(ISBLANK(M147),0,Q147*ROUND(N147,2))</f>
        <v>#DIV/0!</v>
      </c>
      <c r="S147" s="26" t="e">
        <f>ROUND(P147,2)*Q147</f>
        <v>#DIV/0!</v>
      </c>
      <c r="T147" s="97" t="e">
        <f>Q147*dagenperjaar1</f>
        <v>#DIV/0!</v>
      </c>
      <c r="U147" s="27" t="e">
        <f>T147*ROUND(P147,2)</f>
        <v>#DIV/0!</v>
      </c>
    </row>
    <row r="148" spans="1:21" x14ac:dyDescent="0.2">
      <c r="A148" s="94" t="s">
        <v>243</v>
      </c>
      <c r="B148" s="95" t="s">
        <v>35</v>
      </c>
      <c r="C148" s="95" t="s">
        <v>401</v>
      </c>
      <c r="D148" s="95" t="s">
        <v>469</v>
      </c>
      <c r="E148" s="96" t="s">
        <v>306</v>
      </c>
      <c r="F148" s="95" t="s">
        <v>307</v>
      </c>
      <c r="G148" s="95" t="s">
        <v>214</v>
      </c>
      <c r="H148" s="95" t="s">
        <v>9</v>
      </c>
      <c r="I148" s="95" t="s">
        <v>190</v>
      </c>
      <c r="J148" s="96" t="s">
        <v>215</v>
      </c>
      <c r="K148" s="97">
        <v>1.26</v>
      </c>
      <c r="L148" s="97">
        <f>K148*VLOOKUP(H148,dagsoorttabel1,2,FALSE)</f>
        <v>1.26</v>
      </c>
      <c r="M148" s="98">
        <f>prodnorm24</f>
        <v>0</v>
      </c>
      <c r="N148" s="41">
        <f>dagwerk24</f>
        <v>0</v>
      </c>
      <c r="O148" s="95" t="s">
        <v>101</v>
      </c>
      <c r="P148" s="26">
        <f>uurtarief24</f>
        <v>0</v>
      </c>
      <c r="Q148" s="97" t="e">
        <f>IF(ISBLANK(M148),0,L148/ROUND(M148,4))</f>
        <v>#DIV/0!</v>
      </c>
      <c r="R148" s="97" t="e">
        <f>IF(ISBLANK(M148),0,Q148*ROUND(N148,2))</f>
        <v>#DIV/0!</v>
      </c>
      <c r="S148" s="26" t="e">
        <f>ROUND(P148,2)*Q148</f>
        <v>#DIV/0!</v>
      </c>
      <c r="T148" s="97" t="e">
        <f>Q148*dagenperjaar1</f>
        <v>#DIV/0!</v>
      </c>
      <c r="U148" s="27" t="e">
        <f>T148*ROUND(P148,2)</f>
        <v>#DIV/0!</v>
      </c>
    </row>
    <row r="149" spans="1:21" ht="25.5" x14ac:dyDescent="0.2">
      <c r="A149" s="94" t="s">
        <v>243</v>
      </c>
      <c r="B149" s="95" t="s">
        <v>35</v>
      </c>
      <c r="C149" s="95" t="s">
        <v>401</v>
      </c>
      <c r="D149" s="95" t="s">
        <v>470</v>
      </c>
      <c r="E149" s="96" t="s">
        <v>277</v>
      </c>
      <c r="F149" s="95" t="s">
        <v>258</v>
      </c>
      <c r="G149" s="95" t="s">
        <v>226</v>
      </c>
      <c r="H149" s="95" t="s">
        <v>9</v>
      </c>
      <c r="I149" s="95" t="s">
        <v>190</v>
      </c>
      <c r="J149" s="96" t="s">
        <v>227</v>
      </c>
      <c r="K149" s="97">
        <v>4.3199999999999994</v>
      </c>
      <c r="L149" s="97">
        <f>K149*VLOOKUP(H149,dagsoorttabel1,2,FALSE)</f>
        <v>4.3199999999999994</v>
      </c>
      <c r="M149" s="98">
        <f>prodnorm30</f>
        <v>0</v>
      </c>
      <c r="N149" s="41">
        <f>dagwerk30</f>
        <v>0</v>
      </c>
      <c r="O149" s="95" t="s">
        <v>101</v>
      </c>
      <c r="P149" s="26">
        <f>uurtarief30</f>
        <v>0</v>
      </c>
      <c r="Q149" s="97" t="e">
        <f>IF(ISBLANK(M149),0,L149/ROUND(M149,4))</f>
        <v>#DIV/0!</v>
      </c>
      <c r="R149" s="97" t="e">
        <f>IF(ISBLANK(M149),0,Q149*ROUND(N149,2))</f>
        <v>#DIV/0!</v>
      </c>
      <c r="S149" s="26" t="e">
        <f>ROUND(P149,2)*Q149</f>
        <v>#DIV/0!</v>
      </c>
      <c r="T149" s="97" t="e">
        <f>Q149*dagenperjaar1</f>
        <v>#DIV/0!</v>
      </c>
      <c r="U149" s="27" t="e">
        <f>T149*ROUND(P149,2)</f>
        <v>#DIV/0!</v>
      </c>
    </row>
    <row r="150" spans="1:21" x14ac:dyDescent="0.2">
      <c r="A150" s="94" t="s">
        <v>243</v>
      </c>
      <c r="B150" s="95" t="s">
        <v>35</v>
      </c>
      <c r="C150" s="95" t="s">
        <v>401</v>
      </c>
      <c r="D150" s="95" t="s">
        <v>471</v>
      </c>
      <c r="E150" s="96" t="s">
        <v>472</v>
      </c>
      <c r="F150" s="95" t="s">
        <v>253</v>
      </c>
      <c r="G150" s="95" t="s">
        <v>218</v>
      </c>
      <c r="H150" s="95" t="s">
        <v>9</v>
      </c>
      <c r="I150" s="95" t="s">
        <v>190</v>
      </c>
      <c r="J150" s="96" t="s">
        <v>219</v>
      </c>
      <c r="K150" s="97">
        <v>87.48</v>
      </c>
      <c r="L150" s="97">
        <f>K150*VLOOKUP(H150,dagsoorttabel1,2,FALSE)</f>
        <v>87.48</v>
      </c>
      <c r="M150" s="98">
        <f>prodnorm26</f>
        <v>0</v>
      </c>
      <c r="N150" s="41">
        <f>dagwerk26</f>
        <v>0</v>
      </c>
      <c r="O150" s="95" t="s">
        <v>101</v>
      </c>
      <c r="P150" s="26">
        <f>uurtarief26</f>
        <v>0</v>
      </c>
      <c r="Q150" s="97" t="e">
        <f>IF(ISBLANK(M150),0,L150/ROUND(M150,4))</f>
        <v>#DIV/0!</v>
      </c>
      <c r="R150" s="97" t="e">
        <f>IF(ISBLANK(M150),0,Q150*ROUND(N150,2))</f>
        <v>#DIV/0!</v>
      </c>
      <c r="S150" s="26" t="e">
        <f>ROUND(P150,2)*Q150</f>
        <v>#DIV/0!</v>
      </c>
      <c r="T150" s="97" t="e">
        <f>Q150*dagenperjaar1</f>
        <v>#DIV/0!</v>
      </c>
      <c r="U150" s="27" t="e">
        <f>T150*ROUND(P150,2)</f>
        <v>#DIV/0!</v>
      </c>
    </row>
    <row r="151" spans="1:21" ht="25.5" x14ac:dyDescent="0.2">
      <c r="A151" s="94" t="s">
        <v>243</v>
      </c>
      <c r="B151" s="95" t="s">
        <v>35</v>
      </c>
      <c r="C151" s="95" t="s">
        <v>401</v>
      </c>
      <c r="D151" s="95" t="s">
        <v>473</v>
      </c>
      <c r="E151" s="96" t="s">
        <v>474</v>
      </c>
      <c r="F151" s="95" t="s">
        <v>253</v>
      </c>
      <c r="G151" s="95" t="s">
        <v>200</v>
      </c>
      <c r="H151" s="95" t="s">
        <v>9</v>
      </c>
      <c r="I151" s="95" t="s">
        <v>190</v>
      </c>
      <c r="J151" s="96" t="s">
        <v>201</v>
      </c>
      <c r="K151" s="97">
        <v>38.879999999999995</v>
      </c>
      <c r="L151" s="97">
        <f>K151*VLOOKUP(H151,dagsoorttabel1,2,FALSE)</f>
        <v>38.879999999999995</v>
      </c>
      <c r="M151" s="98">
        <f>prodnorm17</f>
        <v>0</v>
      </c>
      <c r="N151" s="41">
        <f>dagwerk17</f>
        <v>0</v>
      </c>
      <c r="O151" s="95" t="s">
        <v>101</v>
      </c>
      <c r="P151" s="26">
        <f>uurtarief17</f>
        <v>0</v>
      </c>
      <c r="Q151" s="97" t="e">
        <f>IF(ISBLANK(M151),0,L151/ROUND(M151,4))</f>
        <v>#DIV/0!</v>
      </c>
      <c r="R151" s="97" t="e">
        <f>IF(ISBLANK(M151),0,Q151*ROUND(N151,2))</f>
        <v>#DIV/0!</v>
      </c>
      <c r="S151" s="26" t="e">
        <f>ROUND(P151,2)*Q151</f>
        <v>#DIV/0!</v>
      </c>
      <c r="T151" s="97" t="e">
        <f>Q151*dagenperjaar1</f>
        <v>#DIV/0!</v>
      </c>
      <c r="U151" s="27" t="e">
        <f>T151*ROUND(P151,2)</f>
        <v>#DIV/0!</v>
      </c>
    </row>
    <row r="152" spans="1:21" ht="25.5" x14ac:dyDescent="0.2">
      <c r="A152" s="94" t="s">
        <v>243</v>
      </c>
      <c r="B152" s="95" t="s">
        <v>35</v>
      </c>
      <c r="C152" s="95" t="s">
        <v>401</v>
      </c>
      <c r="D152" s="95" t="s">
        <v>475</v>
      </c>
      <c r="E152" s="96" t="s">
        <v>476</v>
      </c>
      <c r="F152" s="95" t="s">
        <v>253</v>
      </c>
      <c r="G152" s="95" t="s">
        <v>200</v>
      </c>
      <c r="H152" s="95" t="s">
        <v>9</v>
      </c>
      <c r="I152" s="95" t="s">
        <v>190</v>
      </c>
      <c r="J152" s="96" t="s">
        <v>201</v>
      </c>
      <c r="K152" s="97">
        <v>29.16</v>
      </c>
      <c r="L152" s="97">
        <f>K152*VLOOKUP(H152,dagsoorttabel1,2,FALSE)</f>
        <v>29.16</v>
      </c>
      <c r="M152" s="98">
        <f>prodnorm17</f>
        <v>0</v>
      </c>
      <c r="N152" s="41">
        <f>dagwerk17</f>
        <v>0</v>
      </c>
      <c r="O152" s="95" t="s">
        <v>101</v>
      </c>
      <c r="P152" s="26">
        <f>uurtarief17</f>
        <v>0</v>
      </c>
      <c r="Q152" s="97" t="e">
        <f>IF(ISBLANK(M152),0,L152/ROUND(M152,4))</f>
        <v>#DIV/0!</v>
      </c>
      <c r="R152" s="97" t="e">
        <f>IF(ISBLANK(M152),0,Q152*ROUND(N152,2))</f>
        <v>#DIV/0!</v>
      </c>
      <c r="S152" s="26" t="e">
        <f>ROUND(P152,2)*Q152</f>
        <v>#DIV/0!</v>
      </c>
      <c r="T152" s="97" t="e">
        <f>Q152*dagenperjaar1</f>
        <v>#DIV/0!</v>
      </c>
      <c r="U152" s="27" t="e">
        <f>T152*ROUND(P152,2)</f>
        <v>#DIV/0!</v>
      </c>
    </row>
    <row r="153" spans="1:21" ht="25.5" x14ac:dyDescent="0.2">
      <c r="A153" s="94" t="s">
        <v>243</v>
      </c>
      <c r="B153" s="95" t="s">
        <v>35</v>
      </c>
      <c r="C153" s="95" t="s">
        <v>401</v>
      </c>
      <c r="D153" s="95" t="s">
        <v>477</v>
      </c>
      <c r="E153" s="96" t="s">
        <v>478</v>
      </c>
      <c r="F153" s="95" t="s">
        <v>253</v>
      </c>
      <c r="G153" s="95" t="s">
        <v>200</v>
      </c>
      <c r="H153" s="95" t="s">
        <v>9</v>
      </c>
      <c r="I153" s="95" t="s">
        <v>190</v>
      </c>
      <c r="J153" s="96" t="s">
        <v>201</v>
      </c>
      <c r="K153" s="97">
        <v>53.46</v>
      </c>
      <c r="L153" s="97">
        <f>K153*VLOOKUP(H153,dagsoorttabel1,2,FALSE)</f>
        <v>53.46</v>
      </c>
      <c r="M153" s="98">
        <f>prodnorm17</f>
        <v>0</v>
      </c>
      <c r="N153" s="41">
        <f>dagwerk17</f>
        <v>0</v>
      </c>
      <c r="O153" s="95" t="s">
        <v>101</v>
      </c>
      <c r="P153" s="26">
        <f>uurtarief17</f>
        <v>0</v>
      </c>
      <c r="Q153" s="97" t="e">
        <f>IF(ISBLANK(M153),0,L153/ROUND(M153,4))</f>
        <v>#DIV/0!</v>
      </c>
      <c r="R153" s="97" t="e">
        <f>IF(ISBLANK(M153),0,Q153*ROUND(N153,2))</f>
        <v>#DIV/0!</v>
      </c>
      <c r="S153" s="26" t="e">
        <f>ROUND(P153,2)*Q153</f>
        <v>#DIV/0!</v>
      </c>
      <c r="T153" s="97" t="e">
        <f>Q153*dagenperjaar1</f>
        <v>#DIV/0!</v>
      </c>
      <c r="U153" s="27" t="e">
        <f>T153*ROUND(P153,2)</f>
        <v>#DIV/0!</v>
      </c>
    </row>
    <row r="154" spans="1:21" x14ac:dyDescent="0.2">
      <c r="A154" s="94" t="s">
        <v>243</v>
      </c>
      <c r="B154" s="95" t="s">
        <v>35</v>
      </c>
      <c r="C154" s="95" t="s">
        <v>401</v>
      </c>
      <c r="D154" s="95" t="s">
        <v>479</v>
      </c>
      <c r="E154" s="96" t="s">
        <v>315</v>
      </c>
      <c r="F154" s="95" t="s">
        <v>253</v>
      </c>
      <c r="G154" s="95" t="s">
        <v>228</v>
      </c>
      <c r="H154" s="95" t="s">
        <v>9</v>
      </c>
      <c r="I154" s="95" t="s">
        <v>190</v>
      </c>
      <c r="J154" s="96" t="s">
        <v>229</v>
      </c>
      <c r="K154" s="97">
        <v>11.25</v>
      </c>
      <c r="L154" s="97">
        <f>K154*VLOOKUP(H154,dagsoorttabel1,2,FALSE)</f>
        <v>11.25</v>
      </c>
      <c r="M154" s="98">
        <f>prodnorm31</f>
        <v>0</v>
      </c>
      <c r="N154" s="41">
        <f>dagwerk31</f>
        <v>0</v>
      </c>
      <c r="O154" s="95" t="s">
        <v>101</v>
      </c>
      <c r="P154" s="26">
        <f>uurtarief31</f>
        <v>0</v>
      </c>
      <c r="Q154" s="97" t="e">
        <f>IF(ISBLANK(M154),0,L154/ROUND(M154,4))</f>
        <v>#DIV/0!</v>
      </c>
      <c r="R154" s="97" t="e">
        <f>IF(ISBLANK(M154),0,Q154*ROUND(N154,2))</f>
        <v>#DIV/0!</v>
      </c>
      <c r="S154" s="26" t="e">
        <f>ROUND(P154,2)*Q154</f>
        <v>#DIV/0!</v>
      </c>
      <c r="T154" s="97" t="e">
        <f>Q154*dagenperjaar1</f>
        <v>#DIV/0!</v>
      </c>
      <c r="U154" s="27" t="e">
        <f>T154*ROUND(P154,2)</f>
        <v>#DIV/0!</v>
      </c>
    </row>
    <row r="155" spans="1:21" x14ac:dyDescent="0.2">
      <c r="A155" s="94" t="s">
        <v>243</v>
      </c>
      <c r="B155" s="95" t="s">
        <v>35</v>
      </c>
      <c r="C155" s="95" t="s">
        <v>401</v>
      </c>
      <c r="D155" s="95" t="s">
        <v>480</v>
      </c>
      <c r="E155" s="96" t="s">
        <v>287</v>
      </c>
      <c r="F155" s="95" t="s">
        <v>280</v>
      </c>
      <c r="G155" s="95" t="s">
        <v>281</v>
      </c>
      <c r="H155" s="95"/>
      <c r="I155" s="95"/>
      <c r="J155" s="95"/>
      <c r="K155" s="97">
        <v>1.75</v>
      </c>
      <c r="L155" s="97"/>
      <c r="M155" s="98"/>
      <c r="N155" s="41"/>
      <c r="O155" s="95"/>
      <c r="P155" s="26"/>
      <c r="Q155" s="97"/>
      <c r="R155" s="97"/>
      <c r="S155" s="26"/>
      <c r="T155" s="99"/>
      <c r="U155" s="27"/>
    </row>
    <row r="156" spans="1:21" x14ac:dyDescent="0.2">
      <c r="A156" s="94" t="s">
        <v>243</v>
      </c>
      <c r="B156" s="95" t="s">
        <v>35</v>
      </c>
      <c r="C156" s="95" t="s">
        <v>401</v>
      </c>
      <c r="D156" s="95" t="s">
        <v>481</v>
      </c>
      <c r="E156" s="96" t="s">
        <v>289</v>
      </c>
      <c r="F156" s="95" t="s">
        <v>253</v>
      </c>
      <c r="G156" s="95" t="s">
        <v>192</v>
      </c>
      <c r="H156" s="95" t="s">
        <v>9</v>
      </c>
      <c r="I156" s="95" t="s">
        <v>190</v>
      </c>
      <c r="J156" s="96" t="s">
        <v>193</v>
      </c>
      <c r="K156" s="97">
        <v>30.24</v>
      </c>
      <c r="L156" s="97">
        <f>K156*VLOOKUP(H156,dagsoorttabel1,2,FALSE)</f>
        <v>30.24</v>
      </c>
      <c r="M156" s="98">
        <f>prodnorm12</f>
        <v>0</v>
      </c>
      <c r="N156" s="41">
        <f>dagwerk12</f>
        <v>0</v>
      </c>
      <c r="O156" s="95" t="s">
        <v>101</v>
      </c>
      <c r="P156" s="26">
        <f>uurtarief12</f>
        <v>0</v>
      </c>
      <c r="Q156" s="97" t="e">
        <f>IF(ISBLANK(M156),0,L156/ROUND(M156,4))</f>
        <v>#DIV/0!</v>
      </c>
      <c r="R156" s="97" t="e">
        <f>IF(ISBLANK(M156),0,Q156*ROUND(N156,2))</f>
        <v>#DIV/0!</v>
      </c>
      <c r="S156" s="26" t="e">
        <f>ROUND(P156,2)*Q156</f>
        <v>#DIV/0!</v>
      </c>
      <c r="T156" s="97" t="e">
        <f>Q156*dagenperjaar1</f>
        <v>#DIV/0!</v>
      </c>
      <c r="U156" s="27" t="e">
        <f>T156*ROUND(P156,2)</f>
        <v>#DIV/0!</v>
      </c>
    </row>
    <row r="157" spans="1:21" x14ac:dyDescent="0.2">
      <c r="A157" s="94" t="s">
        <v>243</v>
      </c>
      <c r="B157" s="95" t="s">
        <v>35</v>
      </c>
      <c r="C157" s="95" t="s">
        <v>401</v>
      </c>
      <c r="D157" s="95" t="s">
        <v>482</v>
      </c>
      <c r="E157" s="96" t="s">
        <v>289</v>
      </c>
      <c r="F157" s="95" t="s">
        <v>253</v>
      </c>
      <c r="G157" s="95" t="s">
        <v>192</v>
      </c>
      <c r="H157" s="95" t="s">
        <v>9</v>
      </c>
      <c r="I157" s="95" t="s">
        <v>190</v>
      </c>
      <c r="J157" s="96" t="s">
        <v>193</v>
      </c>
      <c r="K157" s="97">
        <v>7.26</v>
      </c>
      <c r="L157" s="97">
        <f>K157*VLOOKUP(H157,dagsoorttabel1,2,FALSE)</f>
        <v>7.26</v>
      </c>
      <c r="M157" s="98">
        <f>prodnorm12</f>
        <v>0</v>
      </c>
      <c r="N157" s="41">
        <f>dagwerk12</f>
        <v>0</v>
      </c>
      <c r="O157" s="95" t="s">
        <v>101</v>
      </c>
      <c r="P157" s="26">
        <f>uurtarief12</f>
        <v>0</v>
      </c>
      <c r="Q157" s="97" t="e">
        <f>IF(ISBLANK(M157),0,L157/ROUND(M157,4))</f>
        <v>#DIV/0!</v>
      </c>
      <c r="R157" s="97" t="e">
        <f>IF(ISBLANK(M157),0,Q157*ROUND(N157,2))</f>
        <v>#DIV/0!</v>
      </c>
      <c r="S157" s="26" t="e">
        <f>ROUND(P157,2)*Q157</f>
        <v>#DIV/0!</v>
      </c>
      <c r="T157" s="97" t="e">
        <f>Q157*dagenperjaar1</f>
        <v>#DIV/0!</v>
      </c>
      <c r="U157" s="27" t="e">
        <f>T157*ROUND(P157,2)</f>
        <v>#DIV/0!</v>
      </c>
    </row>
    <row r="158" spans="1:21" x14ac:dyDescent="0.2">
      <c r="A158" s="94" t="s">
        <v>243</v>
      </c>
      <c r="B158" s="95" t="s">
        <v>35</v>
      </c>
      <c r="C158" s="95" t="s">
        <v>401</v>
      </c>
      <c r="D158" s="95" t="s">
        <v>483</v>
      </c>
      <c r="E158" s="96" t="s">
        <v>289</v>
      </c>
      <c r="F158" s="95" t="s">
        <v>253</v>
      </c>
      <c r="G158" s="95" t="s">
        <v>192</v>
      </c>
      <c r="H158" s="95" t="s">
        <v>9</v>
      </c>
      <c r="I158" s="95" t="s">
        <v>190</v>
      </c>
      <c r="J158" s="96" t="s">
        <v>193</v>
      </c>
      <c r="K158" s="97">
        <v>31.32</v>
      </c>
      <c r="L158" s="97">
        <f>K158*VLOOKUP(H158,dagsoorttabel1,2,FALSE)</f>
        <v>31.32</v>
      </c>
      <c r="M158" s="98">
        <f>prodnorm12</f>
        <v>0</v>
      </c>
      <c r="N158" s="41">
        <f>dagwerk12</f>
        <v>0</v>
      </c>
      <c r="O158" s="95" t="s">
        <v>101</v>
      </c>
      <c r="P158" s="26">
        <f>uurtarief12</f>
        <v>0</v>
      </c>
      <c r="Q158" s="97" t="e">
        <f>IF(ISBLANK(M158),0,L158/ROUND(M158,4))</f>
        <v>#DIV/0!</v>
      </c>
      <c r="R158" s="97" t="e">
        <f>IF(ISBLANK(M158),0,Q158*ROUND(N158,2))</f>
        <v>#DIV/0!</v>
      </c>
      <c r="S158" s="26" t="e">
        <f>ROUND(P158,2)*Q158</f>
        <v>#DIV/0!</v>
      </c>
      <c r="T158" s="97" t="e">
        <f>Q158*dagenperjaar1</f>
        <v>#DIV/0!</v>
      </c>
      <c r="U158" s="27" t="e">
        <f>T158*ROUND(P158,2)</f>
        <v>#DIV/0!</v>
      </c>
    </row>
    <row r="159" spans="1:21" x14ac:dyDescent="0.2">
      <c r="A159" s="94" t="s">
        <v>243</v>
      </c>
      <c r="B159" s="95" t="s">
        <v>35</v>
      </c>
      <c r="C159" s="95" t="s">
        <v>401</v>
      </c>
      <c r="D159" s="95" t="s">
        <v>484</v>
      </c>
      <c r="E159" s="96" t="s">
        <v>289</v>
      </c>
      <c r="F159" s="95" t="s">
        <v>253</v>
      </c>
      <c r="G159" s="95" t="s">
        <v>192</v>
      </c>
      <c r="H159" s="95" t="s">
        <v>9</v>
      </c>
      <c r="I159" s="95" t="s">
        <v>190</v>
      </c>
      <c r="J159" s="96" t="s">
        <v>193</v>
      </c>
      <c r="K159" s="97">
        <v>7.26</v>
      </c>
      <c r="L159" s="97">
        <f>K159*VLOOKUP(H159,dagsoorttabel1,2,FALSE)</f>
        <v>7.26</v>
      </c>
      <c r="M159" s="98">
        <f>prodnorm12</f>
        <v>0</v>
      </c>
      <c r="N159" s="41">
        <f>dagwerk12</f>
        <v>0</v>
      </c>
      <c r="O159" s="95" t="s">
        <v>101</v>
      </c>
      <c r="P159" s="26">
        <f>uurtarief12</f>
        <v>0</v>
      </c>
      <c r="Q159" s="97" t="e">
        <f>IF(ISBLANK(M159),0,L159/ROUND(M159,4))</f>
        <v>#DIV/0!</v>
      </c>
      <c r="R159" s="97" t="e">
        <f>IF(ISBLANK(M159),0,Q159*ROUND(N159,2))</f>
        <v>#DIV/0!</v>
      </c>
      <c r="S159" s="26" t="e">
        <f>ROUND(P159,2)*Q159</f>
        <v>#DIV/0!</v>
      </c>
      <c r="T159" s="97" t="e">
        <f>Q159*dagenperjaar1</f>
        <v>#DIV/0!</v>
      </c>
      <c r="U159" s="27" t="e">
        <f>T159*ROUND(P159,2)</f>
        <v>#DIV/0!</v>
      </c>
    </row>
    <row r="160" spans="1:21" x14ac:dyDescent="0.2">
      <c r="A160" s="94" t="s">
        <v>243</v>
      </c>
      <c r="B160" s="95" t="s">
        <v>35</v>
      </c>
      <c r="C160" s="95" t="s">
        <v>401</v>
      </c>
      <c r="D160" s="95" t="s">
        <v>485</v>
      </c>
      <c r="E160" s="96" t="s">
        <v>289</v>
      </c>
      <c r="F160" s="95" t="s">
        <v>253</v>
      </c>
      <c r="G160" s="95" t="s">
        <v>192</v>
      </c>
      <c r="H160" s="95" t="s">
        <v>9</v>
      </c>
      <c r="I160" s="95" t="s">
        <v>190</v>
      </c>
      <c r="J160" s="96" t="s">
        <v>193</v>
      </c>
      <c r="K160" s="97">
        <v>31.32</v>
      </c>
      <c r="L160" s="97">
        <f>K160*VLOOKUP(H160,dagsoorttabel1,2,FALSE)</f>
        <v>31.32</v>
      </c>
      <c r="M160" s="98">
        <f>prodnorm12</f>
        <v>0</v>
      </c>
      <c r="N160" s="41">
        <f>dagwerk12</f>
        <v>0</v>
      </c>
      <c r="O160" s="95" t="s">
        <v>101</v>
      </c>
      <c r="P160" s="26">
        <f>uurtarief12</f>
        <v>0</v>
      </c>
      <c r="Q160" s="97" t="e">
        <f>IF(ISBLANK(M160),0,L160/ROUND(M160,4))</f>
        <v>#DIV/0!</v>
      </c>
      <c r="R160" s="97" t="e">
        <f>IF(ISBLANK(M160),0,Q160*ROUND(N160,2))</f>
        <v>#DIV/0!</v>
      </c>
      <c r="S160" s="26" t="e">
        <f>ROUND(P160,2)*Q160</f>
        <v>#DIV/0!</v>
      </c>
      <c r="T160" s="97" t="e">
        <f>Q160*dagenperjaar1</f>
        <v>#DIV/0!</v>
      </c>
      <c r="U160" s="27" t="e">
        <f>T160*ROUND(P160,2)</f>
        <v>#DIV/0!</v>
      </c>
    </row>
    <row r="161" spans="1:21" x14ac:dyDescent="0.2">
      <c r="A161" s="94" t="s">
        <v>243</v>
      </c>
      <c r="B161" s="95" t="s">
        <v>35</v>
      </c>
      <c r="C161" s="95" t="s">
        <v>401</v>
      </c>
      <c r="D161" s="95" t="s">
        <v>486</v>
      </c>
      <c r="E161" s="96" t="s">
        <v>289</v>
      </c>
      <c r="F161" s="95" t="s">
        <v>253</v>
      </c>
      <c r="G161" s="95" t="s">
        <v>192</v>
      </c>
      <c r="H161" s="95" t="s">
        <v>9</v>
      </c>
      <c r="I161" s="95" t="s">
        <v>190</v>
      </c>
      <c r="J161" s="96" t="s">
        <v>193</v>
      </c>
      <c r="K161" s="97">
        <v>7.26</v>
      </c>
      <c r="L161" s="97">
        <f>K161*VLOOKUP(H161,dagsoorttabel1,2,FALSE)</f>
        <v>7.26</v>
      </c>
      <c r="M161" s="98">
        <f>prodnorm12</f>
        <v>0</v>
      </c>
      <c r="N161" s="41">
        <f>dagwerk12</f>
        <v>0</v>
      </c>
      <c r="O161" s="95" t="s">
        <v>101</v>
      </c>
      <c r="P161" s="26">
        <f>uurtarief12</f>
        <v>0</v>
      </c>
      <c r="Q161" s="97" t="e">
        <f>IF(ISBLANK(M161),0,L161/ROUND(M161,4))</f>
        <v>#DIV/0!</v>
      </c>
      <c r="R161" s="97" t="e">
        <f>IF(ISBLANK(M161),0,Q161*ROUND(N161,2))</f>
        <v>#DIV/0!</v>
      </c>
      <c r="S161" s="26" t="e">
        <f>ROUND(P161,2)*Q161</f>
        <v>#DIV/0!</v>
      </c>
      <c r="T161" s="97" t="e">
        <f>Q161*dagenperjaar1</f>
        <v>#DIV/0!</v>
      </c>
      <c r="U161" s="27" t="e">
        <f>T161*ROUND(P161,2)</f>
        <v>#DIV/0!</v>
      </c>
    </row>
    <row r="162" spans="1:21" x14ac:dyDescent="0.2">
      <c r="A162" s="94" t="s">
        <v>243</v>
      </c>
      <c r="B162" s="95" t="s">
        <v>35</v>
      </c>
      <c r="C162" s="95" t="s">
        <v>401</v>
      </c>
      <c r="D162" s="95" t="s">
        <v>487</v>
      </c>
      <c r="E162" s="96" t="s">
        <v>289</v>
      </c>
      <c r="F162" s="95" t="s">
        <v>253</v>
      </c>
      <c r="G162" s="95" t="s">
        <v>192</v>
      </c>
      <c r="H162" s="95" t="s">
        <v>9</v>
      </c>
      <c r="I162" s="95" t="s">
        <v>190</v>
      </c>
      <c r="J162" s="96" t="s">
        <v>193</v>
      </c>
      <c r="K162" s="97">
        <v>31.32</v>
      </c>
      <c r="L162" s="97">
        <f>K162*VLOOKUP(H162,dagsoorttabel1,2,FALSE)</f>
        <v>31.32</v>
      </c>
      <c r="M162" s="98">
        <f>prodnorm12</f>
        <v>0</v>
      </c>
      <c r="N162" s="41">
        <f>dagwerk12</f>
        <v>0</v>
      </c>
      <c r="O162" s="95" t="s">
        <v>101</v>
      </c>
      <c r="P162" s="26">
        <f>uurtarief12</f>
        <v>0</v>
      </c>
      <c r="Q162" s="97" t="e">
        <f>IF(ISBLANK(M162),0,L162/ROUND(M162,4))</f>
        <v>#DIV/0!</v>
      </c>
      <c r="R162" s="97" t="e">
        <f>IF(ISBLANK(M162),0,Q162*ROUND(N162,2))</f>
        <v>#DIV/0!</v>
      </c>
      <c r="S162" s="26" t="e">
        <f>ROUND(P162,2)*Q162</f>
        <v>#DIV/0!</v>
      </c>
      <c r="T162" s="97" t="e">
        <f>Q162*dagenperjaar1</f>
        <v>#DIV/0!</v>
      </c>
      <c r="U162" s="27" t="e">
        <f>T162*ROUND(P162,2)</f>
        <v>#DIV/0!</v>
      </c>
    </row>
    <row r="163" spans="1:21" x14ac:dyDescent="0.2">
      <c r="A163" s="94" t="s">
        <v>243</v>
      </c>
      <c r="B163" s="95" t="s">
        <v>35</v>
      </c>
      <c r="C163" s="95" t="s">
        <v>401</v>
      </c>
      <c r="D163" s="95" t="s">
        <v>488</v>
      </c>
      <c r="E163" s="96" t="s">
        <v>289</v>
      </c>
      <c r="F163" s="95" t="s">
        <v>253</v>
      </c>
      <c r="G163" s="95" t="s">
        <v>192</v>
      </c>
      <c r="H163" s="95" t="s">
        <v>9</v>
      </c>
      <c r="I163" s="95" t="s">
        <v>190</v>
      </c>
      <c r="J163" s="96" t="s">
        <v>193</v>
      </c>
      <c r="K163" s="97">
        <v>7.26</v>
      </c>
      <c r="L163" s="97">
        <f>K163*VLOOKUP(H163,dagsoorttabel1,2,FALSE)</f>
        <v>7.26</v>
      </c>
      <c r="M163" s="98">
        <f>prodnorm12</f>
        <v>0</v>
      </c>
      <c r="N163" s="41">
        <f>dagwerk12</f>
        <v>0</v>
      </c>
      <c r="O163" s="95" t="s">
        <v>101</v>
      </c>
      <c r="P163" s="26">
        <f>uurtarief12</f>
        <v>0</v>
      </c>
      <c r="Q163" s="97" t="e">
        <f>IF(ISBLANK(M163),0,L163/ROUND(M163,4))</f>
        <v>#DIV/0!</v>
      </c>
      <c r="R163" s="97" t="e">
        <f>IF(ISBLANK(M163),0,Q163*ROUND(N163,2))</f>
        <v>#DIV/0!</v>
      </c>
      <c r="S163" s="26" t="e">
        <f>ROUND(P163,2)*Q163</f>
        <v>#DIV/0!</v>
      </c>
      <c r="T163" s="97" t="e">
        <f>Q163*dagenperjaar1</f>
        <v>#DIV/0!</v>
      </c>
      <c r="U163" s="27" t="e">
        <f>T163*ROUND(P163,2)</f>
        <v>#DIV/0!</v>
      </c>
    </row>
    <row r="164" spans="1:21" x14ac:dyDescent="0.2">
      <c r="A164" s="94" t="s">
        <v>243</v>
      </c>
      <c r="B164" s="95" t="s">
        <v>35</v>
      </c>
      <c r="C164" s="95" t="s">
        <v>401</v>
      </c>
      <c r="D164" s="95" t="s">
        <v>489</v>
      </c>
      <c r="E164" s="96" t="s">
        <v>289</v>
      </c>
      <c r="F164" s="95" t="s">
        <v>253</v>
      </c>
      <c r="G164" s="95" t="s">
        <v>192</v>
      </c>
      <c r="H164" s="95" t="s">
        <v>9</v>
      </c>
      <c r="I164" s="95" t="s">
        <v>190</v>
      </c>
      <c r="J164" s="96" t="s">
        <v>193</v>
      </c>
      <c r="K164" s="97">
        <v>31.32</v>
      </c>
      <c r="L164" s="97">
        <f>K164*VLOOKUP(H164,dagsoorttabel1,2,FALSE)</f>
        <v>31.32</v>
      </c>
      <c r="M164" s="98">
        <f>prodnorm12</f>
        <v>0</v>
      </c>
      <c r="N164" s="41">
        <f>dagwerk12</f>
        <v>0</v>
      </c>
      <c r="O164" s="95" t="s">
        <v>101</v>
      </c>
      <c r="P164" s="26">
        <f>uurtarief12</f>
        <v>0</v>
      </c>
      <c r="Q164" s="97" t="e">
        <f>IF(ISBLANK(M164),0,L164/ROUND(M164,4))</f>
        <v>#DIV/0!</v>
      </c>
      <c r="R164" s="97" t="e">
        <f>IF(ISBLANK(M164),0,Q164*ROUND(N164,2))</f>
        <v>#DIV/0!</v>
      </c>
      <c r="S164" s="26" t="e">
        <f>ROUND(P164,2)*Q164</f>
        <v>#DIV/0!</v>
      </c>
      <c r="T164" s="97" t="e">
        <f>Q164*dagenperjaar1</f>
        <v>#DIV/0!</v>
      </c>
      <c r="U164" s="27" t="e">
        <f>T164*ROUND(P164,2)</f>
        <v>#DIV/0!</v>
      </c>
    </row>
    <row r="165" spans="1:21" x14ac:dyDescent="0.2">
      <c r="A165" s="94" t="s">
        <v>243</v>
      </c>
      <c r="B165" s="95" t="s">
        <v>35</v>
      </c>
      <c r="C165" s="95" t="s">
        <v>401</v>
      </c>
      <c r="D165" s="95" t="s">
        <v>490</v>
      </c>
      <c r="E165" s="96" t="s">
        <v>289</v>
      </c>
      <c r="F165" s="95" t="s">
        <v>253</v>
      </c>
      <c r="G165" s="95" t="s">
        <v>192</v>
      </c>
      <c r="H165" s="95" t="s">
        <v>9</v>
      </c>
      <c r="I165" s="95" t="s">
        <v>190</v>
      </c>
      <c r="J165" s="96" t="s">
        <v>193</v>
      </c>
      <c r="K165" s="97">
        <v>7.26</v>
      </c>
      <c r="L165" s="97">
        <f>K165*VLOOKUP(H165,dagsoorttabel1,2,FALSE)</f>
        <v>7.26</v>
      </c>
      <c r="M165" s="98">
        <f>prodnorm12</f>
        <v>0</v>
      </c>
      <c r="N165" s="41">
        <f>dagwerk12</f>
        <v>0</v>
      </c>
      <c r="O165" s="95" t="s">
        <v>101</v>
      </c>
      <c r="P165" s="26">
        <f>uurtarief12</f>
        <v>0</v>
      </c>
      <c r="Q165" s="97" t="e">
        <f>IF(ISBLANK(M165),0,L165/ROUND(M165,4))</f>
        <v>#DIV/0!</v>
      </c>
      <c r="R165" s="97" t="e">
        <f>IF(ISBLANK(M165),0,Q165*ROUND(N165,2))</f>
        <v>#DIV/0!</v>
      </c>
      <c r="S165" s="26" t="e">
        <f>ROUND(P165,2)*Q165</f>
        <v>#DIV/0!</v>
      </c>
      <c r="T165" s="97" t="e">
        <f>Q165*dagenperjaar1</f>
        <v>#DIV/0!</v>
      </c>
      <c r="U165" s="27" t="e">
        <f>T165*ROUND(P165,2)</f>
        <v>#DIV/0!</v>
      </c>
    </row>
    <row r="166" spans="1:21" x14ac:dyDescent="0.2">
      <c r="A166" s="94" t="s">
        <v>243</v>
      </c>
      <c r="B166" s="95" t="s">
        <v>35</v>
      </c>
      <c r="C166" s="95" t="s">
        <v>401</v>
      </c>
      <c r="D166" s="95" t="s">
        <v>491</v>
      </c>
      <c r="E166" s="96" t="s">
        <v>289</v>
      </c>
      <c r="F166" s="95" t="s">
        <v>253</v>
      </c>
      <c r="G166" s="95" t="s">
        <v>192</v>
      </c>
      <c r="H166" s="95" t="s">
        <v>9</v>
      </c>
      <c r="I166" s="95" t="s">
        <v>190</v>
      </c>
      <c r="J166" s="96" t="s">
        <v>193</v>
      </c>
      <c r="K166" s="97">
        <v>31.32</v>
      </c>
      <c r="L166" s="97">
        <f>K166*VLOOKUP(H166,dagsoorttabel1,2,FALSE)</f>
        <v>31.32</v>
      </c>
      <c r="M166" s="98">
        <f>prodnorm12</f>
        <v>0</v>
      </c>
      <c r="N166" s="41">
        <f>dagwerk12</f>
        <v>0</v>
      </c>
      <c r="O166" s="95" t="s">
        <v>101</v>
      </c>
      <c r="P166" s="26">
        <f>uurtarief12</f>
        <v>0</v>
      </c>
      <c r="Q166" s="97" t="e">
        <f>IF(ISBLANK(M166),0,L166/ROUND(M166,4))</f>
        <v>#DIV/0!</v>
      </c>
      <c r="R166" s="97" t="e">
        <f>IF(ISBLANK(M166),0,Q166*ROUND(N166,2))</f>
        <v>#DIV/0!</v>
      </c>
      <c r="S166" s="26" t="e">
        <f>ROUND(P166,2)*Q166</f>
        <v>#DIV/0!</v>
      </c>
      <c r="T166" s="97" t="e">
        <f>Q166*dagenperjaar1</f>
        <v>#DIV/0!</v>
      </c>
      <c r="U166" s="27" t="e">
        <f>T166*ROUND(P166,2)</f>
        <v>#DIV/0!</v>
      </c>
    </row>
    <row r="167" spans="1:21" x14ac:dyDescent="0.2">
      <c r="A167" s="94" t="s">
        <v>243</v>
      </c>
      <c r="B167" s="95" t="s">
        <v>35</v>
      </c>
      <c r="C167" s="95" t="s">
        <v>401</v>
      </c>
      <c r="D167" s="95" t="s">
        <v>492</v>
      </c>
      <c r="E167" s="96" t="s">
        <v>289</v>
      </c>
      <c r="F167" s="95" t="s">
        <v>253</v>
      </c>
      <c r="G167" s="95" t="s">
        <v>192</v>
      </c>
      <c r="H167" s="95" t="s">
        <v>9</v>
      </c>
      <c r="I167" s="95" t="s">
        <v>190</v>
      </c>
      <c r="J167" s="96" t="s">
        <v>193</v>
      </c>
      <c r="K167" s="97">
        <v>7.26</v>
      </c>
      <c r="L167" s="97">
        <f>K167*VLOOKUP(H167,dagsoorttabel1,2,FALSE)</f>
        <v>7.26</v>
      </c>
      <c r="M167" s="98">
        <f>prodnorm12</f>
        <v>0</v>
      </c>
      <c r="N167" s="41">
        <f>dagwerk12</f>
        <v>0</v>
      </c>
      <c r="O167" s="95" t="s">
        <v>101</v>
      </c>
      <c r="P167" s="26">
        <f>uurtarief12</f>
        <v>0</v>
      </c>
      <c r="Q167" s="97" t="e">
        <f>IF(ISBLANK(M167),0,L167/ROUND(M167,4))</f>
        <v>#DIV/0!</v>
      </c>
      <c r="R167" s="97" t="e">
        <f>IF(ISBLANK(M167),0,Q167*ROUND(N167,2))</f>
        <v>#DIV/0!</v>
      </c>
      <c r="S167" s="26" t="e">
        <f>ROUND(P167,2)*Q167</f>
        <v>#DIV/0!</v>
      </c>
      <c r="T167" s="97" t="e">
        <f>Q167*dagenperjaar1</f>
        <v>#DIV/0!</v>
      </c>
      <c r="U167" s="27" t="e">
        <f>T167*ROUND(P167,2)</f>
        <v>#DIV/0!</v>
      </c>
    </row>
    <row r="168" spans="1:21" x14ac:dyDescent="0.2">
      <c r="A168" s="94" t="s">
        <v>243</v>
      </c>
      <c r="B168" s="95" t="s">
        <v>35</v>
      </c>
      <c r="C168" s="95" t="s">
        <v>401</v>
      </c>
      <c r="D168" s="95" t="s">
        <v>493</v>
      </c>
      <c r="E168" s="96" t="s">
        <v>289</v>
      </c>
      <c r="F168" s="95" t="s">
        <v>253</v>
      </c>
      <c r="G168" s="95" t="s">
        <v>192</v>
      </c>
      <c r="H168" s="95" t="s">
        <v>9</v>
      </c>
      <c r="I168" s="95" t="s">
        <v>190</v>
      </c>
      <c r="J168" s="96" t="s">
        <v>193</v>
      </c>
      <c r="K168" s="97">
        <v>31.32</v>
      </c>
      <c r="L168" s="97">
        <f>K168*VLOOKUP(H168,dagsoorttabel1,2,FALSE)</f>
        <v>31.32</v>
      </c>
      <c r="M168" s="98">
        <f>prodnorm12</f>
        <v>0</v>
      </c>
      <c r="N168" s="41">
        <f>dagwerk12</f>
        <v>0</v>
      </c>
      <c r="O168" s="95" t="s">
        <v>101</v>
      </c>
      <c r="P168" s="26">
        <f>uurtarief12</f>
        <v>0</v>
      </c>
      <c r="Q168" s="97" t="e">
        <f>IF(ISBLANK(M168),0,L168/ROUND(M168,4))</f>
        <v>#DIV/0!</v>
      </c>
      <c r="R168" s="97" t="e">
        <f>IF(ISBLANK(M168),0,Q168*ROUND(N168,2))</f>
        <v>#DIV/0!</v>
      </c>
      <c r="S168" s="26" t="e">
        <f>ROUND(P168,2)*Q168</f>
        <v>#DIV/0!</v>
      </c>
      <c r="T168" s="97" t="e">
        <f>Q168*dagenperjaar1</f>
        <v>#DIV/0!</v>
      </c>
      <c r="U168" s="27" t="e">
        <f>T168*ROUND(P168,2)</f>
        <v>#DIV/0!</v>
      </c>
    </row>
    <row r="169" spans="1:21" x14ac:dyDescent="0.2">
      <c r="A169" s="94" t="s">
        <v>243</v>
      </c>
      <c r="B169" s="95" t="s">
        <v>35</v>
      </c>
      <c r="C169" s="95" t="s">
        <v>401</v>
      </c>
      <c r="D169" s="95" t="s">
        <v>494</v>
      </c>
      <c r="E169" s="96" t="s">
        <v>289</v>
      </c>
      <c r="F169" s="95" t="s">
        <v>253</v>
      </c>
      <c r="G169" s="95" t="s">
        <v>192</v>
      </c>
      <c r="H169" s="95" t="s">
        <v>9</v>
      </c>
      <c r="I169" s="95" t="s">
        <v>190</v>
      </c>
      <c r="J169" s="96" t="s">
        <v>193</v>
      </c>
      <c r="K169" s="97">
        <v>7.26</v>
      </c>
      <c r="L169" s="97">
        <f>K169*VLOOKUP(H169,dagsoorttabel1,2,FALSE)</f>
        <v>7.26</v>
      </c>
      <c r="M169" s="98">
        <f>prodnorm12</f>
        <v>0</v>
      </c>
      <c r="N169" s="41">
        <f>dagwerk12</f>
        <v>0</v>
      </c>
      <c r="O169" s="95" t="s">
        <v>101</v>
      </c>
      <c r="P169" s="26">
        <f>uurtarief12</f>
        <v>0</v>
      </c>
      <c r="Q169" s="97" t="e">
        <f>IF(ISBLANK(M169),0,L169/ROUND(M169,4))</f>
        <v>#DIV/0!</v>
      </c>
      <c r="R169" s="97" t="e">
        <f>IF(ISBLANK(M169),0,Q169*ROUND(N169,2))</f>
        <v>#DIV/0!</v>
      </c>
      <c r="S169" s="26" t="e">
        <f>ROUND(P169,2)*Q169</f>
        <v>#DIV/0!</v>
      </c>
      <c r="T169" s="97" t="e">
        <f>Q169*dagenperjaar1</f>
        <v>#DIV/0!</v>
      </c>
      <c r="U169" s="27" t="e">
        <f>T169*ROUND(P169,2)</f>
        <v>#DIV/0!</v>
      </c>
    </row>
    <row r="170" spans="1:21" x14ac:dyDescent="0.2">
      <c r="A170" s="94" t="s">
        <v>243</v>
      </c>
      <c r="B170" s="95" t="s">
        <v>35</v>
      </c>
      <c r="C170" s="95" t="s">
        <v>401</v>
      </c>
      <c r="D170" s="95" t="s">
        <v>495</v>
      </c>
      <c r="E170" s="96" t="s">
        <v>289</v>
      </c>
      <c r="F170" s="95" t="s">
        <v>253</v>
      </c>
      <c r="G170" s="95" t="s">
        <v>192</v>
      </c>
      <c r="H170" s="95" t="s">
        <v>9</v>
      </c>
      <c r="I170" s="95" t="s">
        <v>190</v>
      </c>
      <c r="J170" s="96" t="s">
        <v>193</v>
      </c>
      <c r="K170" s="97">
        <v>31.32</v>
      </c>
      <c r="L170" s="97">
        <f>K170*VLOOKUP(H170,dagsoorttabel1,2,FALSE)</f>
        <v>31.32</v>
      </c>
      <c r="M170" s="98">
        <f>prodnorm12</f>
        <v>0</v>
      </c>
      <c r="N170" s="41">
        <f>dagwerk12</f>
        <v>0</v>
      </c>
      <c r="O170" s="95" t="s">
        <v>101</v>
      </c>
      <c r="P170" s="26">
        <f>uurtarief12</f>
        <v>0</v>
      </c>
      <c r="Q170" s="97" t="e">
        <f>IF(ISBLANK(M170),0,L170/ROUND(M170,4))</f>
        <v>#DIV/0!</v>
      </c>
      <c r="R170" s="97" t="e">
        <f>IF(ISBLANK(M170),0,Q170*ROUND(N170,2))</f>
        <v>#DIV/0!</v>
      </c>
      <c r="S170" s="26" t="e">
        <f>ROUND(P170,2)*Q170</f>
        <v>#DIV/0!</v>
      </c>
      <c r="T170" s="97" t="e">
        <f>Q170*dagenperjaar1</f>
        <v>#DIV/0!</v>
      </c>
      <c r="U170" s="27" t="e">
        <f>T170*ROUND(P170,2)</f>
        <v>#DIV/0!</v>
      </c>
    </row>
    <row r="171" spans="1:21" x14ac:dyDescent="0.2">
      <c r="A171" s="94" t="s">
        <v>243</v>
      </c>
      <c r="B171" s="95" t="s">
        <v>35</v>
      </c>
      <c r="C171" s="95" t="s">
        <v>401</v>
      </c>
      <c r="D171" s="95" t="s">
        <v>496</v>
      </c>
      <c r="E171" s="96" t="s">
        <v>289</v>
      </c>
      <c r="F171" s="95" t="s">
        <v>253</v>
      </c>
      <c r="G171" s="95" t="s">
        <v>192</v>
      </c>
      <c r="H171" s="95" t="s">
        <v>9</v>
      </c>
      <c r="I171" s="95" t="s">
        <v>190</v>
      </c>
      <c r="J171" s="96" t="s">
        <v>193</v>
      </c>
      <c r="K171" s="97">
        <v>7.26</v>
      </c>
      <c r="L171" s="97">
        <f>K171*VLOOKUP(H171,dagsoorttabel1,2,FALSE)</f>
        <v>7.26</v>
      </c>
      <c r="M171" s="98">
        <f>prodnorm12</f>
        <v>0</v>
      </c>
      <c r="N171" s="41">
        <f>dagwerk12</f>
        <v>0</v>
      </c>
      <c r="O171" s="95" t="s">
        <v>101</v>
      </c>
      <c r="P171" s="26">
        <f>uurtarief12</f>
        <v>0</v>
      </c>
      <c r="Q171" s="97" t="e">
        <f>IF(ISBLANK(M171),0,L171/ROUND(M171,4))</f>
        <v>#DIV/0!</v>
      </c>
      <c r="R171" s="97" t="e">
        <f>IF(ISBLANK(M171),0,Q171*ROUND(N171,2))</f>
        <v>#DIV/0!</v>
      </c>
      <c r="S171" s="26" t="e">
        <f>ROUND(P171,2)*Q171</f>
        <v>#DIV/0!</v>
      </c>
      <c r="T171" s="97" t="e">
        <f>Q171*dagenperjaar1</f>
        <v>#DIV/0!</v>
      </c>
      <c r="U171" s="27" t="e">
        <f>T171*ROUND(P171,2)</f>
        <v>#DIV/0!</v>
      </c>
    </row>
    <row r="172" spans="1:21" x14ac:dyDescent="0.2">
      <c r="A172" s="94" t="s">
        <v>243</v>
      </c>
      <c r="B172" s="95" t="s">
        <v>35</v>
      </c>
      <c r="C172" s="95" t="s">
        <v>401</v>
      </c>
      <c r="D172" s="95" t="s">
        <v>497</v>
      </c>
      <c r="E172" s="96" t="s">
        <v>289</v>
      </c>
      <c r="F172" s="95" t="s">
        <v>253</v>
      </c>
      <c r="G172" s="95" t="s">
        <v>192</v>
      </c>
      <c r="H172" s="95" t="s">
        <v>9</v>
      </c>
      <c r="I172" s="95" t="s">
        <v>190</v>
      </c>
      <c r="J172" s="96" t="s">
        <v>193</v>
      </c>
      <c r="K172" s="97">
        <v>30.24</v>
      </c>
      <c r="L172" s="97">
        <f>K172*VLOOKUP(H172,dagsoorttabel1,2,FALSE)</f>
        <v>30.24</v>
      </c>
      <c r="M172" s="98">
        <f>prodnorm12</f>
        <v>0</v>
      </c>
      <c r="N172" s="41">
        <f>dagwerk12</f>
        <v>0</v>
      </c>
      <c r="O172" s="95" t="s">
        <v>101</v>
      </c>
      <c r="P172" s="26">
        <f>uurtarief12</f>
        <v>0</v>
      </c>
      <c r="Q172" s="97" t="e">
        <f>IF(ISBLANK(M172),0,L172/ROUND(M172,4))</f>
        <v>#DIV/0!</v>
      </c>
      <c r="R172" s="97" t="e">
        <f>IF(ISBLANK(M172),0,Q172*ROUND(N172,2))</f>
        <v>#DIV/0!</v>
      </c>
      <c r="S172" s="26" t="e">
        <f>ROUND(P172,2)*Q172</f>
        <v>#DIV/0!</v>
      </c>
      <c r="T172" s="97" t="e">
        <f>Q172*dagenperjaar1</f>
        <v>#DIV/0!</v>
      </c>
      <c r="U172" s="27" t="e">
        <f>T172*ROUND(P172,2)</f>
        <v>#DIV/0!</v>
      </c>
    </row>
    <row r="173" spans="1:21" x14ac:dyDescent="0.2">
      <c r="A173" s="94" t="s">
        <v>243</v>
      </c>
      <c r="B173" s="95" t="s">
        <v>35</v>
      </c>
      <c r="C173" s="95" t="s">
        <v>498</v>
      </c>
      <c r="D173" s="95" t="s">
        <v>499</v>
      </c>
      <c r="E173" s="96" t="s">
        <v>403</v>
      </c>
      <c r="F173" s="95" t="s">
        <v>280</v>
      </c>
      <c r="G173" s="95" t="s">
        <v>228</v>
      </c>
      <c r="H173" s="95" t="s">
        <v>9</v>
      </c>
      <c r="I173" s="95" t="s">
        <v>190</v>
      </c>
      <c r="J173" s="96" t="s">
        <v>229</v>
      </c>
      <c r="K173" s="97">
        <v>19.350000000000001</v>
      </c>
      <c r="L173" s="97">
        <f>K173*VLOOKUP(H173,dagsoorttabel1,2,FALSE)</f>
        <v>19.350000000000001</v>
      </c>
      <c r="M173" s="98">
        <f>prodnorm31</f>
        <v>0</v>
      </c>
      <c r="N173" s="41">
        <f>dagwerk31</f>
        <v>0</v>
      </c>
      <c r="O173" s="95" t="s">
        <v>101</v>
      </c>
      <c r="P173" s="26">
        <f>uurtarief31</f>
        <v>0</v>
      </c>
      <c r="Q173" s="97" t="e">
        <f>IF(ISBLANK(M173),0,L173/ROUND(M173,4))</f>
        <v>#DIV/0!</v>
      </c>
      <c r="R173" s="97" t="e">
        <f>IF(ISBLANK(M173),0,Q173*ROUND(N173,2))</f>
        <v>#DIV/0!</v>
      </c>
      <c r="S173" s="26" t="e">
        <f>ROUND(P173,2)*Q173</f>
        <v>#DIV/0!</v>
      </c>
      <c r="T173" s="97" t="e">
        <f>Q173*dagenperjaar1</f>
        <v>#DIV/0!</v>
      </c>
      <c r="U173" s="27" t="e">
        <f>T173*ROUND(P173,2)</f>
        <v>#DIV/0!</v>
      </c>
    </row>
    <row r="174" spans="1:21" x14ac:dyDescent="0.2">
      <c r="A174" s="94" t="s">
        <v>243</v>
      </c>
      <c r="B174" s="95" t="s">
        <v>35</v>
      </c>
      <c r="C174" s="95" t="s">
        <v>498</v>
      </c>
      <c r="D174" s="95" t="s">
        <v>500</v>
      </c>
      <c r="E174" s="96" t="s">
        <v>257</v>
      </c>
      <c r="F174" s="95" t="s">
        <v>258</v>
      </c>
      <c r="G174" s="95" t="s">
        <v>220</v>
      </c>
      <c r="H174" s="95" t="s">
        <v>9</v>
      </c>
      <c r="I174" s="95" t="s">
        <v>190</v>
      </c>
      <c r="J174" s="96" t="s">
        <v>221</v>
      </c>
      <c r="K174" s="97">
        <v>170.23999999999998</v>
      </c>
      <c r="L174" s="97">
        <f>K174*VLOOKUP(H174,dagsoorttabel1,2,FALSE)</f>
        <v>170.23999999999998</v>
      </c>
      <c r="M174" s="98">
        <f>prodnorm27</f>
        <v>0</v>
      </c>
      <c r="N174" s="41">
        <f>dagwerk27</f>
        <v>0</v>
      </c>
      <c r="O174" s="95" t="s">
        <v>101</v>
      </c>
      <c r="P174" s="26">
        <f>uurtarief27</f>
        <v>0</v>
      </c>
      <c r="Q174" s="97" t="e">
        <f>IF(ISBLANK(M174),0,L174/ROUND(M174,4))</f>
        <v>#DIV/0!</v>
      </c>
      <c r="R174" s="97" t="e">
        <f>IF(ISBLANK(M174),0,Q174*ROUND(N174,2))</f>
        <v>#DIV/0!</v>
      </c>
      <c r="S174" s="26" t="e">
        <f>ROUND(P174,2)*Q174</f>
        <v>#DIV/0!</v>
      </c>
      <c r="T174" s="97" t="e">
        <f>Q174*dagenperjaar1</f>
        <v>#DIV/0!</v>
      </c>
      <c r="U174" s="27" t="e">
        <f>T174*ROUND(P174,2)</f>
        <v>#DIV/0!</v>
      </c>
    </row>
    <row r="175" spans="1:21" x14ac:dyDescent="0.2">
      <c r="A175" s="94" t="s">
        <v>243</v>
      </c>
      <c r="B175" s="95" t="s">
        <v>35</v>
      </c>
      <c r="C175" s="95" t="s">
        <v>498</v>
      </c>
      <c r="D175" s="95" t="s">
        <v>501</v>
      </c>
      <c r="E175" s="96" t="s">
        <v>257</v>
      </c>
      <c r="F175" s="95" t="s">
        <v>258</v>
      </c>
      <c r="G175" s="95" t="s">
        <v>220</v>
      </c>
      <c r="H175" s="95" t="s">
        <v>9</v>
      </c>
      <c r="I175" s="95" t="s">
        <v>190</v>
      </c>
      <c r="J175" s="96" t="s">
        <v>221</v>
      </c>
      <c r="K175" s="97">
        <v>15.39</v>
      </c>
      <c r="L175" s="97">
        <f>K175*VLOOKUP(H175,dagsoorttabel1,2,FALSE)</f>
        <v>15.39</v>
      </c>
      <c r="M175" s="98">
        <f>prodnorm27</f>
        <v>0</v>
      </c>
      <c r="N175" s="41">
        <f>dagwerk27</f>
        <v>0</v>
      </c>
      <c r="O175" s="95" t="s">
        <v>101</v>
      </c>
      <c r="P175" s="26">
        <f>uurtarief27</f>
        <v>0</v>
      </c>
      <c r="Q175" s="97" t="e">
        <f>IF(ISBLANK(M175),0,L175/ROUND(M175,4))</f>
        <v>#DIV/0!</v>
      </c>
      <c r="R175" s="97" t="e">
        <f>IF(ISBLANK(M175),0,Q175*ROUND(N175,2))</f>
        <v>#DIV/0!</v>
      </c>
      <c r="S175" s="26" t="e">
        <f>ROUND(P175,2)*Q175</f>
        <v>#DIV/0!</v>
      </c>
      <c r="T175" s="97" t="e">
        <f>Q175*dagenperjaar1</f>
        <v>#DIV/0!</v>
      </c>
      <c r="U175" s="27" t="e">
        <f>T175*ROUND(P175,2)</f>
        <v>#DIV/0!</v>
      </c>
    </row>
    <row r="176" spans="1:21" x14ac:dyDescent="0.2">
      <c r="A176" s="94" t="s">
        <v>243</v>
      </c>
      <c r="B176" s="95" t="s">
        <v>35</v>
      </c>
      <c r="C176" s="95" t="s">
        <v>498</v>
      </c>
      <c r="D176" s="95" t="s">
        <v>502</v>
      </c>
      <c r="E176" s="96" t="s">
        <v>503</v>
      </c>
      <c r="F176" s="95" t="s">
        <v>258</v>
      </c>
      <c r="G176" s="95" t="s">
        <v>216</v>
      </c>
      <c r="H176" s="95" t="s">
        <v>9</v>
      </c>
      <c r="I176" s="95" t="s">
        <v>190</v>
      </c>
      <c r="J176" s="96" t="s">
        <v>217</v>
      </c>
      <c r="K176" s="97">
        <v>29.16</v>
      </c>
      <c r="L176" s="97">
        <f>K176*VLOOKUP(H176,dagsoorttabel1,2,FALSE)</f>
        <v>29.16</v>
      </c>
      <c r="M176" s="98">
        <f>prodnorm25</f>
        <v>0</v>
      </c>
      <c r="N176" s="41">
        <f>dagwerk25</f>
        <v>0</v>
      </c>
      <c r="O176" s="95" t="s">
        <v>101</v>
      </c>
      <c r="P176" s="26">
        <f>uurtarief25</f>
        <v>0</v>
      </c>
      <c r="Q176" s="97" t="e">
        <f>IF(ISBLANK(M176),0,L176/ROUND(M176,4))</f>
        <v>#DIV/0!</v>
      </c>
      <c r="R176" s="97" t="e">
        <f>IF(ISBLANK(M176),0,Q176*ROUND(N176,2))</f>
        <v>#DIV/0!</v>
      </c>
      <c r="S176" s="26" t="e">
        <f>ROUND(P176,2)*Q176</f>
        <v>#DIV/0!</v>
      </c>
      <c r="T176" s="97" t="e">
        <f>Q176*dagenperjaar1</f>
        <v>#DIV/0!</v>
      </c>
      <c r="U176" s="27" t="e">
        <f>T176*ROUND(P176,2)</f>
        <v>#DIV/0!</v>
      </c>
    </row>
    <row r="177" spans="1:21" x14ac:dyDescent="0.2">
      <c r="A177" s="94" t="s">
        <v>243</v>
      </c>
      <c r="B177" s="95" t="s">
        <v>35</v>
      </c>
      <c r="C177" s="95" t="s">
        <v>498</v>
      </c>
      <c r="D177" s="95" t="s">
        <v>504</v>
      </c>
      <c r="E177" s="96" t="s">
        <v>321</v>
      </c>
      <c r="F177" s="95" t="s">
        <v>280</v>
      </c>
      <c r="G177" s="95" t="s">
        <v>281</v>
      </c>
      <c r="H177" s="95"/>
      <c r="I177" s="95"/>
      <c r="J177" s="95"/>
      <c r="K177" s="97">
        <v>1.08</v>
      </c>
      <c r="L177" s="97"/>
      <c r="M177" s="98"/>
      <c r="N177" s="41"/>
      <c r="O177" s="95"/>
      <c r="P177" s="26"/>
      <c r="Q177" s="97"/>
      <c r="R177" s="97"/>
      <c r="S177" s="26"/>
      <c r="T177" s="99"/>
      <c r="U177" s="27"/>
    </row>
    <row r="178" spans="1:21" x14ac:dyDescent="0.2">
      <c r="A178" s="94" t="s">
        <v>243</v>
      </c>
      <c r="B178" s="95" t="s">
        <v>35</v>
      </c>
      <c r="C178" s="95" t="s">
        <v>498</v>
      </c>
      <c r="D178" s="95" t="s">
        <v>505</v>
      </c>
      <c r="E178" s="96" t="s">
        <v>506</v>
      </c>
      <c r="F178" s="95" t="s">
        <v>258</v>
      </c>
      <c r="G178" s="95" t="s">
        <v>206</v>
      </c>
      <c r="H178" s="95" t="s">
        <v>9</v>
      </c>
      <c r="I178" s="95" t="s">
        <v>190</v>
      </c>
      <c r="J178" s="96" t="s">
        <v>207</v>
      </c>
      <c r="K178" s="97">
        <v>7.2</v>
      </c>
      <c r="L178" s="97">
        <f>K178*VLOOKUP(H178,dagsoorttabel1,2,FALSE)</f>
        <v>7.2</v>
      </c>
      <c r="M178" s="98">
        <f>prodnorm20</f>
        <v>0</v>
      </c>
      <c r="N178" s="41">
        <f>dagwerk20</f>
        <v>0</v>
      </c>
      <c r="O178" s="95" t="s">
        <v>101</v>
      </c>
      <c r="P178" s="26">
        <f>uurtarief20</f>
        <v>0</v>
      </c>
      <c r="Q178" s="97" t="e">
        <f>IF(ISBLANK(M178),0,L178/ROUND(M178,4))</f>
        <v>#DIV/0!</v>
      </c>
      <c r="R178" s="97" t="e">
        <f>IF(ISBLANK(M178),0,Q178*ROUND(N178,2))</f>
        <v>#DIV/0!</v>
      </c>
      <c r="S178" s="26" t="e">
        <f>ROUND(P178,2)*Q178</f>
        <v>#DIV/0!</v>
      </c>
      <c r="T178" s="97" t="e">
        <f>Q178*dagenperjaar1</f>
        <v>#DIV/0!</v>
      </c>
      <c r="U178" s="27" t="e">
        <f>T178*ROUND(P178,2)</f>
        <v>#DIV/0!</v>
      </c>
    </row>
    <row r="179" spans="1:21" x14ac:dyDescent="0.2">
      <c r="A179" s="94" t="s">
        <v>243</v>
      </c>
      <c r="B179" s="95" t="s">
        <v>35</v>
      </c>
      <c r="C179" s="95" t="s">
        <v>498</v>
      </c>
      <c r="D179" s="95" t="s">
        <v>507</v>
      </c>
      <c r="E179" s="96" t="s">
        <v>508</v>
      </c>
      <c r="F179" s="95" t="s">
        <v>253</v>
      </c>
      <c r="G179" s="95" t="s">
        <v>192</v>
      </c>
      <c r="H179" s="95" t="s">
        <v>9</v>
      </c>
      <c r="I179" s="95" t="s">
        <v>190</v>
      </c>
      <c r="J179" s="96" t="s">
        <v>193</v>
      </c>
      <c r="K179" s="97">
        <v>29.16</v>
      </c>
      <c r="L179" s="97">
        <f>K179*VLOOKUP(H179,dagsoorttabel1,2,FALSE)</f>
        <v>29.16</v>
      </c>
      <c r="M179" s="98">
        <f>prodnorm12</f>
        <v>0</v>
      </c>
      <c r="N179" s="41">
        <f>dagwerk12</f>
        <v>0</v>
      </c>
      <c r="O179" s="95" t="s">
        <v>101</v>
      </c>
      <c r="P179" s="26">
        <f>uurtarief12</f>
        <v>0</v>
      </c>
      <c r="Q179" s="97" t="e">
        <f>IF(ISBLANK(M179),0,L179/ROUND(M179,4))</f>
        <v>#DIV/0!</v>
      </c>
      <c r="R179" s="97" t="e">
        <f>IF(ISBLANK(M179),0,Q179*ROUND(N179,2))</f>
        <v>#DIV/0!</v>
      </c>
      <c r="S179" s="26" t="e">
        <f>ROUND(P179,2)*Q179</f>
        <v>#DIV/0!</v>
      </c>
      <c r="T179" s="97" t="e">
        <f>Q179*dagenperjaar1</f>
        <v>#DIV/0!</v>
      </c>
      <c r="U179" s="27" t="e">
        <f>T179*ROUND(P179,2)</f>
        <v>#DIV/0!</v>
      </c>
    </row>
    <row r="180" spans="1:21" ht="25.5" x14ac:dyDescent="0.2">
      <c r="A180" s="94" t="s">
        <v>243</v>
      </c>
      <c r="B180" s="95" t="s">
        <v>35</v>
      </c>
      <c r="C180" s="95" t="s">
        <v>498</v>
      </c>
      <c r="D180" s="95" t="s">
        <v>509</v>
      </c>
      <c r="E180" s="96" t="s">
        <v>510</v>
      </c>
      <c r="F180" s="95" t="s">
        <v>253</v>
      </c>
      <c r="G180" s="95" t="s">
        <v>200</v>
      </c>
      <c r="H180" s="95" t="s">
        <v>9</v>
      </c>
      <c r="I180" s="95" t="s">
        <v>190</v>
      </c>
      <c r="J180" s="96" t="s">
        <v>201</v>
      </c>
      <c r="K180" s="97">
        <v>17.939999999999998</v>
      </c>
      <c r="L180" s="97">
        <f>K180*VLOOKUP(H180,dagsoorttabel1,2,FALSE)</f>
        <v>17.939999999999998</v>
      </c>
      <c r="M180" s="98">
        <f>prodnorm17</f>
        <v>0</v>
      </c>
      <c r="N180" s="41">
        <f>dagwerk17</f>
        <v>0</v>
      </c>
      <c r="O180" s="95" t="s">
        <v>101</v>
      </c>
      <c r="P180" s="26">
        <f>uurtarief17</f>
        <v>0</v>
      </c>
      <c r="Q180" s="97" t="e">
        <f>IF(ISBLANK(M180),0,L180/ROUND(M180,4))</f>
        <v>#DIV/0!</v>
      </c>
      <c r="R180" s="97" t="e">
        <f>IF(ISBLANK(M180),0,Q180*ROUND(N180,2))</f>
        <v>#DIV/0!</v>
      </c>
      <c r="S180" s="26" t="e">
        <f>ROUND(P180,2)*Q180</f>
        <v>#DIV/0!</v>
      </c>
      <c r="T180" s="97" t="e">
        <f>Q180*dagenperjaar1</f>
        <v>#DIV/0!</v>
      </c>
      <c r="U180" s="27" t="e">
        <f>T180*ROUND(P180,2)</f>
        <v>#DIV/0!</v>
      </c>
    </row>
    <row r="181" spans="1:21" x14ac:dyDescent="0.2">
      <c r="A181" s="94" t="s">
        <v>243</v>
      </c>
      <c r="B181" s="95" t="s">
        <v>35</v>
      </c>
      <c r="C181" s="95" t="s">
        <v>498</v>
      </c>
      <c r="D181" s="95" t="s">
        <v>511</v>
      </c>
      <c r="E181" s="96" t="s">
        <v>390</v>
      </c>
      <c r="F181" s="95" t="s">
        <v>307</v>
      </c>
      <c r="G181" s="95" t="s">
        <v>214</v>
      </c>
      <c r="H181" s="95" t="s">
        <v>9</v>
      </c>
      <c r="I181" s="95" t="s">
        <v>190</v>
      </c>
      <c r="J181" s="96" t="s">
        <v>215</v>
      </c>
      <c r="K181" s="97">
        <v>7.9</v>
      </c>
      <c r="L181" s="97">
        <f>K181*VLOOKUP(H181,dagsoorttabel1,2,FALSE)</f>
        <v>7.9</v>
      </c>
      <c r="M181" s="98">
        <f>prodnorm24</f>
        <v>0</v>
      </c>
      <c r="N181" s="41">
        <f>dagwerk24</f>
        <v>0</v>
      </c>
      <c r="O181" s="95" t="s">
        <v>101</v>
      </c>
      <c r="P181" s="26">
        <f>uurtarief24</f>
        <v>0</v>
      </c>
      <c r="Q181" s="97" t="e">
        <f>IF(ISBLANK(M181),0,L181/ROUND(M181,4))</f>
        <v>#DIV/0!</v>
      </c>
      <c r="R181" s="97" t="e">
        <f>IF(ISBLANK(M181),0,Q181*ROUND(N181,2))</f>
        <v>#DIV/0!</v>
      </c>
      <c r="S181" s="26" t="e">
        <f>ROUND(P181,2)*Q181</f>
        <v>#DIV/0!</v>
      </c>
      <c r="T181" s="97" t="e">
        <f>Q181*dagenperjaar1</f>
        <v>#DIV/0!</v>
      </c>
      <c r="U181" s="27" t="e">
        <f>T181*ROUND(P181,2)</f>
        <v>#DIV/0!</v>
      </c>
    </row>
    <row r="182" spans="1:21" x14ac:dyDescent="0.2">
      <c r="A182" s="94" t="s">
        <v>243</v>
      </c>
      <c r="B182" s="95" t="s">
        <v>35</v>
      </c>
      <c r="C182" s="95" t="s">
        <v>498</v>
      </c>
      <c r="D182" s="95" t="s">
        <v>512</v>
      </c>
      <c r="E182" s="96" t="s">
        <v>390</v>
      </c>
      <c r="F182" s="95" t="s">
        <v>307</v>
      </c>
      <c r="G182" s="95" t="s">
        <v>214</v>
      </c>
      <c r="H182" s="95" t="s">
        <v>9</v>
      </c>
      <c r="I182" s="95" t="s">
        <v>190</v>
      </c>
      <c r="J182" s="96" t="s">
        <v>215</v>
      </c>
      <c r="K182" s="97">
        <v>1.1700000000000002</v>
      </c>
      <c r="L182" s="97">
        <f>K182*VLOOKUP(H182,dagsoorttabel1,2,FALSE)</f>
        <v>1.1700000000000002</v>
      </c>
      <c r="M182" s="98">
        <f>prodnorm24</f>
        <v>0</v>
      </c>
      <c r="N182" s="41">
        <f>dagwerk24</f>
        <v>0</v>
      </c>
      <c r="O182" s="95" t="s">
        <v>101</v>
      </c>
      <c r="P182" s="26">
        <f>uurtarief24</f>
        <v>0</v>
      </c>
      <c r="Q182" s="97" t="e">
        <f>IF(ISBLANK(M182),0,L182/ROUND(M182,4))</f>
        <v>#DIV/0!</v>
      </c>
      <c r="R182" s="97" t="e">
        <f>IF(ISBLANK(M182),0,Q182*ROUND(N182,2))</f>
        <v>#DIV/0!</v>
      </c>
      <c r="S182" s="26" t="e">
        <f>ROUND(P182,2)*Q182</f>
        <v>#DIV/0!</v>
      </c>
      <c r="T182" s="97" t="e">
        <f>Q182*dagenperjaar1</f>
        <v>#DIV/0!</v>
      </c>
      <c r="U182" s="27" t="e">
        <f>T182*ROUND(P182,2)</f>
        <v>#DIV/0!</v>
      </c>
    </row>
    <row r="183" spans="1:21" x14ac:dyDescent="0.2">
      <c r="A183" s="94" t="s">
        <v>243</v>
      </c>
      <c r="B183" s="95" t="s">
        <v>35</v>
      </c>
      <c r="C183" s="95" t="s">
        <v>498</v>
      </c>
      <c r="D183" s="95" t="s">
        <v>513</v>
      </c>
      <c r="E183" s="96" t="s">
        <v>390</v>
      </c>
      <c r="F183" s="95" t="s">
        <v>307</v>
      </c>
      <c r="G183" s="95" t="s">
        <v>214</v>
      </c>
      <c r="H183" s="95" t="s">
        <v>9</v>
      </c>
      <c r="I183" s="95" t="s">
        <v>190</v>
      </c>
      <c r="J183" s="96" t="s">
        <v>215</v>
      </c>
      <c r="K183" s="97">
        <v>1.1700000000000002</v>
      </c>
      <c r="L183" s="97">
        <f>K183*VLOOKUP(H183,dagsoorttabel1,2,FALSE)</f>
        <v>1.1700000000000002</v>
      </c>
      <c r="M183" s="98">
        <f>prodnorm24</f>
        <v>0</v>
      </c>
      <c r="N183" s="41">
        <f>dagwerk24</f>
        <v>0</v>
      </c>
      <c r="O183" s="95" t="s">
        <v>101</v>
      </c>
      <c r="P183" s="26">
        <f>uurtarief24</f>
        <v>0</v>
      </c>
      <c r="Q183" s="97" t="e">
        <f>IF(ISBLANK(M183),0,L183/ROUND(M183,4))</f>
        <v>#DIV/0!</v>
      </c>
      <c r="R183" s="97" t="e">
        <f>IF(ISBLANK(M183),0,Q183*ROUND(N183,2))</f>
        <v>#DIV/0!</v>
      </c>
      <c r="S183" s="26" t="e">
        <f>ROUND(P183,2)*Q183</f>
        <v>#DIV/0!</v>
      </c>
      <c r="T183" s="97" t="e">
        <f>Q183*dagenperjaar1</f>
        <v>#DIV/0!</v>
      </c>
      <c r="U183" s="27" t="e">
        <f>T183*ROUND(P183,2)</f>
        <v>#DIV/0!</v>
      </c>
    </row>
    <row r="184" spans="1:21" x14ac:dyDescent="0.2">
      <c r="A184" s="94" t="s">
        <v>243</v>
      </c>
      <c r="B184" s="95" t="s">
        <v>35</v>
      </c>
      <c r="C184" s="95" t="s">
        <v>498</v>
      </c>
      <c r="D184" s="95" t="s">
        <v>514</v>
      </c>
      <c r="E184" s="96" t="s">
        <v>384</v>
      </c>
      <c r="F184" s="95" t="s">
        <v>258</v>
      </c>
      <c r="G184" s="95" t="s">
        <v>281</v>
      </c>
      <c r="H184" s="95"/>
      <c r="I184" s="95"/>
      <c r="J184" s="95"/>
      <c r="K184" s="97">
        <v>2.2999999999999998</v>
      </c>
      <c r="L184" s="97"/>
      <c r="M184" s="98"/>
      <c r="N184" s="41"/>
      <c r="O184" s="95"/>
      <c r="P184" s="26"/>
      <c r="Q184" s="97"/>
      <c r="R184" s="97"/>
      <c r="S184" s="26"/>
      <c r="T184" s="99"/>
      <c r="U184" s="27"/>
    </row>
    <row r="185" spans="1:21" x14ac:dyDescent="0.2">
      <c r="A185" s="94" t="s">
        <v>243</v>
      </c>
      <c r="B185" s="95" t="s">
        <v>35</v>
      </c>
      <c r="C185" s="95" t="s">
        <v>498</v>
      </c>
      <c r="D185" s="95" t="s">
        <v>515</v>
      </c>
      <c r="E185" s="96" t="s">
        <v>420</v>
      </c>
      <c r="F185" s="95" t="s">
        <v>253</v>
      </c>
      <c r="G185" s="95" t="s">
        <v>218</v>
      </c>
      <c r="H185" s="95" t="s">
        <v>9</v>
      </c>
      <c r="I185" s="95" t="s">
        <v>190</v>
      </c>
      <c r="J185" s="96" t="s">
        <v>219</v>
      </c>
      <c r="K185" s="97">
        <v>64.8</v>
      </c>
      <c r="L185" s="97">
        <f>K185*VLOOKUP(H185,dagsoorttabel1,2,FALSE)</f>
        <v>64.8</v>
      </c>
      <c r="M185" s="98">
        <f>prodnorm26</f>
        <v>0</v>
      </c>
      <c r="N185" s="41">
        <f>dagwerk26</f>
        <v>0</v>
      </c>
      <c r="O185" s="95" t="s">
        <v>101</v>
      </c>
      <c r="P185" s="26">
        <f>uurtarief26</f>
        <v>0</v>
      </c>
      <c r="Q185" s="97" t="e">
        <f>IF(ISBLANK(M185),0,L185/ROUND(M185,4))</f>
        <v>#DIV/0!</v>
      </c>
      <c r="R185" s="97" t="e">
        <f>IF(ISBLANK(M185),0,Q185*ROUND(N185,2))</f>
        <v>#DIV/0!</v>
      </c>
      <c r="S185" s="26" t="e">
        <f>ROUND(P185,2)*Q185</f>
        <v>#DIV/0!</v>
      </c>
      <c r="T185" s="97" t="e">
        <f>Q185*dagenperjaar1</f>
        <v>#DIV/0!</v>
      </c>
      <c r="U185" s="27" t="e">
        <f>T185*ROUND(P185,2)</f>
        <v>#DIV/0!</v>
      </c>
    </row>
    <row r="186" spans="1:21" ht="25.5" x14ac:dyDescent="0.2">
      <c r="A186" s="94" t="s">
        <v>243</v>
      </c>
      <c r="B186" s="95" t="s">
        <v>35</v>
      </c>
      <c r="C186" s="95" t="s">
        <v>498</v>
      </c>
      <c r="D186" s="95" t="s">
        <v>516</v>
      </c>
      <c r="E186" s="96" t="s">
        <v>406</v>
      </c>
      <c r="F186" s="95" t="s">
        <v>253</v>
      </c>
      <c r="G186" s="95" t="s">
        <v>200</v>
      </c>
      <c r="H186" s="95" t="s">
        <v>9</v>
      </c>
      <c r="I186" s="95" t="s">
        <v>190</v>
      </c>
      <c r="J186" s="96" t="s">
        <v>201</v>
      </c>
      <c r="K186" s="97">
        <v>53.46</v>
      </c>
      <c r="L186" s="97">
        <f>K186*VLOOKUP(H186,dagsoorttabel1,2,FALSE)</f>
        <v>53.46</v>
      </c>
      <c r="M186" s="98">
        <f>prodnorm17</f>
        <v>0</v>
      </c>
      <c r="N186" s="41">
        <f>dagwerk17</f>
        <v>0</v>
      </c>
      <c r="O186" s="95" t="s">
        <v>101</v>
      </c>
      <c r="P186" s="26">
        <f>uurtarief17</f>
        <v>0</v>
      </c>
      <c r="Q186" s="97" t="e">
        <f>IF(ISBLANK(M186),0,L186/ROUND(M186,4))</f>
        <v>#DIV/0!</v>
      </c>
      <c r="R186" s="97" t="e">
        <f>IF(ISBLANK(M186),0,Q186*ROUND(N186,2))</f>
        <v>#DIV/0!</v>
      </c>
      <c r="S186" s="26" t="e">
        <f>ROUND(P186,2)*Q186</f>
        <v>#DIV/0!</v>
      </c>
      <c r="T186" s="97" t="e">
        <f>Q186*dagenperjaar1</f>
        <v>#DIV/0!</v>
      </c>
      <c r="U186" s="27" t="e">
        <f>T186*ROUND(P186,2)</f>
        <v>#DIV/0!</v>
      </c>
    </row>
    <row r="187" spans="1:21" x14ac:dyDescent="0.2">
      <c r="A187" s="94" t="s">
        <v>243</v>
      </c>
      <c r="B187" s="95" t="s">
        <v>35</v>
      </c>
      <c r="C187" s="95" t="s">
        <v>498</v>
      </c>
      <c r="D187" s="95" t="s">
        <v>517</v>
      </c>
      <c r="E187" s="96" t="s">
        <v>315</v>
      </c>
      <c r="F187" s="95" t="s">
        <v>253</v>
      </c>
      <c r="G187" s="95" t="s">
        <v>228</v>
      </c>
      <c r="H187" s="95" t="s">
        <v>9</v>
      </c>
      <c r="I187" s="95" t="s">
        <v>190</v>
      </c>
      <c r="J187" s="96" t="s">
        <v>229</v>
      </c>
      <c r="K187" s="97">
        <v>11</v>
      </c>
      <c r="L187" s="97">
        <f>K187*VLOOKUP(H187,dagsoorttabel1,2,FALSE)</f>
        <v>11</v>
      </c>
      <c r="M187" s="98">
        <f>prodnorm31</f>
        <v>0</v>
      </c>
      <c r="N187" s="41">
        <f>dagwerk31</f>
        <v>0</v>
      </c>
      <c r="O187" s="95" t="s">
        <v>101</v>
      </c>
      <c r="P187" s="26">
        <f>uurtarief31</f>
        <v>0</v>
      </c>
      <c r="Q187" s="97" t="e">
        <f>IF(ISBLANK(M187),0,L187/ROUND(M187,4))</f>
        <v>#DIV/0!</v>
      </c>
      <c r="R187" s="97" t="e">
        <f>IF(ISBLANK(M187),0,Q187*ROUND(N187,2))</f>
        <v>#DIV/0!</v>
      </c>
      <c r="S187" s="26" t="e">
        <f>ROUND(P187,2)*Q187</f>
        <v>#DIV/0!</v>
      </c>
      <c r="T187" s="97" t="e">
        <f>Q187*dagenperjaar1</f>
        <v>#DIV/0!</v>
      </c>
      <c r="U187" s="27" t="e">
        <f>T187*ROUND(P187,2)</f>
        <v>#DIV/0!</v>
      </c>
    </row>
    <row r="188" spans="1:21" x14ac:dyDescent="0.2">
      <c r="A188" s="94" t="s">
        <v>243</v>
      </c>
      <c r="B188" s="95" t="s">
        <v>35</v>
      </c>
      <c r="C188" s="95" t="s">
        <v>498</v>
      </c>
      <c r="D188" s="95" t="s">
        <v>518</v>
      </c>
      <c r="E188" s="96" t="s">
        <v>287</v>
      </c>
      <c r="F188" s="95" t="s">
        <v>280</v>
      </c>
      <c r="G188" s="95" t="s">
        <v>281</v>
      </c>
      <c r="H188" s="95"/>
      <c r="I188" s="95"/>
      <c r="J188" s="95"/>
      <c r="K188" s="97">
        <v>1.75</v>
      </c>
      <c r="L188" s="97"/>
      <c r="M188" s="98"/>
      <c r="N188" s="41"/>
      <c r="O188" s="95"/>
      <c r="P188" s="26"/>
      <c r="Q188" s="97"/>
      <c r="R188" s="97"/>
      <c r="S188" s="26"/>
      <c r="T188" s="99"/>
      <c r="U188" s="27"/>
    </row>
    <row r="189" spans="1:21" x14ac:dyDescent="0.2">
      <c r="A189" s="94" t="s">
        <v>243</v>
      </c>
      <c r="B189" s="95" t="s">
        <v>35</v>
      </c>
      <c r="C189" s="95" t="s">
        <v>498</v>
      </c>
      <c r="D189" s="95" t="s">
        <v>519</v>
      </c>
      <c r="E189" s="96" t="s">
        <v>289</v>
      </c>
      <c r="F189" s="95" t="s">
        <v>253</v>
      </c>
      <c r="G189" s="95" t="s">
        <v>192</v>
      </c>
      <c r="H189" s="95" t="s">
        <v>9</v>
      </c>
      <c r="I189" s="95" t="s">
        <v>190</v>
      </c>
      <c r="J189" s="96" t="s">
        <v>193</v>
      </c>
      <c r="K189" s="97">
        <v>29.16</v>
      </c>
      <c r="L189" s="97">
        <f>K189*VLOOKUP(H189,dagsoorttabel1,2,FALSE)</f>
        <v>29.16</v>
      </c>
      <c r="M189" s="98">
        <f>prodnorm12</f>
        <v>0</v>
      </c>
      <c r="N189" s="41">
        <f>dagwerk12</f>
        <v>0</v>
      </c>
      <c r="O189" s="95" t="s">
        <v>101</v>
      </c>
      <c r="P189" s="26">
        <f>uurtarief12</f>
        <v>0</v>
      </c>
      <c r="Q189" s="97" t="e">
        <f>IF(ISBLANK(M189),0,L189/ROUND(M189,4))</f>
        <v>#DIV/0!</v>
      </c>
      <c r="R189" s="97" t="e">
        <f>IF(ISBLANK(M189),0,Q189*ROUND(N189,2))</f>
        <v>#DIV/0!</v>
      </c>
      <c r="S189" s="26" t="e">
        <f>ROUND(P189,2)*Q189</f>
        <v>#DIV/0!</v>
      </c>
      <c r="T189" s="97" t="e">
        <f>Q189*dagenperjaar1</f>
        <v>#DIV/0!</v>
      </c>
      <c r="U189" s="27" t="e">
        <f>T189*ROUND(P189,2)</f>
        <v>#DIV/0!</v>
      </c>
    </row>
    <row r="190" spans="1:21" x14ac:dyDescent="0.2">
      <c r="A190" s="94" t="s">
        <v>243</v>
      </c>
      <c r="B190" s="95" t="s">
        <v>35</v>
      </c>
      <c r="C190" s="95" t="s">
        <v>498</v>
      </c>
      <c r="D190" s="95" t="s">
        <v>520</v>
      </c>
      <c r="E190" s="96" t="s">
        <v>289</v>
      </c>
      <c r="F190" s="95" t="s">
        <v>253</v>
      </c>
      <c r="G190" s="95" t="s">
        <v>192</v>
      </c>
      <c r="H190" s="95" t="s">
        <v>9</v>
      </c>
      <c r="I190" s="95" t="s">
        <v>190</v>
      </c>
      <c r="J190" s="96" t="s">
        <v>193</v>
      </c>
      <c r="K190" s="97">
        <v>29.16</v>
      </c>
      <c r="L190" s="97">
        <f>K190*VLOOKUP(H190,dagsoorttabel1,2,FALSE)</f>
        <v>29.16</v>
      </c>
      <c r="M190" s="98">
        <f>prodnorm12</f>
        <v>0</v>
      </c>
      <c r="N190" s="41">
        <f>dagwerk12</f>
        <v>0</v>
      </c>
      <c r="O190" s="95" t="s">
        <v>101</v>
      </c>
      <c r="P190" s="26">
        <f>uurtarief12</f>
        <v>0</v>
      </c>
      <c r="Q190" s="97" t="e">
        <f>IF(ISBLANK(M190),0,L190/ROUND(M190,4))</f>
        <v>#DIV/0!</v>
      </c>
      <c r="R190" s="97" t="e">
        <f>IF(ISBLANK(M190),0,Q190*ROUND(N190,2))</f>
        <v>#DIV/0!</v>
      </c>
      <c r="S190" s="26" t="e">
        <f>ROUND(P190,2)*Q190</f>
        <v>#DIV/0!</v>
      </c>
      <c r="T190" s="97" t="e">
        <f>Q190*dagenperjaar1</f>
        <v>#DIV/0!</v>
      </c>
      <c r="U190" s="27" t="e">
        <f>T190*ROUND(P190,2)</f>
        <v>#DIV/0!</v>
      </c>
    </row>
    <row r="191" spans="1:21" x14ac:dyDescent="0.2">
      <c r="A191" s="94" t="s">
        <v>243</v>
      </c>
      <c r="B191" s="95" t="s">
        <v>35</v>
      </c>
      <c r="C191" s="95" t="s">
        <v>498</v>
      </c>
      <c r="D191" s="95" t="s">
        <v>521</v>
      </c>
      <c r="E191" s="96" t="s">
        <v>289</v>
      </c>
      <c r="F191" s="95" t="s">
        <v>253</v>
      </c>
      <c r="G191" s="95" t="s">
        <v>192</v>
      </c>
      <c r="H191" s="95" t="s">
        <v>9</v>
      </c>
      <c r="I191" s="95" t="s">
        <v>190</v>
      </c>
      <c r="J191" s="96" t="s">
        <v>193</v>
      </c>
      <c r="K191" s="97">
        <v>8.2799999999999994</v>
      </c>
      <c r="L191" s="97">
        <f>K191*VLOOKUP(H191,dagsoorttabel1,2,FALSE)</f>
        <v>8.2799999999999994</v>
      </c>
      <c r="M191" s="98">
        <f>prodnorm12</f>
        <v>0</v>
      </c>
      <c r="N191" s="41">
        <f>dagwerk12</f>
        <v>0</v>
      </c>
      <c r="O191" s="95" t="s">
        <v>101</v>
      </c>
      <c r="P191" s="26">
        <f>uurtarief12</f>
        <v>0</v>
      </c>
      <c r="Q191" s="97" t="e">
        <f>IF(ISBLANK(M191),0,L191/ROUND(M191,4))</f>
        <v>#DIV/0!</v>
      </c>
      <c r="R191" s="97" t="e">
        <f>IF(ISBLANK(M191),0,Q191*ROUND(N191,2))</f>
        <v>#DIV/0!</v>
      </c>
      <c r="S191" s="26" t="e">
        <f>ROUND(P191,2)*Q191</f>
        <v>#DIV/0!</v>
      </c>
      <c r="T191" s="97" t="e">
        <f>Q191*dagenperjaar1</f>
        <v>#DIV/0!</v>
      </c>
      <c r="U191" s="27" t="e">
        <f>T191*ROUND(P191,2)</f>
        <v>#DIV/0!</v>
      </c>
    </row>
    <row r="192" spans="1:21" x14ac:dyDescent="0.2">
      <c r="A192" s="94" t="s">
        <v>243</v>
      </c>
      <c r="B192" s="95" t="s">
        <v>35</v>
      </c>
      <c r="C192" s="95" t="s">
        <v>498</v>
      </c>
      <c r="D192" s="95" t="s">
        <v>522</v>
      </c>
      <c r="E192" s="96" t="s">
        <v>289</v>
      </c>
      <c r="F192" s="95" t="s">
        <v>253</v>
      </c>
      <c r="G192" s="95" t="s">
        <v>192</v>
      </c>
      <c r="H192" s="95" t="s">
        <v>9</v>
      </c>
      <c r="I192" s="95" t="s">
        <v>190</v>
      </c>
      <c r="J192" s="96" t="s">
        <v>193</v>
      </c>
      <c r="K192" s="97">
        <v>37.44</v>
      </c>
      <c r="L192" s="97">
        <f>K192*VLOOKUP(H192,dagsoorttabel1,2,FALSE)</f>
        <v>37.44</v>
      </c>
      <c r="M192" s="98">
        <f>prodnorm12</f>
        <v>0</v>
      </c>
      <c r="N192" s="41">
        <f>dagwerk12</f>
        <v>0</v>
      </c>
      <c r="O192" s="95" t="s">
        <v>101</v>
      </c>
      <c r="P192" s="26">
        <f>uurtarief12</f>
        <v>0</v>
      </c>
      <c r="Q192" s="97" t="e">
        <f>IF(ISBLANK(M192),0,L192/ROUND(M192,4))</f>
        <v>#DIV/0!</v>
      </c>
      <c r="R192" s="97" t="e">
        <f>IF(ISBLANK(M192),0,Q192*ROUND(N192,2))</f>
        <v>#DIV/0!</v>
      </c>
      <c r="S192" s="26" t="e">
        <f>ROUND(P192,2)*Q192</f>
        <v>#DIV/0!</v>
      </c>
      <c r="T192" s="97" t="e">
        <f>Q192*dagenperjaar1</f>
        <v>#DIV/0!</v>
      </c>
      <c r="U192" s="27" t="e">
        <f>T192*ROUND(P192,2)</f>
        <v>#DIV/0!</v>
      </c>
    </row>
    <row r="193" spans="1:21" x14ac:dyDescent="0.2">
      <c r="A193" s="94" t="s">
        <v>243</v>
      </c>
      <c r="B193" s="95" t="s">
        <v>35</v>
      </c>
      <c r="C193" s="95" t="s">
        <v>498</v>
      </c>
      <c r="D193" s="95" t="s">
        <v>523</v>
      </c>
      <c r="E193" s="96" t="s">
        <v>289</v>
      </c>
      <c r="F193" s="95" t="s">
        <v>253</v>
      </c>
      <c r="G193" s="95" t="s">
        <v>192</v>
      </c>
      <c r="H193" s="95" t="s">
        <v>9</v>
      </c>
      <c r="I193" s="95" t="s">
        <v>190</v>
      </c>
      <c r="J193" s="96" t="s">
        <v>193</v>
      </c>
      <c r="K193" s="97">
        <v>8.2799999999999994</v>
      </c>
      <c r="L193" s="97">
        <f>K193*VLOOKUP(H193,dagsoorttabel1,2,FALSE)</f>
        <v>8.2799999999999994</v>
      </c>
      <c r="M193" s="98">
        <f>prodnorm12</f>
        <v>0</v>
      </c>
      <c r="N193" s="41">
        <f>dagwerk12</f>
        <v>0</v>
      </c>
      <c r="O193" s="95" t="s">
        <v>101</v>
      </c>
      <c r="P193" s="26">
        <f>uurtarief12</f>
        <v>0</v>
      </c>
      <c r="Q193" s="97" t="e">
        <f>IF(ISBLANK(M193),0,L193/ROUND(M193,4))</f>
        <v>#DIV/0!</v>
      </c>
      <c r="R193" s="97" t="e">
        <f>IF(ISBLANK(M193),0,Q193*ROUND(N193,2))</f>
        <v>#DIV/0!</v>
      </c>
      <c r="S193" s="26" t="e">
        <f>ROUND(P193,2)*Q193</f>
        <v>#DIV/0!</v>
      </c>
      <c r="T193" s="97" t="e">
        <f>Q193*dagenperjaar1</f>
        <v>#DIV/0!</v>
      </c>
      <c r="U193" s="27" t="e">
        <f>T193*ROUND(P193,2)</f>
        <v>#DIV/0!</v>
      </c>
    </row>
    <row r="194" spans="1:21" x14ac:dyDescent="0.2">
      <c r="A194" s="94" t="s">
        <v>243</v>
      </c>
      <c r="B194" s="95" t="s">
        <v>35</v>
      </c>
      <c r="C194" s="95" t="s">
        <v>498</v>
      </c>
      <c r="D194" s="95" t="s">
        <v>524</v>
      </c>
      <c r="E194" s="96" t="s">
        <v>289</v>
      </c>
      <c r="F194" s="95" t="s">
        <v>253</v>
      </c>
      <c r="G194" s="95" t="s">
        <v>192</v>
      </c>
      <c r="H194" s="95" t="s">
        <v>9</v>
      </c>
      <c r="I194" s="95" t="s">
        <v>190</v>
      </c>
      <c r="J194" s="96" t="s">
        <v>193</v>
      </c>
      <c r="K194" s="97">
        <v>29.16</v>
      </c>
      <c r="L194" s="97">
        <f>K194*VLOOKUP(H194,dagsoorttabel1,2,FALSE)</f>
        <v>29.16</v>
      </c>
      <c r="M194" s="98">
        <f>prodnorm12</f>
        <v>0</v>
      </c>
      <c r="N194" s="41">
        <f>dagwerk12</f>
        <v>0</v>
      </c>
      <c r="O194" s="95" t="s">
        <v>101</v>
      </c>
      <c r="P194" s="26">
        <f>uurtarief12</f>
        <v>0</v>
      </c>
      <c r="Q194" s="97" t="e">
        <f>IF(ISBLANK(M194),0,L194/ROUND(M194,4))</f>
        <v>#DIV/0!</v>
      </c>
      <c r="R194" s="97" t="e">
        <f>IF(ISBLANK(M194),0,Q194*ROUND(N194,2))</f>
        <v>#DIV/0!</v>
      </c>
      <c r="S194" s="26" t="e">
        <f>ROUND(P194,2)*Q194</f>
        <v>#DIV/0!</v>
      </c>
      <c r="T194" s="97" t="e">
        <f>Q194*dagenperjaar1</f>
        <v>#DIV/0!</v>
      </c>
      <c r="U194" s="27" t="e">
        <f>T194*ROUND(P194,2)</f>
        <v>#DIV/0!</v>
      </c>
    </row>
    <row r="195" spans="1:21" x14ac:dyDescent="0.2">
      <c r="A195" s="94" t="s">
        <v>243</v>
      </c>
      <c r="B195" s="95" t="s">
        <v>35</v>
      </c>
      <c r="C195" s="95" t="s">
        <v>498</v>
      </c>
      <c r="D195" s="95" t="s">
        <v>525</v>
      </c>
      <c r="E195" s="96" t="s">
        <v>289</v>
      </c>
      <c r="F195" s="95" t="s">
        <v>253</v>
      </c>
      <c r="G195" s="95" t="s">
        <v>192</v>
      </c>
      <c r="H195" s="95" t="s">
        <v>9</v>
      </c>
      <c r="I195" s="95" t="s">
        <v>190</v>
      </c>
      <c r="J195" s="96" t="s">
        <v>193</v>
      </c>
      <c r="K195" s="97">
        <v>8.2799999999999994</v>
      </c>
      <c r="L195" s="97">
        <f>K195*VLOOKUP(H195,dagsoorttabel1,2,FALSE)</f>
        <v>8.2799999999999994</v>
      </c>
      <c r="M195" s="98">
        <f>prodnorm12</f>
        <v>0</v>
      </c>
      <c r="N195" s="41">
        <f>dagwerk12</f>
        <v>0</v>
      </c>
      <c r="O195" s="95" t="s">
        <v>101</v>
      </c>
      <c r="P195" s="26">
        <f>uurtarief12</f>
        <v>0</v>
      </c>
      <c r="Q195" s="97" t="e">
        <f>IF(ISBLANK(M195),0,L195/ROUND(M195,4))</f>
        <v>#DIV/0!</v>
      </c>
      <c r="R195" s="97" t="e">
        <f>IF(ISBLANK(M195),0,Q195*ROUND(N195,2))</f>
        <v>#DIV/0!</v>
      </c>
      <c r="S195" s="26" t="e">
        <f>ROUND(P195,2)*Q195</f>
        <v>#DIV/0!</v>
      </c>
      <c r="T195" s="97" t="e">
        <f>Q195*dagenperjaar1</f>
        <v>#DIV/0!</v>
      </c>
      <c r="U195" s="27" t="e">
        <f>T195*ROUND(P195,2)</f>
        <v>#DIV/0!</v>
      </c>
    </row>
    <row r="196" spans="1:21" x14ac:dyDescent="0.2">
      <c r="A196" s="94" t="s">
        <v>243</v>
      </c>
      <c r="B196" s="95" t="s">
        <v>35</v>
      </c>
      <c r="C196" s="95" t="s">
        <v>498</v>
      </c>
      <c r="D196" s="95" t="s">
        <v>526</v>
      </c>
      <c r="E196" s="96" t="s">
        <v>289</v>
      </c>
      <c r="F196" s="95" t="s">
        <v>253</v>
      </c>
      <c r="G196" s="95" t="s">
        <v>192</v>
      </c>
      <c r="H196" s="95" t="s">
        <v>9</v>
      </c>
      <c r="I196" s="95" t="s">
        <v>190</v>
      </c>
      <c r="J196" s="96" t="s">
        <v>193</v>
      </c>
      <c r="K196" s="97">
        <v>29.16</v>
      </c>
      <c r="L196" s="97">
        <f>K196*VLOOKUP(H196,dagsoorttabel1,2,FALSE)</f>
        <v>29.16</v>
      </c>
      <c r="M196" s="98">
        <f>prodnorm12</f>
        <v>0</v>
      </c>
      <c r="N196" s="41">
        <f>dagwerk12</f>
        <v>0</v>
      </c>
      <c r="O196" s="95" t="s">
        <v>101</v>
      </c>
      <c r="P196" s="26">
        <f>uurtarief12</f>
        <v>0</v>
      </c>
      <c r="Q196" s="97" t="e">
        <f>IF(ISBLANK(M196),0,L196/ROUND(M196,4))</f>
        <v>#DIV/0!</v>
      </c>
      <c r="R196" s="97" t="e">
        <f>IF(ISBLANK(M196),0,Q196*ROUND(N196,2))</f>
        <v>#DIV/0!</v>
      </c>
      <c r="S196" s="26" t="e">
        <f>ROUND(P196,2)*Q196</f>
        <v>#DIV/0!</v>
      </c>
      <c r="T196" s="97" t="e">
        <f>Q196*dagenperjaar1</f>
        <v>#DIV/0!</v>
      </c>
      <c r="U196" s="27" t="e">
        <f>T196*ROUND(P196,2)</f>
        <v>#DIV/0!</v>
      </c>
    </row>
    <row r="197" spans="1:21" x14ac:dyDescent="0.2">
      <c r="A197" s="94" t="s">
        <v>243</v>
      </c>
      <c r="B197" s="95" t="s">
        <v>35</v>
      </c>
      <c r="C197" s="95" t="s">
        <v>498</v>
      </c>
      <c r="D197" s="95" t="s">
        <v>527</v>
      </c>
      <c r="E197" s="96" t="s">
        <v>289</v>
      </c>
      <c r="F197" s="95" t="s">
        <v>253</v>
      </c>
      <c r="G197" s="95" t="s">
        <v>192</v>
      </c>
      <c r="H197" s="95" t="s">
        <v>9</v>
      </c>
      <c r="I197" s="95" t="s">
        <v>190</v>
      </c>
      <c r="J197" s="96" t="s">
        <v>193</v>
      </c>
      <c r="K197" s="97">
        <v>8.2799999999999994</v>
      </c>
      <c r="L197" s="97">
        <f>K197*VLOOKUP(H197,dagsoorttabel1,2,FALSE)</f>
        <v>8.2799999999999994</v>
      </c>
      <c r="M197" s="98">
        <f>prodnorm12</f>
        <v>0</v>
      </c>
      <c r="N197" s="41">
        <f>dagwerk12</f>
        <v>0</v>
      </c>
      <c r="O197" s="95" t="s">
        <v>101</v>
      </c>
      <c r="P197" s="26">
        <f>uurtarief12</f>
        <v>0</v>
      </c>
      <c r="Q197" s="97" t="e">
        <f>IF(ISBLANK(M197),0,L197/ROUND(M197,4))</f>
        <v>#DIV/0!</v>
      </c>
      <c r="R197" s="97" t="e">
        <f>IF(ISBLANK(M197),0,Q197*ROUND(N197,2))</f>
        <v>#DIV/0!</v>
      </c>
      <c r="S197" s="26" t="e">
        <f>ROUND(P197,2)*Q197</f>
        <v>#DIV/0!</v>
      </c>
      <c r="T197" s="97" t="e">
        <f>Q197*dagenperjaar1</f>
        <v>#DIV/0!</v>
      </c>
      <c r="U197" s="27" t="e">
        <f>T197*ROUND(P197,2)</f>
        <v>#DIV/0!</v>
      </c>
    </row>
    <row r="198" spans="1:21" x14ac:dyDescent="0.2">
      <c r="A198" s="94" t="s">
        <v>243</v>
      </c>
      <c r="B198" s="95" t="s">
        <v>35</v>
      </c>
      <c r="C198" s="95" t="s">
        <v>498</v>
      </c>
      <c r="D198" s="95" t="s">
        <v>528</v>
      </c>
      <c r="E198" s="96" t="s">
        <v>289</v>
      </c>
      <c r="F198" s="95" t="s">
        <v>253</v>
      </c>
      <c r="G198" s="95" t="s">
        <v>192</v>
      </c>
      <c r="H198" s="95" t="s">
        <v>9</v>
      </c>
      <c r="I198" s="95" t="s">
        <v>190</v>
      </c>
      <c r="J198" s="96" t="s">
        <v>193</v>
      </c>
      <c r="K198" s="97">
        <v>29.16</v>
      </c>
      <c r="L198" s="97">
        <f>K198*VLOOKUP(H198,dagsoorttabel1,2,FALSE)</f>
        <v>29.16</v>
      </c>
      <c r="M198" s="98">
        <f>prodnorm12</f>
        <v>0</v>
      </c>
      <c r="N198" s="41">
        <f>dagwerk12</f>
        <v>0</v>
      </c>
      <c r="O198" s="95" t="s">
        <v>101</v>
      </c>
      <c r="P198" s="26">
        <f>uurtarief12</f>
        <v>0</v>
      </c>
      <c r="Q198" s="97" t="e">
        <f>IF(ISBLANK(M198),0,L198/ROUND(M198,4))</f>
        <v>#DIV/0!</v>
      </c>
      <c r="R198" s="97" t="e">
        <f>IF(ISBLANK(M198),0,Q198*ROUND(N198,2))</f>
        <v>#DIV/0!</v>
      </c>
      <c r="S198" s="26" t="e">
        <f>ROUND(P198,2)*Q198</f>
        <v>#DIV/0!</v>
      </c>
      <c r="T198" s="97" t="e">
        <f>Q198*dagenperjaar1</f>
        <v>#DIV/0!</v>
      </c>
      <c r="U198" s="27" t="e">
        <f>T198*ROUND(P198,2)</f>
        <v>#DIV/0!</v>
      </c>
    </row>
    <row r="199" spans="1:21" x14ac:dyDescent="0.2">
      <c r="A199" s="94" t="s">
        <v>243</v>
      </c>
      <c r="B199" s="95" t="s">
        <v>35</v>
      </c>
      <c r="C199" s="95" t="s">
        <v>498</v>
      </c>
      <c r="D199" s="95" t="s">
        <v>529</v>
      </c>
      <c r="E199" s="96" t="s">
        <v>289</v>
      </c>
      <c r="F199" s="95" t="s">
        <v>253</v>
      </c>
      <c r="G199" s="95" t="s">
        <v>192</v>
      </c>
      <c r="H199" s="95" t="s">
        <v>9</v>
      </c>
      <c r="I199" s="95" t="s">
        <v>190</v>
      </c>
      <c r="J199" s="96" t="s">
        <v>193</v>
      </c>
      <c r="K199" s="97">
        <v>8.2799999999999994</v>
      </c>
      <c r="L199" s="97">
        <f>K199*VLOOKUP(H199,dagsoorttabel1,2,FALSE)</f>
        <v>8.2799999999999994</v>
      </c>
      <c r="M199" s="98">
        <f>prodnorm12</f>
        <v>0</v>
      </c>
      <c r="N199" s="41">
        <f>dagwerk12</f>
        <v>0</v>
      </c>
      <c r="O199" s="95" t="s">
        <v>101</v>
      </c>
      <c r="P199" s="26">
        <f>uurtarief12</f>
        <v>0</v>
      </c>
      <c r="Q199" s="97" t="e">
        <f>IF(ISBLANK(M199),0,L199/ROUND(M199,4))</f>
        <v>#DIV/0!</v>
      </c>
      <c r="R199" s="97" t="e">
        <f>IF(ISBLANK(M199),0,Q199*ROUND(N199,2))</f>
        <v>#DIV/0!</v>
      </c>
      <c r="S199" s="26" t="e">
        <f>ROUND(P199,2)*Q199</f>
        <v>#DIV/0!</v>
      </c>
      <c r="T199" s="97" t="e">
        <f>Q199*dagenperjaar1</f>
        <v>#DIV/0!</v>
      </c>
      <c r="U199" s="27" t="e">
        <f>T199*ROUND(P199,2)</f>
        <v>#DIV/0!</v>
      </c>
    </row>
    <row r="200" spans="1:21" x14ac:dyDescent="0.2">
      <c r="A200" s="94" t="s">
        <v>243</v>
      </c>
      <c r="B200" s="95" t="s">
        <v>35</v>
      </c>
      <c r="C200" s="95" t="s">
        <v>498</v>
      </c>
      <c r="D200" s="95" t="s">
        <v>530</v>
      </c>
      <c r="E200" s="96" t="s">
        <v>289</v>
      </c>
      <c r="F200" s="95" t="s">
        <v>253</v>
      </c>
      <c r="G200" s="95" t="s">
        <v>192</v>
      </c>
      <c r="H200" s="95" t="s">
        <v>9</v>
      </c>
      <c r="I200" s="95" t="s">
        <v>190</v>
      </c>
      <c r="J200" s="96" t="s">
        <v>193</v>
      </c>
      <c r="K200" s="97">
        <v>29.16</v>
      </c>
      <c r="L200" s="97">
        <f>K200*VLOOKUP(H200,dagsoorttabel1,2,FALSE)</f>
        <v>29.16</v>
      </c>
      <c r="M200" s="98">
        <f>prodnorm12</f>
        <v>0</v>
      </c>
      <c r="N200" s="41">
        <f>dagwerk12</f>
        <v>0</v>
      </c>
      <c r="O200" s="95" t="s">
        <v>101</v>
      </c>
      <c r="P200" s="26">
        <f>uurtarief12</f>
        <v>0</v>
      </c>
      <c r="Q200" s="97" t="e">
        <f>IF(ISBLANK(M200),0,L200/ROUND(M200,4))</f>
        <v>#DIV/0!</v>
      </c>
      <c r="R200" s="97" t="e">
        <f>IF(ISBLANK(M200),0,Q200*ROUND(N200,2))</f>
        <v>#DIV/0!</v>
      </c>
      <c r="S200" s="26" t="e">
        <f>ROUND(P200,2)*Q200</f>
        <v>#DIV/0!</v>
      </c>
      <c r="T200" s="97" t="e">
        <f>Q200*dagenperjaar1</f>
        <v>#DIV/0!</v>
      </c>
      <c r="U200" s="27" t="e">
        <f>T200*ROUND(P200,2)</f>
        <v>#DIV/0!</v>
      </c>
    </row>
    <row r="201" spans="1:21" x14ac:dyDescent="0.2">
      <c r="A201" s="94" t="s">
        <v>243</v>
      </c>
      <c r="B201" s="95" t="s">
        <v>35</v>
      </c>
      <c r="C201" s="95" t="s">
        <v>498</v>
      </c>
      <c r="D201" s="95" t="s">
        <v>531</v>
      </c>
      <c r="E201" s="96" t="s">
        <v>289</v>
      </c>
      <c r="F201" s="95" t="s">
        <v>253</v>
      </c>
      <c r="G201" s="95" t="s">
        <v>192</v>
      </c>
      <c r="H201" s="95" t="s">
        <v>9</v>
      </c>
      <c r="I201" s="95" t="s">
        <v>190</v>
      </c>
      <c r="J201" s="96" t="s">
        <v>193</v>
      </c>
      <c r="K201" s="97">
        <v>8.2799999999999994</v>
      </c>
      <c r="L201" s="97">
        <f>K201*VLOOKUP(H201,dagsoorttabel1,2,FALSE)</f>
        <v>8.2799999999999994</v>
      </c>
      <c r="M201" s="98">
        <f>prodnorm12</f>
        <v>0</v>
      </c>
      <c r="N201" s="41">
        <f>dagwerk12</f>
        <v>0</v>
      </c>
      <c r="O201" s="95" t="s">
        <v>101</v>
      </c>
      <c r="P201" s="26">
        <f>uurtarief12</f>
        <v>0</v>
      </c>
      <c r="Q201" s="97" t="e">
        <f>IF(ISBLANK(M201),0,L201/ROUND(M201,4))</f>
        <v>#DIV/0!</v>
      </c>
      <c r="R201" s="97" t="e">
        <f>IF(ISBLANK(M201),0,Q201*ROUND(N201,2))</f>
        <v>#DIV/0!</v>
      </c>
      <c r="S201" s="26" t="e">
        <f>ROUND(P201,2)*Q201</f>
        <v>#DIV/0!</v>
      </c>
      <c r="T201" s="97" t="e">
        <f>Q201*dagenperjaar1</f>
        <v>#DIV/0!</v>
      </c>
      <c r="U201" s="27" t="e">
        <f>T201*ROUND(P201,2)</f>
        <v>#DIV/0!</v>
      </c>
    </row>
    <row r="202" spans="1:21" x14ac:dyDescent="0.2">
      <c r="A202" s="94" t="s">
        <v>243</v>
      </c>
      <c r="B202" s="95" t="s">
        <v>35</v>
      </c>
      <c r="C202" s="95" t="s">
        <v>498</v>
      </c>
      <c r="D202" s="95" t="s">
        <v>532</v>
      </c>
      <c r="E202" s="96" t="s">
        <v>289</v>
      </c>
      <c r="F202" s="95" t="s">
        <v>253</v>
      </c>
      <c r="G202" s="95" t="s">
        <v>192</v>
      </c>
      <c r="H202" s="95" t="s">
        <v>9</v>
      </c>
      <c r="I202" s="95" t="s">
        <v>190</v>
      </c>
      <c r="J202" s="96" t="s">
        <v>193</v>
      </c>
      <c r="K202" s="97">
        <v>29.16</v>
      </c>
      <c r="L202" s="97">
        <f>K202*VLOOKUP(H202,dagsoorttabel1,2,FALSE)</f>
        <v>29.16</v>
      </c>
      <c r="M202" s="98">
        <f>prodnorm12</f>
        <v>0</v>
      </c>
      <c r="N202" s="41">
        <f>dagwerk12</f>
        <v>0</v>
      </c>
      <c r="O202" s="95" t="s">
        <v>101</v>
      </c>
      <c r="P202" s="26">
        <f>uurtarief12</f>
        <v>0</v>
      </c>
      <c r="Q202" s="97" t="e">
        <f>IF(ISBLANK(M202),0,L202/ROUND(M202,4))</f>
        <v>#DIV/0!</v>
      </c>
      <c r="R202" s="97" t="e">
        <f>IF(ISBLANK(M202),0,Q202*ROUND(N202,2))</f>
        <v>#DIV/0!</v>
      </c>
      <c r="S202" s="26" t="e">
        <f>ROUND(P202,2)*Q202</f>
        <v>#DIV/0!</v>
      </c>
      <c r="T202" s="97" t="e">
        <f>Q202*dagenperjaar1</f>
        <v>#DIV/0!</v>
      </c>
      <c r="U202" s="27" t="e">
        <f>T202*ROUND(P202,2)</f>
        <v>#DIV/0!</v>
      </c>
    </row>
    <row r="203" spans="1:21" ht="25.5" x14ac:dyDescent="0.2">
      <c r="A203" s="94" t="s">
        <v>243</v>
      </c>
      <c r="B203" s="95" t="s">
        <v>35</v>
      </c>
      <c r="C203" s="95" t="s">
        <v>498</v>
      </c>
      <c r="D203" s="95" t="s">
        <v>533</v>
      </c>
      <c r="E203" s="96" t="s">
        <v>277</v>
      </c>
      <c r="F203" s="95" t="s">
        <v>258</v>
      </c>
      <c r="G203" s="95" t="s">
        <v>226</v>
      </c>
      <c r="H203" s="95" t="s">
        <v>9</v>
      </c>
      <c r="I203" s="95" t="s">
        <v>190</v>
      </c>
      <c r="J203" s="96" t="s">
        <v>227</v>
      </c>
      <c r="K203" s="97">
        <v>4.96</v>
      </c>
      <c r="L203" s="97">
        <f>K203*VLOOKUP(H203,dagsoorttabel1,2,FALSE)</f>
        <v>4.96</v>
      </c>
      <c r="M203" s="98">
        <f>prodnorm30</f>
        <v>0</v>
      </c>
      <c r="N203" s="41">
        <f>dagwerk30</f>
        <v>0</v>
      </c>
      <c r="O203" s="95" t="s">
        <v>101</v>
      </c>
      <c r="P203" s="26">
        <f>uurtarief30</f>
        <v>0</v>
      </c>
      <c r="Q203" s="97" t="e">
        <f>IF(ISBLANK(M203),0,L203/ROUND(M203,4))</f>
        <v>#DIV/0!</v>
      </c>
      <c r="R203" s="97" t="e">
        <f>IF(ISBLANK(M203),0,Q203*ROUND(N203,2))</f>
        <v>#DIV/0!</v>
      </c>
      <c r="S203" s="26" t="e">
        <f>ROUND(P203,2)*Q203</f>
        <v>#DIV/0!</v>
      </c>
      <c r="T203" s="97" t="e">
        <f>Q203*dagenperjaar1</f>
        <v>#DIV/0!</v>
      </c>
      <c r="U203" s="27" t="e">
        <f>T203*ROUND(P203,2)</f>
        <v>#DIV/0!</v>
      </c>
    </row>
    <row r="204" spans="1:21" x14ac:dyDescent="0.2">
      <c r="A204" s="94" t="s">
        <v>243</v>
      </c>
      <c r="B204" s="95" t="s">
        <v>35</v>
      </c>
      <c r="C204" s="95" t="s">
        <v>498</v>
      </c>
      <c r="D204" s="95" t="s">
        <v>534</v>
      </c>
      <c r="E204" s="96" t="s">
        <v>323</v>
      </c>
      <c r="F204" s="95" t="s">
        <v>280</v>
      </c>
      <c r="G204" s="95" t="s">
        <v>281</v>
      </c>
      <c r="H204" s="95"/>
      <c r="I204" s="95"/>
      <c r="J204" s="95"/>
      <c r="K204" s="97">
        <v>4.76</v>
      </c>
      <c r="L204" s="97"/>
      <c r="M204" s="98"/>
      <c r="N204" s="41"/>
      <c r="O204" s="95"/>
      <c r="P204" s="26"/>
      <c r="Q204" s="97"/>
      <c r="R204" s="97"/>
      <c r="S204" s="26"/>
      <c r="T204" s="99"/>
      <c r="U204" s="27"/>
    </row>
    <row r="205" spans="1:21" x14ac:dyDescent="0.2">
      <c r="A205" s="94" t="s">
        <v>243</v>
      </c>
      <c r="B205" s="95" t="s">
        <v>35</v>
      </c>
      <c r="C205" s="95" t="s">
        <v>498</v>
      </c>
      <c r="D205" s="95" t="s">
        <v>535</v>
      </c>
      <c r="E205" s="96" t="s">
        <v>306</v>
      </c>
      <c r="F205" s="95" t="s">
        <v>307</v>
      </c>
      <c r="G205" s="95" t="s">
        <v>214</v>
      </c>
      <c r="H205" s="95" t="s">
        <v>9</v>
      </c>
      <c r="I205" s="95" t="s">
        <v>190</v>
      </c>
      <c r="J205" s="96" t="s">
        <v>215</v>
      </c>
      <c r="K205" s="97">
        <v>4.2</v>
      </c>
      <c r="L205" s="97">
        <f>K205*VLOOKUP(H205,dagsoorttabel1,2,FALSE)</f>
        <v>4.2</v>
      </c>
      <c r="M205" s="98">
        <f>prodnorm24</f>
        <v>0</v>
      </c>
      <c r="N205" s="41">
        <f>dagwerk24</f>
        <v>0</v>
      </c>
      <c r="O205" s="95" t="s">
        <v>101</v>
      </c>
      <c r="P205" s="26">
        <f>uurtarief24</f>
        <v>0</v>
      </c>
      <c r="Q205" s="97" t="e">
        <f>IF(ISBLANK(M205),0,L205/ROUND(M205,4))</f>
        <v>#DIV/0!</v>
      </c>
      <c r="R205" s="97" t="e">
        <f>IF(ISBLANK(M205),0,Q205*ROUND(N205,2))</f>
        <v>#DIV/0!</v>
      </c>
      <c r="S205" s="26" t="e">
        <f>ROUND(P205,2)*Q205</f>
        <v>#DIV/0!</v>
      </c>
      <c r="T205" s="97" t="e">
        <f>Q205*dagenperjaar1</f>
        <v>#DIV/0!</v>
      </c>
      <c r="U205" s="27" t="e">
        <f>T205*ROUND(P205,2)</f>
        <v>#DIV/0!</v>
      </c>
    </row>
    <row r="206" spans="1:21" x14ac:dyDescent="0.2">
      <c r="A206" s="94" t="s">
        <v>243</v>
      </c>
      <c r="B206" s="95" t="s">
        <v>35</v>
      </c>
      <c r="C206" s="95" t="s">
        <v>498</v>
      </c>
      <c r="D206" s="95" t="s">
        <v>536</v>
      </c>
      <c r="E206" s="96" t="s">
        <v>306</v>
      </c>
      <c r="F206" s="95" t="s">
        <v>307</v>
      </c>
      <c r="G206" s="95" t="s">
        <v>214</v>
      </c>
      <c r="H206" s="95" t="s">
        <v>9</v>
      </c>
      <c r="I206" s="95" t="s">
        <v>190</v>
      </c>
      <c r="J206" s="96" t="s">
        <v>215</v>
      </c>
      <c r="K206" s="97">
        <v>1.26</v>
      </c>
      <c r="L206" s="97">
        <f>K206*VLOOKUP(H206,dagsoorttabel1,2,FALSE)</f>
        <v>1.26</v>
      </c>
      <c r="M206" s="98">
        <f>prodnorm24</f>
        <v>0</v>
      </c>
      <c r="N206" s="41">
        <f>dagwerk24</f>
        <v>0</v>
      </c>
      <c r="O206" s="95" t="s">
        <v>101</v>
      </c>
      <c r="P206" s="26">
        <f>uurtarief24</f>
        <v>0</v>
      </c>
      <c r="Q206" s="97" t="e">
        <f>IF(ISBLANK(M206),0,L206/ROUND(M206,4))</f>
        <v>#DIV/0!</v>
      </c>
      <c r="R206" s="97" t="e">
        <f>IF(ISBLANK(M206),0,Q206*ROUND(N206,2))</f>
        <v>#DIV/0!</v>
      </c>
      <c r="S206" s="26" t="e">
        <f>ROUND(P206,2)*Q206</f>
        <v>#DIV/0!</v>
      </c>
      <c r="T206" s="97" t="e">
        <f>Q206*dagenperjaar1</f>
        <v>#DIV/0!</v>
      </c>
      <c r="U206" s="27" t="e">
        <f>T206*ROUND(P206,2)</f>
        <v>#DIV/0!</v>
      </c>
    </row>
    <row r="207" spans="1:21" x14ac:dyDescent="0.2">
      <c r="A207" s="94" t="s">
        <v>243</v>
      </c>
      <c r="B207" s="95" t="s">
        <v>35</v>
      </c>
      <c r="C207" s="95" t="s">
        <v>498</v>
      </c>
      <c r="D207" s="95" t="s">
        <v>537</v>
      </c>
      <c r="E207" s="96" t="s">
        <v>306</v>
      </c>
      <c r="F207" s="95" t="s">
        <v>307</v>
      </c>
      <c r="G207" s="95" t="s">
        <v>214</v>
      </c>
      <c r="H207" s="95" t="s">
        <v>9</v>
      </c>
      <c r="I207" s="95" t="s">
        <v>190</v>
      </c>
      <c r="J207" s="96" t="s">
        <v>215</v>
      </c>
      <c r="K207" s="97">
        <v>1.26</v>
      </c>
      <c r="L207" s="97">
        <f>K207*VLOOKUP(H207,dagsoorttabel1,2,FALSE)</f>
        <v>1.26</v>
      </c>
      <c r="M207" s="98">
        <f>prodnorm24</f>
        <v>0</v>
      </c>
      <c r="N207" s="41">
        <f>dagwerk24</f>
        <v>0</v>
      </c>
      <c r="O207" s="95" t="s">
        <v>101</v>
      </c>
      <c r="P207" s="26">
        <f>uurtarief24</f>
        <v>0</v>
      </c>
      <c r="Q207" s="97" t="e">
        <f>IF(ISBLANK(M207),0,L207/ROUND(M207,4))</f>
        <v>#DIV/0!</v>
      </c>
      <c r="R207" s="97" t="e">
        <f>IF(ISBLANK(M207),0,Q207*ROUND(N207,2))</f>
        <v>#DIV/0!</v>
      </c>
      <c r="S207" s="26" t="e">
        <f>ROUND(P207,2)*Q207</f>
        <v>#DIV/0!</v>
      </c>
      <c r="T207" s="97" t="e">
        <f>Q207*dagenperjaar1</f>
        <v>#DIV/0!</v>
      </c>
      <c r="U207" s="27" t="e">
        <f>T207*ROUND(P207,2)</f>
        <v>#DIV/0!</v>
      </c>
    </row>
    <row r="208" spans="1:21" x14ac:dyDescent="0.2">
      <c r="A208" s="94" t="s">
        <v>243</v>
      </c>
      <c r="B208" s="95" t="s">
        <v>35</v>
      </c>
      <c r="C208" s="95" t="s">
        <v>498</v>
      </c>
      <c r="D208" s="95" t="s">
        <v>538</v>
      </c>
      <c r="E208" s="96" t="s">
        <v>503</v>
      </c>
      <c r="F208" s="95" t="s">
        <v>258</v>
      </c>
      <c r="G208" s="95" t="s">
        <v>216</v>
      </c>
      <c r="H208" s="95" t="s">
        <v>9</v>
      </c>
      <c r="I208" s="95" t="s">
        <v>190</v>
      </c>
      <c r="J208" s="96" t="s">
        <v>217</v>
      </c>
      <c r="K208" s="97">
        <v>29.16</v>
      </c>
      <c r="L208" s="97">
        <f>K208*VLOOKUP(H208,dagsoorttabel1,2,FALSE)</f>
        <v>29.16</v>
      </c>
      <c r="M208" s="98">
        <f>prodnorm25</f>
        <v>0</v>
      </c>
      <c r="N208" s="41">
        <f>dagwerk25</f>
        <v>0</v>
      </c>
      <c r="O208" s="95" t="s">
        <v>101</v>
      </c>
      <c r="P208" s="26">
        <f>uurtarief25</f>
        <v>0</v>
      </c>
      <c r="Q208" s="97" t="e">
        <f>IF(ISBLANK(M208),0,L208/ROUND(M208,4))</f>
        <v>#DIV/0!</v>
      </c>
      <c r="R208" s="97" t="e">
        <f>IF(ISBLANK(M208),0,Q208*ROUND(N208,2))</f>
        <v>#DIV/0!</v>
      </c>
      <c r="S208" s="26" t="e">
        <f>ROUND(P208,2)*Q208</f>
        <v>#DIV/0!</v>
      </c>
      <c r="T208" s="97" t="e">
        <f>Q208*dagenperjaar1</f>
        <v>#DIV/0!</v>
      </c>
      <c r="U208" s="27" t="e">
        <f>T208*ROUND(P208,2)</f>
        <v>#DIV/0!</v>
      </c>
    </row>
    <row r="209" spans="1:21" x14ac:dyDescent="0.2">
      <c r="A209" s="94" t="s">
        <v>243</v>
      </c>
      <c r="B209" s="95" t="s">
        <v>35</v>
      </c>
      <c r="C209" s="95" t="s">
        <v>498</v>
      </c>
      <c r="D209" s="95" t="s">
        <v>539</v>
      </c>
      <c r="E209" s="96" t="s">
        <v>540</v>
      </c>
      <c r="F209" s="95" t="s">
        <v>258</v>
      </c>
      <c r="G209" s="95" t="s">
        <v>206</v>
      </c>
      <c r="H209" s="95" t="s">
        <v>9</v>
      </c>
      <c r="I209" s="95" t="s">
        <v>190</v>
      </c>
      <c r="J209" s="96" t="s">
        <v>207</v>
      </c>
      <c r="K209" s="97">
        <v>7.92</v>
      </c>
      <c r="L209" s="97">
        <f>K209*VLOOKUP(H209,dagsoorttabel1,2,FALSE)</f>
        <v>7.92</v>
      </c>
      <c r="M209" s="98">
        <f>prodnorm20</f>
        <v>0</v>
      </c>
      <c r="N209" s="41">
        <f>dagwerk20</f>
        <v>0</v>
      </c>
      <c r="O209" s="95" t="s">
        <v>101</v>
      </c>
      <c r="P209" s="26">
        <f>uurtarief20</f>
        <v>0</v>
      </c>
      <c r="Q209" s="97" t="e">
        <f>IF(ISBLANK(M209),0,L209/ROUND(M209,4))</f>
        <v>#DIV/0!</v>
      </c>
      <c r="R209" s="97" t="e">
        <f>IF(ISBLANK(M209),0,Q209*ROUND(N209,2))</f>
        <v>#DIV/0!</v>
      </c>
      <c r="S209" s="26" t="e">
        <f>ROUND(P209,2)*Q209</f>
        <v>#DIV/0!</v>
      </c>
      <c r="T209" s="97" t="e">
        <f>Q209*dagenperjaar1</f>
        <v>#DIV/0!</v>
      </c>
      <c r="U209" s="27" t="e">
        <f>T209*ROUND(P209,2)</f>
        <v>#DIV/0!</v>
      </c>
    </row>
    <row r="210" spans="1:21" x14ac:dyDescent="0.2">
      <c r="A210" s="94" t="s">
        <v>243</v>
      </c>
      <c r="B210" s="95" t="s">
        <v>35</v>
      </c>
      <c r="C210" s="95" t="s">
        <v>498</v>
      </c>
      <c r="D210" s="95" t="s">
        <v>541</v>
      </c>
      <c r="E210" s="96" t="s">
        <v>321</v>
      </c>
      <c r="F210" s="95" t="s">
        <v>280</v>
      </c>
      <c r="G210" s="95" t="s">
        <v>281</v>
      </c>
      <c r="H210" s="95"/>
      <c r="I210" s="95"/>
      <c r="J210" s="95"/>
      <c r="K210" s="97">
        <v>1.26</v>
      </c>
      <c r="L210" s="97"/>
      <c r="M210" s="98"/>
      <c r="N210" s="41"/>
      <c r="O210" s="95"/>
      <c r="P210" s="26"/>
      <c r="Q210" s="97"/>
      <c r="R210" s="97"/>
      <c r="S210" s="26"/>
      <c r="T210" s="99"/>
      <c r="U210" s="27"/>
    </row>
    <row r="211" spans="1:21" x14ac:dyDescent="0.2">
      <c r="A211" s="94" t="s">
        <v>243</v>
      </c>
      <c r="B211" s="95" t="s">
        <v>35</v>
      </c>
      <c r="C211" s="95" t="s">
        <v>498</v>
      </c>
      <c r="D211" s="95" t="s">
        <v>542</v>
      </c>
      <c r="E211" s="96" t="s">
        <v>272</v>
      </c>
      <c r="F211" s="95" t="s">
        <v>280</v>
      </c>
      <c r="G211" s="95" t="s">
        <v>216</v>
      </c>
      <c r="H211" s="95" t="s">
        <v>9</v>
      </c>
      <c r="I211" s="95" t="s">
        <v>190</v>
      </c>
      <c r="J211" s="96" t="s">
        <v>217</v>
      </c>
      <c r="K211" s="97">
        <v>1.26</v>
      </c>
      <c r="L211" s="97">
        <f>K211*VLOOKUP(H211,dagsoorttabel1,2,FALSE)</f>
        <v>1.26</v>
      </c>
      <c r="M211" s="98">
        <f>prodnorm25</f>
        <v>0</v>
      </c>
      <c r="N211" s="41">
        <f>dagwerk25</f>
        <v>0</v>
      </c>
      <c r="O211" s="95" t="s">
        <v>101</v>
      </c>
      <c r="P211" s="26">
        <f>uurtarief25</f>
        <v>0</v>
      </c>
      <c r="Q211" s="97" t="e">
        <f>IF(ISBLANK(M211),0,L211/ROUND(M211,4))</f>
        <v>#DIV/0!</v>
      </c>
      <c r="R211" s="97" t="e">
        <f>IF(ISBLANK(M211),0,Q211*ROUND(N211,2))</f>
        <v>#DIV/0!</v>
      </c>
      <c r="S211" s="26" t="e">
        <f>ROUND(P211,2)*Q211</f>
        <v>#DIV/0!</v>
      </c>
      <c r="T211" s="97" t="e">
        <f>Q211*dagenperjaar1</f>
        <v>#DIV/0!</v>
      </c>
      <c r="U211" s="27" t="e">
        <f>T211*ROUND(P211,2)</f>
        <v>#DIV/0!</v>
      </c>
    </row>
    <row r="212" spans="1:21" x14ac:dyDescent="0.2">
      <c r="A212" s="94" t="s">
        <v>243</v>
      </c>
      <c r="B212" s="95" t="s">
        <v>35</v>
      </c>
      <c r="C212" s="95" t="s">
        <v>498</v>
      </c>
      <c r="D212" s="95" t="s">
        <v>543</v>
      </c>
      <c r="E212" s="96" t="s">
        <v>289</v>
      </c>
      <c r="F212" s="95" t="s">
        <v>253</v>
      </c>
      <c r="G212" s="95" t="s">
        <v>192</v>
      </c>
      <c r="H212" s="95" t="s">
        <v>9</v>
      </c>
      <c r="I212" s="95" t="s">
        <v>190</v>
      </c>
      <c r="J212" s="96" t="s">
        <v>193</v>
      </c>
      <c r="K212" s="97">
        <v>30.24</v>
      </c>
      <c r="L212" s="97">
        <f>K212*VLOOKUP(H212,dagsoorttabel1,2,FALSE)</f>
        <v>30.24</v>
      </c>
      <c r="M212" s="98">
        <f>prodnorm12</f>
        <v>0</v>
      </c>
      <c r="N212" s="41">
        <f>dagwerk12</f>
        <v>0</v>
      </c>
      <c r="O212" s="95" t="s">
        <v>101</v>
      </c>
      <c r="P212" s="26">
        <f>uurtarief12</f>
        <v>0</v>
      </c>
      <c r="Q212" s="97" t="e">
        <f>IF(ISBLANK(M212),0,L212/ROUND(M212,4))</f>
        <v>#DIV/0!</v>
      </c>
      <c r="R212" s="97" t="e">
        <f>IF(ISBLANK(M212),0,Q212*ROUND(N212,2))</f>
        <v>#DIV/0!</v>
      </c>
      <c r="S212" s="26" t="e">
        <f>ROUND(P212,2)*Q212</f>
        <v>#DIV/0!</v>
      </c>
      <c r="T212" s="97" t="e">
        <f>Q212*dagenperjaar1</f>
        <v>#DIV/0!</v>
      </c>
      <c r="U212" s="27" t="e">
        <f>T212*ROUND(P212,2)</f>
        <v>#DIV/0!</v>
      </c>
    </row>
    <row r="213" spans="1:21" x14ac:dyDescent="0.2">
      <c r="A213" s="94" t="s">
        <v>243</v>
      </c>
      <c r="B213" s="95" t="s">
        <v>35</v>
      </c>
      <c r="C213" s="95" t="s">
        <v>498</v>
      </c>
      <c r="D213" s="95" t="s">
        <v>544</v>
      </c>
      <c r="E213" s="96" t="s">
        <v>289</v>
      </c>
      <c r="F213" s="95" t="s">
        <v>253</v>
      </c>
      <c r="G213" s="95" t="s">
        <v>192</v>
      </c>
      <c r="H213" s="95" t="s">
        <v>9</v>
      </c>
      <c r="I213" s="95" t="s">
        <v>190</v>
      </c>
      <c r="J213" s="96" t="s">
        <v>193</v>
      </c>
      <c r="K213" s="97">
        <v>7.26</v>
      </c>
      <c r="L213" s="97">
        <f>K213*VLOOKUP(H213,dagsoorttabel1,2,FALSE)</f>
        <v>7.26</v>
      </c>
      <c r="M213" s="98">
        <f>prodnorm12</f>
        <v>0</v>
      </c>
      <c r="N213" s="41">
        <f>dagwerk12</f>
        <v>0</v>
      </c>
      <c r="O213" s="95" t="s">
        <v>101</v>
      </c>
      <c r="P213" s="26">
        <f>uurtarief12</f>
        <v>0</v>
      </c>
      <c r="Q213" s="97" t="e">
        <f>IF(ISBLANK(M213),0,L213/ROUND(M213,4))</f>
        <v>#DIV/0!</v>
      </c>
      <c r="R213" s="97" t="e">
        <f>IF(ISBLANK(M213),0,Q213*ROUND(N213,2))</f>
        <v>#DIV/0!</v>
      </c>
      <c r="S213" s="26" t="e">
        <f>ROUND(P213,2)*Q213</f>
        <v>#DIV/0!</v>
      </c>
      <c r="T213" s="97" t="e">
        <f>Q213*dagenperjaar1</f>
        <v>#DIV/0!</v>
      </c>
      <c r="U213" s="27" t="e">
        <f>T213*ROUND(P213,2)</f>
        <v>#DIV/0!</v>
      </c>
    </row>
    <row r="214" spans="1:21" x14ac:dyDescent="0.2">
      <c r="A214" s="94" t="s">
        <v>243</v>
      </c>
      <c r="B214" s="95" t="s">
        <v>35</v>
      </c>
      <c r="C214" s="95" t="s">
        <v>498</v>
      </c>
      <c r="D214" s="95" t="s">
        <v>545</v>
      </c>
      <c r="E214" s="96" t="s">
        <v>289</v>
      </c>
      <c r="F214" s="95" t="s">
        <v>253</v>
      </c>
      <c r="G214" s="95" t="s">
        <v>192</v>
      </c>
      <c r="H214" s="95" t="s">
        <v>9</v>
      </c>
      <c r="I214" s="95" t="s">
        <v>190</v>
      </c>
      <c r="J214" s="96" t="s">
        <v>193</v>
      </c>
      <c r="K214" s="97">
        <v>31.32</v>
      </c>
      <c r="L214" s="97">
        <f>K214*VLOOKUP(H214,dagsoorttabel1,2,FALSE)</f>
        <v>31.32</v>
      </c>
      <c r="M214" s="98">
        <f>prodnorm12</f>
        <v>0</v>
      </c>
      <c r="N214" s="41">
        <f>dagwerk12</f>
        <v>0</v>
      </c>
      <c r="O214" s="95" t="s">
        <v>101</v>
      </c>
      <c r="P214" s="26">
        <f>uurtarief12</f>
        <v>0</v>
      </c>
      <c r="Q214" s="97" t="e">
        <f>IF(ISBLANK(M214),0,L214/ROUND(M214,4))</f>
        <v>#DIV/0!</v>
      </c>
      <c r="R214" s="97" t="e">
        <f>IF(ISBLANK(M214),0,Q214*ROUND(N214,2))</f>
        <v>#DIV/0!</v>
      </c>
      <c r="S214" s="26" t="e">
        <f>ROUND(P214,2)*Q214</f>
        <v>#DIV/0!</v>
      </c>
      <c r="T214" s="97" t="e">
        <f>Q214*dagenperjaar1</f>
        <v>#DIV/0!</v>
      </c>
      <c r="U214" s="27" t="e">
        <f>T214*ROUND(P214,2)</f>
        <v>#DIV/0!</v>
      </c>
    </row>
    <row r="215" spans="1:21" x14ac:dyDescent="0.2">
      <c r="A215" s="94" t="s">
        <v>243</v>
      </c>
      <c r="B215" s="95" t="s">
        <v>35</v>
      </c>
      <c r="C215" s="95" t="s">
        <v>498</v>
      </c>
      <c r="D215" s="95" t="s">
        <v>546</v>
      </c>
      <c r="E215" s="96" t="s">
        <v>289</v>
      </c>
      <c r="F215" s="95" t="s">
        <v>253</v>
      </c>
      <c r="G215" s="95" t="s">
        <v>192</v>
      </c>
      <c r="H215" s="95" t="s">
        <v>9</v>
      </c>
      <c r="I215" s="95" t="s">
        <v>190</v>
      </c>
      <c r="J215" s="96" t="s">
        <v>193</v>
      </c>
      <c r="K215" s="97">
        <v>7.26</v>
      </c>
      <c r="L215" s="97">
        <f>K215*VLOOKUP(H215,dagsoorttabel1,2,FALSE)</f>
        <v>7.26</v>
      </c>
      <c r="M215" s="98">
        <f>prodnorm12</f>
        <v>0</v>
      </c>
      <c r="N215" s="41">
        <f>dagwerk12</f>
        <v>0</v>
      </c>
      <c r="O215" s="95" t="s">
        <v>101</v>
      </c>
      <c r="P215" s="26">
        <f>uurtarief12</f>
        <v>0</v>
      </c>
      <c r="Q215" s="97" t="e">
        <f>IF(ISBLANK(M215),0,L215/ROUND(M215,4))</f>
        <v>#DIV/0!</v>
      </c>
      <c r="R215" s="97" t="e">
        <f>IF(ISBLANK(M215),0,Q215*ROUND(N215,2))</f>
        <v>#DIV/0!</v>
      </c>
      <c r="S215" s="26" t="e">
        <f>ROUND(P215,2)*Q215</f>
        <v>#DIV/0!</v>
      </c>
      <c r="T215" s="97" t="e">
        <f>Q215*dagenperjaar1</f>
        <v>#DIV/0!</v>
      </c>
      <c r="U215" s="27" t="e">
        <f>T215*ROUND(P215,2)</f>
        <v>#DIV/0!</v>
      </c>
    </row>
    <row r="216" spans="1:21" x14ac:dyDescent="0.2">
      <c r="A216" s="94" t="s">
        <v>243</v>
      </c>
      <c r="B216" s="95" t="s">
        <v>35</v>
      </c>
      <c r="C216" s="95" t="s">
        <v>498</v>
      </c>
      <c r="D216" s="95" t="s">
        <v>547</v>
      </c>
      <c r="E216" s="96" t="s">
        <v>289</v>
      </c>
      <c r="F216" s="95" t="s">
        <v>253</v>
      </c>
      <c r="G216" s="95" t="s">
        <v>192</v>
      </c>
      <c r="H216" s="95" t="s">
        <v>9</v>
      </c>
      <c r="I216" s="95" t="s">
        <v>190</v>
      </c>
      <c r="J216" s="96" t="s">
        <v>193</v>
      </c>
      <c r="K216" s="97">
        <v>30.24</v>
      </c>
      <c r="L216" s="97">
        <f>K216*VLOOKUP(H216,dagsoorttabel1,2,FALSE)</f>
        <v>30.24</v>
      </c>
      <c r="M216" s="98">
        <f>prodnorm12</f>
        <v>0</v>
      </c>
      <c r="N216" s="41">
        <f>dagwerk12</f>
        <v>0</v>
      </c>
      <c r="O216" s="95" t="s">
        <v>101</v>
      </c>
      <c r="P216" s="26">
        <f>uurtarief12</f>
        <v>0</v>
      </c>
      <c r="Q216" s="97" t="e">
        <f>IF(ISBLANK(M216),0,L216/ROUND(M216,4))</f>
        <v>#DIV/0!</v>
      </c>
      <c r="R216" s="97" t="e">
        <f>IF(ISBLANK(M216),0,Q216*ROUND(N216,2))</f>
        <v>#DIV/0!</v>
      </c>
      <c r="S216" s="26" t="e">
        <f>ROUND(P216,2)*Q216</f>
        <v>#DIV/0!</v>
      </c>
      <c r="T216" s="97" t="e">
        <f>Q216*dagenperjaar1</f>
        <v>#DIV/0!</v>
      </c>
      <c r="U216" s="27" t="e">
        <f>T216*ROUND(P216,2)</f>
        <v>#DIV/0!</v>
      </c>
    </row>
    <row r="217" spans="1:21" ht="25.5" x14ac:dyDescent="0.2">
      <c r="A217" s="94" t="s">
        <v>243</v>
      </c>
      <c r="B217" s="95" t="s">
        <v>35</v>
      </c>
      <c r="C217" s="95" t="s">
        <v>498</v>
      </c>
      <c r="D217" s="95" t="s">
        <v>548</v>
      </c>
      <c r="E217" s="96" t="s">
        <v>549</v>
      </c>
      <c r="F217" s="95" t="s">
        <v>253</v>
      </c>
      <c r="G217" s="95" t="s">
        <v>200</v>
      </c>
      <c r="H217" s="95" t="s">
        <v>9</v>
      </c>
      <c r="I217" s="95" t="s">
        <v>190</v>
      </c>
      <c r="J217" s="96" t="s">
        <v>201</v>
      </c>
      <c r="K217" s="97">
        <v>17.939999999999998</v>
      </c>
      <c r="L217" s="97">
        <f>K217*VLOOKUP(H217,dagsoorttabel1,2,FALSE)</f>
        <v>17.939999999999998</v>
      </c>
      <c r="M217" s="98">
        <f>prodnorm17</f>
        <v>0</v>
      </c>
      <c r="N217" s="41">
        <f>dagwerk17</f>
        <v>0</v>
      </c>
      <c r="O217" s="95" t="s">
        <v>101</v>
      </c>
      <c r="P217" s="26">
        <f>uurtarief17</f>
        <v>0</v>
      </c>
      <c r="Q217" s="97" t="e">
        <f>IF(ISBLANK(M217),0,L217/ROUND(M217,4))</f>
        <v>#DIV/0!</v>
      </c>
      <c r="R217" s="97" t="e">
        <f>IF(ISBLANK(M217),0,Q217*ROUND(N217,2))</f>
        <v>#DIV/0!</v>
      </c>
      <c r="S217" s="26" t="e">
        <f>ROUND(P217,2)*Q217</f>
        <v>#DIV/0!</v>
      </c>
      <c r="T217" s="97" t="e">
        <f>Q217*dagenperjaar1</f>
        <v>#DIV/0!</v>
      </c>
      <c r="U217" s="27" t="e">
        <f>T217*ROUND(P217,2)</f>
        <v>#DIV/0!</v>
      </c>
    </row>
    <row r="218" spans="1:21" x14ac:dyDescent="0.2">
      <c r="A218" s="94" t="s">
        <v>243</v>
      </c>
      <c r="B218" s="95" t="s">
        <v>35</v>
      </c>
      <c r="C218" s="95" t="s">
        <v>498</v>
      </c>
      <c r="D218" s="95" t="s">
        <v>550</v>
      </c>
      <c r="E218" s="96" t="s">
        <v>390</v>
      </c>
      <c r="F218" s="95" t="s">
        <v>307</v>
      </c>
      <c r="G218" s="95" t="s">
        <v>214</v>
      </c>
      <c r="H218" s="95" t="s">
        <v>9</v>
      </c>
      <c r="I218" s="95" t="s">
        <v>190</v>
      </c>
      <c r="J218" s="96" t="s">
        <v>215</v>
      </c>
      <c r="K218" s="97">
        <v>9.3000000000000007</v>
      </c>
      <c r="L218" s="97">
        <f>K218*VLOOKUP(H218,dagsoorttabel1,2,FALSE)</f>
        <v>9.3000000000000007</v>
      </c>
      <c r="M218" s="98">
        <f>prodnorm24</f>
        <v>0</v>
      </c>
      <c r="N218" s="41">
        <f>dagwerk24</f>
        <v>0</v>
      </c>
      <c r="O218" s="95" t="s">
        <v>101</v>
      </c>
      <c r="P218" s="26">
        <f>uurtarief24</f>
        <v>0</v>
      </c>
      <c r="Q218" s="97" t="e">
        <f>IF(ISBLANK(M218),0,L218/ROUND(M218,4))</f>
        <v>#DIV/0!</v>
      </c>
      <c r="R218" s="97" t="e">
        <f>IF(ISBLANK(M218),0,Q218*ROUND(N218,2))</f>
        <v>#DIV/0!</v>
      </c>
      <c r="S218" s="26" t="e">
        <f>ROUND(P218,2)*Q218</f>
        <v>#DIV/0!</v>
      </c>
      <c r="T218" s="97" t="e">
        <f>Q218*dagenperjaar1</f>
        <v>#DIV/0!</v>
      </c>
      <c r="U218" s="27" t="e">
        <f>T218*ROUND(P218,2)</f>
        <v>#DIV/0!</v>
      </c>
    </row>
    <row r="219" spans="1:21" x14ac:dyDescent="0.2">
      <c r="A219" s="94" t="s">
        <v>243</v>
      </c>
      <c r="B219" s="95" t="s">
        <v>35</v>
      </c>
      <c r="C219" s="95" t="s">
        <v>498</v>
      </c>
      <c r="D219" s="95" t="s">
        <v>551</v>
      </c>
      <c r="E219" s="96" t="s">
        <v>390</v>
      </c>
      <c r="F219" s="95" t="s">
        <v>307</v>
      </c>
      <c r="G219" s="95" t="s">
        <v>214</v>
      </c>
      <c r="H219" s="95" t="s">
        <v>9</v>
      </c>
      <c r="I219" s="95" t="s">
        <v>190</v>
      </c>
      <c r="J219" s="96" t="s">
        <v>215</v>
      </c>
      <c r="K219" s="97">
        <v>1.1700000000000002</v>
      </c>
      <c r="L219" s="97">
        <f>K219*VLOOKUP(H219,dagsoorttabel1,2,FALSE)</f>
        <v>1.1700000000000002</v>
      </c>
      <c r="M219" s="98">
        <f>prodnorm24</f>
        <v>0</v>
      </c>
      <c r="N219" s="41">
        <f>dagwerk24</f>
        <v>0</v>
      </c>
      <c r="O219" s="95" t="s">
        <v>101</v>
      </c>
      <c r="P219" s="26">
        <f>uurtarief24</f>
        <v>0</v>
      </c>
      <c r="Q219" s="97" t="e">
        <f>IF(ISBLANK(M219),0,L219/ROUND(M219,4))</f>
        <v>#DIV/0!</v>
      </c>
      <c r="R219" s="97" t="e">
        <f>IF(ISBLANK(M219),0,Q219*ROUND(N219,2))</f>
        <v>#DIV/0!</v>
      </c>
      <c r="S219" s="26" t="e">
        <f>ROUND(P219,2)*Q219</f>
        <v>#DIV/0!</v>
      </c>
      <c r="T219" s="97" t="e">
        <f>Q219*dagenperjaar1</f>
        <v>#DIV/0!</v>
      </c>
      <c r="U219" s="27" t="e">
        <f>T219*ROUND(P219,2)</f>
        <v>#DIV/0!</v>
      </c>
    </row>
    <row r="220" spans="1:21" x14ac:dyDescent="0.2">
      <c r="A220" s="94" t="s">
        <v>243</v>
      </c>
      <c r="B220" s="95" t="s">
        <v>35</v>
      </c>
      <c r="C220" s="95" t="s">
        <v>498</v>
      </c>
      <c r="D220" s="95" t="s">
        <v>552</v>
      </c>
      <c r="E220" s="96" t="s">
        <v>390</v>
      </c>
      <c r="F220" s="95" t="s">
        <v>307</v>
      </c>
      <c r="G220" s="95" t="s">
        <v>214</v>
      </c>
      <c r="H220" s="95" t="s">
        <v>9</v>
      </c>
      <c r="I220" s="95" t="s">
        <v>190</v>
      </c>
      <c r="J220" s="96" t="s">
        <v>215</v>
      </c>
      <c r="K220" s="97">
        <v>1.1700000000000002</v>
      </c>
      <c r="L220" s="97">
        <f>K220*VLOOKUP(H220,dagsoorttabel1,2,FALSE)</f>
        <v>1.1700000000000002</v>
      </c>
      <c r="M220" s="98">
        <f>prodnorm24</f>
        <v>0</v>
      </c>
      <c r="N220" s="41">
        <f>dagwerk24</f>
        <v>0</v>
      </c>
      <c r="O220" s="95" t="s">
        <v>101</v>
      </c>
      <c r="P220" s="26">
        <f>uurtarief24</f>
        <v>0</v>
      </c>
      <c r="Q220" s="97" t="e">
        <f>IF(ISBLANK(M220),0,L220/ROUND(M220,4))</f>
        <v>#DIV/0!</v>
      </c>
      <c r="R220" s="97" t="e">
        <f>IF(ISBLANK(M220),0,Q220*ROUND(N220,2))</f>
        <v>#DIV/0!</v>
      </c>
      <c r="S220" s="26" t="e">
        <f>ROUND(P220,2)*Q220</f>
        <v>#DIV/0!</v>
      </c>
      <c r="T220" s="97" t="e">
        <f>Q220*dagenperjaar1</f>
        <v>#DIV/0!</v>
      </c>
      <c r="U220" s="27" t="e">
        <f>T220*ROUND(P220,2)</f>
        <v>#DIV/0!</v>
      </c>
    </row>
    <row r="221" spans="1:21" x14ac:dyDescent="0.2">
      <c r="A221" s="94" t="s">
        <v>243</v>
      </c>
      <c r="B221" s="95" t="s">
        <v>35</v>
      </c>
      <c r="C221" s="95" t="s">
        <v>498</v>
      </c>
      <c r="D221" s="95" t="s">
        <v>553</v>
      </c>
      <c r="E221" s="96" t="s">
        <v>390</v>
      </c>
      <c r="F221" s="95" t="s">
        <v>307</v>
      </c>
      <c r="G221" s="95" t="s">
        <v>214</v>
      </c>
      <c r="H221" s="95" t="s">
        <v>9</v>
      </c>
      <c r="I221" s="95" t="s">
        <v>190</v>
      </c>
      <c r="J221" s="96" t="s">
        <v>215</v>
      </c>
      <c r="K221" s="97">
        <v>1.1700000000000002</v>
      </c>
      <c r="L221" s="97">
        <f>K221*VLOOKUP(H221,dagsoorttabel1,2,FALSE)</f>
        <v>1.1700000000000002</v>
      </c>
      <c r="M221" s="98">
        <f>prodnorm24</f>
        <v>0</v>
      </c>
      <c r="N221" s="41">
        <f>dagwerk24</f>
        <v>0</v>
      </c>
      <c r="O221" s="95" t="s">
        <v>101</v>
      </c>
      <c r="P221" s="26">
        <f>uurtarief24</f>
        <v>0</v>
      </c>
      <c r="Q221" s="97" t="e">
        <f>IF(ISBLANK(M221),0,L221/ROUND(M221,4))</f>
        <v>#DIV/0!</v>
      </c>
      <c r="R221" s="97" t="e">
        <f>IF(ISBLANK(M221),0,Q221*ROUND(N221,2))</f>
        <v>#DIV/0!</v>
      </c>
      <c r="S221" s="26" t="e">
        <f>ROUND(P221,2)*Q221</f>
        <v>#DIV/0!</v>
      </c>
      <c r="T221" s="97" t="e">
        <f>Q221*dagenperjaar1</f>
        <v>#DIV/0!</v>
      </c>
      <c r="U221" s="27" t="e">
        <f>T221*ROUND(P221,2)</f>
        <v>#DIV/0!</v>
      </c>
    </row>
    <row r="222" spans="1:21" x14ac:dyDescent="0.2">
      <c r="A222" s="94" t="s">
        <v>243</v>
      </c>
      <c r="B222" s="95" t="s">
        <v>35</v>
      </c>
      <c r="C222" s="95" t="s">
        <v>498</v>
      </c>
      <c r="D222" s="95" t="s">
        <v>554</v>
      </c>
      <c r="E222" s="96" t="s">
        <v>390</v>
      </c>
      <c r="F222" s="95" t="s">
        <v>307</v>
      </c>
      <c r="G222" s="95" t="s">
        <v>214</v>
      </c>
      <c r="H222" s="95" t="s">
        <v>9</v>
      </c>
      <c r="I222" s="95" t="s">
        <v>190</v>
      </c>
      <c r="J222" s="96" t="s">
        <v>215</v>
      </c>
      <c r="K222" s="97">
        <v>1.1700000000000002</v>
      </c>
      <c r="L222" s="97">
        <f>K222*VLOOKUP(H222,dagsoorttabel1,2,FALSE)</f>
        <v>1.1700000000000002</v>
      </c>
      <c r="M222" s="98">
        <f>prodnorm24</f>
        <v>0</v>
      </c>
      <c r="N222" s="41">
        <f>dagwerk24</f>
        <v>0</v>
      </c>
      <c r="O222" s="95" t="s">
        <v>101</v>
      </c>
      <c r="P222" s="26">
        <f>uurtarief24</f>
        <v>0</v>
      </c>
      <c r="Q222" s="97" t="e">
        <f>IF(ISBLANK(M222),0,L222/ROUND(M222,4))</f>
        <v>#DIV/0!</v>
      </c>
      <c r="R222" s="97" t="e">
        <f>IF(ISBLANK(M222),0,Q222*ROUND(N222,2))</f>
        <v>#DIV/0!</v>
      </c>
      <c r="S222" s="26" t="e">
        <f>ROUND(P222,2)*Q222</f>
        <v>#DIV/0!</v>
      </c>
      <c r="T222" s="97" t="e">
        <f>Q222*dagenperjaar1</f>
        <v>#DIV/0!</v>
      </c>
      <c r="U222" s="27" t="e">
        <f>T222*ROUND(P222,2)</f>
        <v>#DIV/0!</v>
      </c>
    </row>
    <row r="223" spans="1:21" x14ac:dyDescent="0.2">
      <c r="A223" s="94" t="s">
        <v>243</v>
      </c>
      <c r="B223" s="95" t="s">
        <v>35</v>
      </c>
      <c r="C223" s="95" t="s">
        <v>498</v>
      </c>
      <c r="D223" s="95" t="s">
        <v>555</v>
      </c>
      <c r="E223" s="96" t="s">
        <v>384</v>
      </c>
      <c r="F223" s="95" t="s">
        <v>258</v>
      </c>
      <c r="G223" s="95" t="s">
        <v>281</v>
      </c>
      <c r="H223" s="95"/>
      <c r="I223" s="95"/>
      <c r="J223" s="95"/>
      <c r="K223" s="97">
        <v>2.2999999999999998</v>
      </c>
      <c r="L223" s="97"/>
      <c r="M223" s="98"/>
      <c r="N223" s="41"/>
      <c r="O223" s="95"/>
      <c r="P223" s="26"/>
      <c r="Q223" s="97"/>
      <c r="R223" s="97"/>
      <c r="S223" s="26"/>
      <c r="T223" s="99"/>
      <c r="U223" s="27"/>
    </row>
    <row r="224" spans="1:21" x14ac:dyDescent="0.2">
      <c r="A224" s="94" t="s">
        <v>243</v>
      </c>
      <c r="B224" s="95" t="s">
        <v>35</v>
      </c>
      <c r="C224" s="95" t="s">
        <v>498</v>
      </c>
      <c r="D224" s="95" t="s">
        <v>556</v>
      </c>
      <c r="E224" s="96" t="s">
        <v>466</v>
      </c>
      <c r="F224" s="95" t="s">
        <v>280</v>
      </c>
      <c r="G224" s="95" t="s">
        <v>281</v>
      </c>
      <c r="H224" s="95"/>
      <c r="I224" s="95"/>
      <c r="J224" s="95"/>
      <c r="K224" s="97">
        <v>4.59</v>
      </c>
      <c r="L224" s="97"/>
      <c r="M224" s="98"/>
      <c r="N224" s="41"/>
      <c r="O224" s="95"/>
      <c r="P224" s="26"/>
      <c r="Q224" s="97"/>
      <c r="R224" s="97"/>
      <c r="S224" s="26"/>
      <c r="T224" s="99"/>
      <c r="U224" s="27"/>
    </row>
    <row r="225" spans="1:21" x14ac:dyDescent="0.2">
      <c r="A225" s="94" t="s">
        <v>243</v>
      </c>
      <c r="B225" s="95" t="s">
        <v>35</v>
      </c>
      <c r="C225" s="95" t="s">
        <v>498</v>
      </c>
      <c r="D225" s="95" t="s">
        <v>557</v>
      </c>
      <c r="E225" s="96" t="s">
        <v>306</v>
      </c>
      <c r="F225" s="95" t="s">
        <v>307</v>
      </c>
      <c r="G225" s="95" t="s">
        <v>214</v>
      </c>
      <c r="H225" s="95" t="s">
        <v>9</v>
      </c>
      <c r="I225" s="95" t="s">
        <v>190</v>
      </c>
      <c r="J225" s="96" t="s">
        <v>215</v>
      </c>
      <c r="K225" s="97">
        <v>4.2</v>
      </c>
      <c r="L225" s="97">
        <f>K225*VLOOKUP(H225,dagsoorttabel1,2,FALSE)</f>
        <v>4.2</v>
      </c>
      <c r="M225" s="98">
        <f>prodnorm24</f>
        <v>0</v>
      </c>
      <c r="N225" s="41">
        <f>dagwerk24</f>
        <v>0</v>
      </c>
      <c r="O225" s="95" t="s">
        <v>101</v>
      </c>
      <c r="P225" s="26">
        <f>uurtarief24</f>
        <v>0</v>
      </c>
      <c r="Q225" s="97" t="e">
        <f>IF(ISBLANK(M225),0,L225/ROUND(M225,4))</f>
        <v>#DIV/0!</v>
      </c>
      <c r="R225" s="97" t="e">
        <f>IF(ISBLANK(M225),0,Q225*ROUND(N225,2))</f>
        <v>#DIV/0!</v>
      </c>
      <c r="S225" s="26" t="e">
        <f>ROUND(P225,2)*Q225</f>
        <v>#DIV/0!</v>
      </c>
      <c r="T225" s="97" t="e">
        <f>Q225*dagenperjaar1</f>
        <v>#DIV/0!</v>
      </c>
      <c r="U225" s="27" t="e">
        <f>T225*ROUND(P225,2)</f>
        <v>#DIV/0!</v>
      </c>
    </row>
    <row r="226" spans="1:21" x14ac:dyDescent="0.2">
      <c r="A226" s="94" t="s">
        <v>243</v>
      </c>
      <c r="B226" s="95" t="s">
        <v>35</v>
      </c>
      <c r="C226" s="95" t="s">
        <v>498</v>
      </c>
      <c r="D226" s="95" t="s">
        <v>558</v>
      </c>
      <c r="E226" s="96" t="s">
        <v>306</v>
      </c>
      <c r="F226" s="95" t="s">
        <v>307</v>
      </c>
      <c r="G226" s="95" t="s">
        <v>214</v>
      </c>
      <c r="H226" s="95" t="s">
        <v>9</v>
      </c>
      <c r="I226" s="95" t="s">
        <v>190</v>
      </c>
      <c r="J226" s="96" t="s">
        <v>215</v>
      </c>
      <c r="K226" s="97">
        <v>1.26</v>
      </c>
      <c r="L226" s="97">
        <f>K226*VLOOKUP(H226,dagsoorttabel1,2,FALSE)</f>
        <v>1.26</v>
      </c>
      <c r="M226" s="98">
        <f>prodnorm24</f>
        <v>0</v>
      </c>
      <c r="N226" s="41">
        <f>dagwerk24</f>
        <v>0</v>
      </c>
      <c r="O226" s="95" t="s">
        <v>101</v>
      </c>
      <c r="P226" s="26">
        <f>uurtarief24</f>
        <v>0</v>
      </c>
      <c r="Q226" s="97" t="e">
        <f>IF(ISBLANK(M226),0,L226/ROUND(M226,4))</f>
        <v>#DIV/0!</v>
      </c>
      <c r="R226" s="97" t="e">
        <f>IF(ISBLANK(M226),0,Q226*ROUND(N226,2))</f>
        <v>#DIV/0!</v>
      </c>
      <c r="S226" s="26" t="e">
        <f>ROUND(P226,2)*Q226</f>
        <v>#DIV/0!</v>
      </c>
      <c r="T226" s="97" t="e">
        <f>Q226*dagenperjaar1</f>
        <v>#DIV/0!</v>
      </c>
      <c r="U226" s="27" t="e">
        <f>T226*ROUND(P226,2)</f>
        <v>#DIV/0!</v>
      </c>
    </row>
    <row r="227" spans="1:21" x14ac:dyDescent="0.2">
      <c r="A227" s="94" t="s">
        <v>243</v>
      </c>
      <c r="B227" s="95" t="s">
        <v>35</v>
      </c>
      <c r="C227" s="95" t="s">
        <v>498</v>
      </c>
      <c r="D227" s="95" t="s">
        <v>559</v>
      </c>
      <c r="E227" s="96" t="s">
        <v>306</v>
      </c>
      <c r="F227" s="95" t="s">
        <v>307</v>
      </c>
      <c r="G227" s="95" t="s">
        <v>214</v>
      </c>
      <c r="H227" s="95" t="s">
        <v>9</v>
      </c>
      <c r="I227" s="95" t="s">
        <v>190</v>
      </c>
      <c r="J227" s="96" t="s">
        <v>215</v>
      </c>
      <c r="K227" s="97">
        <v>1.26</v>
      </c>
      <c r="L227" s="97">
        <f>K227*VLOOKUP(H227,dagsoorttabel1,2,FALSE)</f>
        <v>1.26</v>
      </c>
      <c r="M227" s="98">
        <f>prodnorm24</f>
        <v>0</v>
      </c>
      <c r="N227" s="41">
        <f>dagwerk24</f>
        <v>0</v>
      </c>
      <c r="O227" s="95" t="s">
        <v>101</v>
      </c>
      <c r="P227" s="26">
        <f>uurtarief24</f>
        <v>0</v>
      </c>
      <c r="Q227" s="97" t="e">
        <f>IF(ISBLANK(M227),0,L227/ROUND(M227,4))</f>
        <v>#DIV/0!</v>
      </c>
      <c r="R227" s="97" t="e">
        <f>IF(ISBLANK(M227),0,Q227*ROUND(N227,2))</f>
        <v>#DIV/0!</v>
      </c>
      <c r="S227" s="26" t="e">
        <f>ROUND(P227,2)*Q227</f>
        <v>#DIV/0!</v>
      </c>
      <c r="T227" s="97" t="e">
        <f>Q227*dagenperjaar1</f>
        <v>#DIV/0!</v>
      </c>
      <c r="U227" s="27" t="e">
        <f>T227*ROUND(P227,2)</f>
        <v>#DIV/0!</v>
      </c>
    </row>
    <row r="228" spans="1:21" ht="25.5" x14ac:dyDescent="0.2">
      <c r="A228" s="94" t="s">
        <v>243</v>
      </c>
      <c r="B228" s="95" t="s">
        <v>35</v>
      </c>
      <c r="C228" s="95" t="s">
        <v>498</v>
      </c>
      <c r="D228" s="95" t="s">
        <v>560</v>
      </c>
      <c r="E228" s="96" t="s">
        <v>277</v>
      </c>
      <c r="F228" s="95" t="s">
        <v>258</v>
      </c>
      <c r="G228" s="95" t="s">
        <v>226</v>
      </c>
      <c r="H228" s="95" t="s">
        <v>9</v>
      </c>
      <c r="I228" s="95" t="s">
        <v>190</v>
      </c>
      <c r="J228" s="96" t="s">
        <v>227</v>
      </c>
      <c r="K228" s="97">
        <v>4.3199999999999994</v>
      </c>
      <c r="L228" s="97">
        <f>K228*VLOOKUP(H228,dagsoorttabel1,2,FALSE)</f>
        <v>4.3199999999999994</v>
      </c>
      <c r="M228" s="98">
        <f>prodnorm30</f>
        <v>0</v>
      </c>
      <c r="N228" s="41">
        <f>dagwerk30</f>
        <v>0</v>
      </c>
      <c r="O228" s="95" t="s">
        <v>101</v>
      </c>
      <c r="P228" s="26">
        <f>uurtarief30</f>
        <v>0</v>
      </c>
      <c r="Q228" s="97" t="e">
        <f>IF(ISBLANK(M228),0,L228/ROUND(M228,4))</f>
        <v>#DIV/0!</v>
      </c>
      <c r="R228" s="97" t="e">
        <f>IF(ISBLANK(M228),0,Q228*ROUND(N228,2))</f>
        <v>#DIV/0!</v>
      </c>
      <c r="S228" s="26" t="e">
        <f>ROUND(P228,2)*Q228</f>
        <v>#DIV/0!</v>
      </c>
      <c r="T228" s="97" t="e">
        <f>Q228*dagenperjaar1</f>
        <v>#DIV/0!</v>
      </c>
      <c r="U228" s="27" t="e">
        <f>T228*ROUND(P228,2)</f>
        <v>#DIV/0!</v>
      </c>
    </row>
    <row r="229" spans="1:21" x14ac:dyDescent="0.2">
      <c r="A229" s="94" t="s">
        <v>243</v>
      </c>
      <c r="B229" s="95" t="s">
        <v>35</v>
      </c>
      <c r="C229" s="95" t="s">
        <v>498</v>
      </c>
      <c r="D229" s="95" t="s">
        <v>561</v>
      </c>
      <c r="E229" s="96" t="s">
        <v>472</v>
      </c>
      <c r="F229" s="95" t="s">
        <v>253</v>
      </c>
      <c r="G229" s="95" t="s">
        <v>218</v>
      </c>
      <c r="H229" s="95" t="s">
        <v>9</v>
      </c>
      <c r="I229" s="95" t="s">
        <v>190</v>
      </c>
      <c r="J229" s="96" t="s">
        <v>219</v>
      </c>
      <c r="K229" s="97">
        <v>87.48</v>
      </c>
      <c r="L229" s="97">
        <f>K229*VLOOKUP(H229,dagsoorttabel1,2,FALSE)</f>
        <v>87.48</v>
      </c>
      <c r="M229" s="98">
        <f>prodnorm26</f>
        <v>0</v>
      </c>
      <c r="N229" s="41">
        <f>dagwerk26</f>
        <v>0</v>
      </c>
      <c r="O229" s="95" t="s">
        <v>101</v>
      </c>
      <c r="P229" s="26">
        <f>uurtarief26</f>
        <v>0</v>
      </c>
      <c r="Q229" s="97" t="e">
        <f>IF(ISBLANK(M229),0,L229/ROUND(M229,4))</f>
        <v>#DIV/0!</v>
      </c>
      <c r="R229" s="97" t="e">
        <f>IF(ISBLANK(M229),0,Q229*ROUND(N229,2))</f>
        <v>#DIV/0!</v>
      </c>
      <c r="S229" s="26" t="e">
        <f>ROUND(P229,2)*Q229</f>
        <v>#DIV/0!</v>
      </c>
      <c r="T229" s="97" t="e">
        <f>Q229*dagenperjaar1</f>
        <v>#DIV/0!</v>
      </c>
      <c r="U229" s="27" t="e">
        <f>T229*ROUND(P229,2)</f>
        <v>#DIV/0!</v>
      </c>
    </row>
    <row r="230" spans="1:21" ht="25.5" x14ac:dyDescent="0.2">
      <c r="A230" s="94" t="s">
        <v>243</v>
      </c>
      <c r="B230" s="95" t="s">
        <v>35</v>
      </c>
      <c r="C230" s="95" t="s">
        <v>498</v>
      </c>
      <c r="D230" s="95" t="s">
        <v>562</v>
      </c>
      <c r="E230" s="96" t="s">
        <v>563</v>
      </c>
      <c r="F230" s="95" t="s">
        <v>253</v>
      </c>
      <c r="G230" s="95" t="s">
        <v>200</v>
      </c>
      <c r="H230" s="95" t="s">
        <v>9</v>
      </c>
      <c r="I230" s="95" t="s">
        <v>190</v>
      </c>
      <c r="J230" s="96" t="s">
        <v>201</v>
      </c>
      <c r="K230" s="97">
        <v>38.879999999999995</v>
      </c>
      <c r="L230" s="97">
        <f>K230*VLOOKUP(H230,dagsoorttabel1,2,FALSE)</f>
        <v>38.879999999999995</v>
      </c>
      <c r="M230" s="98">
        <f>prodnorm17</f>
        <v>0</v>
      </c>
      <c r="N230" s="41">
        <f>dagwerk17</f>
        <v>0</v>
      </c>
      <c r="O230" s="95" t="s">
        <v>101</v>
      </c>
      <c r="P230" s="26">
        <f>uurtarief17</f>
        <v>0</v>
      </c>
      <c r="Q230" s="97" t="e">
        <f>IF(ISBLANK(M230),0,L230/ROUND(M230,4))</f>
        <v>#DIV/0!</v>
      </c>
      <c r="R230" s="97" t="e">
        <f>IF(ISBLANK(M230),0,Q230*ROUND(N230,2))</f>
        <v>#DIV/0!</v>
      </c>
      <c r="S230" s="26" t="e">
        <f>ROUND(P230,2)*Q230</f>
        <v>#DIV/0!</v>
      </c>
      <c r="T230" s="97" t="e">
        <f>Q230*dagenperjaar1</f>
        <v>#DIV/0!</v>
      </c>
      <c r="U230" s="27" t="e">
        <f>T230*ROUND(P230,2)</f>
        <v>#DIV/0!</v>
      </c>
    </row>
    <row r="231" spans="1:21" ht="25.5" x14ac:dyDescent="0.2">
      <c r="A231" s="94" t="s">
        <v>243</v>
      </c>
      <c r="B231" s="95" t="s">
        <v>35</v>
      </c>
      <c r="C231" s="95" t="s">
        <v>498</v>
      </c>
      <c r="D231" s="95" t="s">
        <v>564</v>
      </c>
      <c r="E231" s="96" t="s">
        <v>565</v>
      </c>
      <c r="F231" s="95" t="s">
        <v>253</v>
      </c>
      <c r="G231" s="95" t="s">
        <v>200</v>
      </c>
      <c r="H231" s="95" t="s">
        <v>9</v>
      </c>
      <c r="I231" s="95" t="s">
        <v>190</v>
      </c>
      <c r="J231" s="96" t="s">
        <v>201</v>
      </c>
      <c r="K231" s="97">
        <v>29.16</v>
      </c>
      <c r="L231" s="97">
        <f>K231*VLOOKUP(H231,dagsoorttabel1,2,FALSE)</f>
        <v>29.16</v>
      </c>
      <c r="M231" s="98">
        <f>prodnorm17</f>
        <v>0</v>
      </c>
      <c r="N231" s="41">
        <f>dagwerk17</f>
        <v>0</v>
      </c>
      <c r="O231" s="95" t="s">
        <v>101</v>
      </c>
      <c r="P231" s="26">
        <f>uurtarief17</f>
        <v>0</v>
      </c>
      <c r="Q231" s="97" t="e">
        <f>IF(ISBLANK(M231),0,L231/ROUND(M231,4))</f>
        <v>#DIV/0!</v>
      </c>
      <c r="R231" s="97" t="e">
        <f>IF(ISBLANK(M231),0,Q231*ROUND(N231,2))</f>
        <v>#DIV/0!</v>
      </c>
      <c r="S231" s="26" t="e">
        <f>ROUND(P231,2)*Q231</f>
        <v>#DIV/0!</v>
      </c>
      <c r="T231" s="97" t="e">
        <f>Q231*dagenperjaar1</f>
        <v>#DIV/0!</v>
      </c>
      <c r="U231" s="27" t="e">
        <f>T231*ROUND(P231,2)</f>
        <v>#DIV/0!</v>
      </c>
    </row>
    <row r="232" spans="1:21" ht="25.5" x14ac:dyDescent="0.2">
      <c r="A232" s="94" t="s">
        <v>243</v>
      </c>
      <c r="B232" s="95" t="s">
        <v>35</v>
      </c>
      <c r="C232" s="95" t="s">
        <v>498</v>
      </c>
      <c r="D232" s="95" t="s">
        <v>566</v>
      </c>
      <c r="E232" s="96" t="s">
        <v>406</v>
      </c>
      <c r="F232" s="95" t="s">
        <v>253</v>
      </c>
      <c r="G232" s="95" t="s">
        <v>200</v>
      </c>
      <c r="H232" s="95" t="s">
        <v>9</v>
      </c>
      <c r="I232" s="95" t="s">
        <v>190</v>
      </c>
      <c r="J232" s="96" t="s">
        <v>201</v>
      </c>
      <c r="K232" s="97">
        <v>53.46</v>
      </c>
      <c r="L232" s="97">
        <f>K232*VLOOKUP(H232,dagsoorttabel1,2,FALSE)</f>
        <v>53.46</v>
      </c>
      <c r="M232" s="98">
        <f>prodnorm17</f>
        <v>0</v>
      </c>
      <c r="N232" s="41">
        <f>dagwerk17</f>
        <v>0</v>
      </c>
      <c r="O232" s="95" t="s">
        <v>101</v>
      </c>
      <c r="P232" s="26">
        <f>uurtarief17</f>
        <v>0</v>
      </c>
      <c r="Q232" s="97" t="e">
        <f>IF(ISBLANK(M232),0,L232/ROUND(M232,4))</f>
        <v>#DIV/0!</v>
      </c>
      <c r="R232" s="97" t="e">
        <f>IF(ISBLANK(M232),0,Q232*ROUND(N232,2))</f>
        <v>#DIV/0!</v>
      </c>
      <c r="S232" s="26" t="e">
        <f>ROUND(P232,2)*Q232</f>
        <v>#DIV/0!</v>
      </c>
      <c r="T232" s="97" t="e">
        <f>Q232*dagenperjaar1</f>
        <v>#DIV/0!</v>
      </c>
      <c r="U232" s="27" t="e">
        <f>T232*ROUND(P232,2)</f>
        <v>#DIV/0!</v>
      </c>
    </row>
    <row r="233" spans="1:21" x14ac:dyDescent="0.2">
      <c r="A233" s="94" t="s">
        <v>243</v>
      </c>
      <c r="B233" s="95" t="s">
        <v>35</v>
      </c>
      <c r="C233" s="95" t="s">
        <v>498</v>
      </c>
      <c r="D233" s="95" t="s">
        <v>567</v>
      </c>
      <c r="E233" s="96" t="s">
        <v>315</v>
      </c>
      <c r="F233" s="95" t="s">
        <v>253</v>
      </c>
      <c r="G233" s="95" t="s">
        <v>228</v>
      </c>
      <c r="H233" s="95" t="s">
        <v>9</v>
      </c>
      <c r="I233" s="95" t="s">
        <v>190</v>
      </c>
      <c r="J233" s="96" t="s">
        <v>229</v>
      </c>
      <c r="K233" s="97">
        <v>11.25</v>
      </c>
      <c r="L233" s="97">
        <f>K233*VLOOKUP(H233,dagsoorttabel1,2,FALSE)</f>
        <v>11.25</v>
      </c>
      <c r="M233" s="98">
        <f>prodnorm31</f>
        <v>0</v>
      </c>
      <c r="N233" s="41">
        <f>dagwerk31</f>
        <v>0</v>
      </c>
      <c r="O233" s="95" t="s">
        <v>101</v>
      </c>
      <c r="P233" s="26">
        <f>uurtarief31</f>
        <v>0</v>
      </c>
      <c r="Q233" s="97" t="e">
        <f>IF(ISBLANK(M233),0,L233/ROUND(M233,4))</f>
        <v>#DIV/0!</v>
      </c>
      <c r="R233" s="97" t="e">
        <f>IF(ISBLANK(M233),0,Q233*ROUND(N233,2))</f>
        <v>#DIV/0!</v>
      </c>
      <c r="S233" s="26" t="e">
        <f>ROUND(P233,2)*Q233</f>
        <v>#DIV/0!</v>
      </c>
      <c r="T233" s="97" t="e">
        <f>Q233*dagenperjaar1</f>
        <v>#DIV/0!</v>
      </c>
      <c r="U233" s="27" t="e">
        <f>T233*ROUND(P233,2)</f>
        <v>#DIV/0!</v>
      </c>
    </row>
    <row r="234" spans="1:21" x14ac:dyDescent="0.2">
      <c r="A234" s="94" t="s">
        <v>243</v>
      </c>
      <c r="B234" s="95" t="s">
        <v>35</v>
      </c>
      <c r="C234" s="95" t="s">
        <v>498</v>
      </c>
      <c r="D234" s="95" t="s">
        <v>568</v>
      </c>
      <c r="E234" s="96" t="s">
        <v>287</v>
      </c>
      <c r="F234" s="95" t="s">
        <v>280</v>
      </c>
      <c r="G234" s="95" t="s">
        <v>281</v>
      </c>
      <c r="H234" s="95"/>
      <c r="I234" s="95"/>
      <c r="J234" s="95"/>
      <c r="K234" s="97">
        <v>1.75</v>
      </c>
      <c r="L234" s="97"/>
      <c r="M234" s="98"/>
      <c r="N234" s="41"/>
      <c r="O234" s="95"/>
      <c r="P234" s="26"/>
      <c r="Q234" s="97"/>
      <c r="R234" s="97"/>
      <c r="S234" s="26"/>
      <c r="T234" s="99"/>
      <c r="U234" s="27"/>
    </row>
    <row r="235" spans="1:21" x14ac:dyDescent="0.2">
      <c r="A235" s="94" t="s">
        <v>243</v>
      </c>
      <c r="B235" s="95" t="s">
        <v>35</v>
      </c>
      <c r="C235" s="95" t="s">
        <v>498</v>
      </c>
      <c r="D235" s="95" t="s">
        <v>569</v>
      </c>
      <c r="E235" s="96" t="s">
        <v>289</v>
      </c>
      <c r="F235" s="95" t="s">
        <v>253</v>
      </c>
      <c r="G235" s="95" t="s">
        <v>192</v>
      </c>
      <c r="H235" s="95" t="s">
        <v>9</v>
      </c>
      <c r="I235" s="95" t="s">
        <v>190</v>
      </c>
      <c r="J235" s="96" t="s">
        <v>193</v>
      </c>
      <c r="K235" s="97">
        <v>30.24</v>
      </c>
      <c r="L235" s="97">
        <f>K235*VLOOKUP(H235,dagsoorttabel1,2,FALSE)</f>
        <v>30.24</v>
      </c>
      <c r="M235" s="98">
        <f>prodnorm12</f>
        <v>0</v>
      </c>
      <c r="N235" s="41">
        <f>dagwerk12</f>
        <v>0</v>
      </c>
      <c r="O235" s="95" t="s">
        <v>101</v>
      </c>
      <c r="P235" s="26">
        <f>uurtarief12</f>
        <v>0</v>
      </c>
      <c r="Q235" s="97" t="e">
        <f>IF(ISBLANK(M235),0,L235/ROUND(M235,4))</f>
        <v>#DIV/0!</v>
      </c>
      <c r="R235" s="97" t="e">
        <f>IF(ISBLANK(M235),0,Q235*ROUND(N235,2))</f>
        <v>#DIV/0!</v>
      </c>
      <c r="S235" s="26" t="e">
        <f>ROUND(P235,2)*Q235</f>
        <v>#DIV/0!</v>
      </c>
      <c r="T235" s="97" t="e">
        <f>Q235*dagenperjaar1</f>
        <v>#DIV/0!</v>
      </c>
      <c r="U235" s="27" t="e">
        <f>T235*ROUND(P235,2)</f>
        <v>#DIV/0!</v>
      </c>
    </row>
    <row r="236" spans="1:21" x14ac:dyDescent="0.2">
      <c r="A236" s="94" t="s">
        <v>243</v>
      </c>
      <c r="B236" s="95" t="s">
        <v>35</v>
      </c>
      <c r="C236" s="95" t="s">
        <v>498</v>
      </c>
      <c r="D236" s="95" t="s">
        <v>570</v>
      </c>
      <c r="E236" s="96" t="s">
        <v>289</v>
      </c>
      <c r="F236" s="95" t="s">
        <v>253</v>
      </c>
      <c r="G236" s="95" t="s">
        <v>192</v>
      </c>
      <c r="H236" s="95" t="s">
        <v>9</v>
      </c>
      <c r="I236" s="95" t="s">
        <v>190</v>
      </c>
      <c r="J236" s="96" t="s">
        <v>193</v>
      </c>
      <c r="K236" s="97">
        <v>7.26</v>
      </c>
      <c r="L236" s="97">
        <f>K236*VLOOKUP(H236,dagsoorttabel1,2,FALSE)</f>
        <v>7.26</v>
      </c>
      <c r="M236" s="98">
        <f>prodnorm12</f>
        <v>0</v>
      </c>
      <c r="N236" s="41">
        <f>dagwerk12</f>
        <v>0</v>
      </c>
      <c r="O236" s="95" t="s">
        <v>101</v>
      </c>
      <c r="P236" s="26">
        <f>uurtarief12</f>
        <v>0</v>
      </c>
      <c r="Q236" s="97" t="e">
        <f>IF(ISBLANK(M236),0,L236/ROUND(M236,4))</f>
        <v>#DIV/0!</v>
      </c>
      <c r="R236" s="97" t="e">
        <f>IF(ISBLANK(M236),0,Q236*ROUND(N236,2))</f>
        <v>#DIV/0!</v>
      </c>
      <c r="S236" s="26" t="e">
        <f>ROUND(P236,2)*Q236</f>
        <v>#DIV/0!</v>
      </c>
      <c r="T236" s="97" t="e">
        <f>Q236*dagenperjaar1</f>
        <v>#DIV/0!</v>
      </c>
      <c r="U236" s="27" t="e">
        <f>T236*ROUND(P236,2)</f>
        <v>#DIV/0!</v>
      </c>
    </row>
    <row r="237" spans="1:21" x14ac:dyDescent="0.2">
      <c r="A237" s="94" t="s">
        <v>243</v>
      </c>
      <c r="B237" s="95" t="s">
        <v>35</v>
      </c>
      <c r="C237" s="95" t="s">
        <v>498</v>
      </c>
      <c r="D237" s="95" t="s">
        <v>571</v>
      </c>
      <c r="E237" s="96" t="s">
        <v>289</v>
      </c>
      <c r="F237" s="95" t="s">
        <v>253</v>
      </c>
      <c r="G237" s="95" t="s">
        <v>192</v>
      </c>
      <c r="H237" s="95" t="s">
        <v>9</v>
      </c>
      <c r="I237" s="95" t="s">
        <v>190</v>
      </c>
      <c r="J237" s="96" t="s">
        <v>193</v>
      </c>
      <c r="K237" s="97">
        <v>31.32</v>
      </c>
      <c r="L237" s="97">
        <f>K237*VLOOKUP(H237,dagsoorttabel1,2,FALSE)</f>
        <v>31.32</v>
      </c>
      <c r="M237" s="98">
        <f>prodnorm12</f>
        <v>0</v>
      </c>
      <c r="N237" s="41">
        <f>dagwerk12</f>
        <v>0</v>
      </c>
      <c r="O237" s="95" t="s">
        <v>101</v>
      </c>
      <c r="P237" s="26">
        <f>uurtarief12</f>
        <v>0</v>
      </c>
      <c r="Q237" s="97" t="e">
        <f>IF(ISBLANK(M237),0,L237/ROUND(M237,4))</f>
        <v>#DIV/0!</v>
      </c>
      <c r="R237" s="97" t="e">
        <f>IF(ISBLANK(M237),0,Q237*ROUND(N237,2))</f>
        <v>#DIV/0!</v>
      </c>
      <c r="S237" s="26" t="e">
        <f>ROUND(P237,2)*Q237</f>
        <v>#DIV/0!</v>
      </c>
      <c r="T237" s="97" t="e">
        <f>Q237*dagenperjaar1</f>
        <v>#DIV/0!</v>
      </c>
      <c r="U237" s="27" t="e">
        <f>T237*ROUND(P237,2)</f>
        <v>#DIV/0!</v>
      </c>
    </row>
    <row r="238" spans="1:21" x14ac:dyDescent="0.2">
      <c r="A238" s="94" t="s">
        <v>243</v>
      </c>
      <c r="B238" s="95" t="s">
        <v>35</v>
      </c>
      <c r="C238" s="95" t="s">
        <v>498</v>
      </c>
      <c r="D238" s="95" t="s">
        <v>572</v>
      </c>
      <c r="E238" s="96" t="s">
        <v>289</v>
      </c>
      <c r="F238" s="95" t="s">
        <v>253</v>
      </c>
      <c r="G238" s="95" t="s">
        <v>192</v>
      </c>
      <c r="H238" s="95" t="s">
        <v>9</v>
      </c>
      <c r="I238" s="95" t="s">
        <v>190</v>
      </c>
      <c r="J238" s="96" t="s">
        <v>193</v>
      </c>
      <c r="K238" s="97">
        <v>7.26</v>
      </c>
      <c r="L238" s="97">
        <f>K238*VLOOKUP(H238,dagsoorttabel1,2,FALSE)</f>
        <v>7.26</v>
      </c>
      <c r="M238" s="98">
        <f>prodnorm12</f>
        <v>0</v>
      </c>
      <c r="N238" s="41">
        <f>dagwerk12</f>
        <v>0</v>
      </c>
      <c r="O238" s="95" t="s">
        <v>101</v>
      </c>
      <c r="P238" s="26">
        <f>uurtarief12</f>
        <v>0</v>
      </c>
      <c r="Q238" s="97" t="e">
        <f>IF(ISBLANK(M238),0,L238/ROUND(M238,4))</f>
        <v>#DIV/0!</v>
      </c>
      <c r="R238" s="97" t="e">
        <f>IF(ISBLANK(M238),0,Q238*ROUND(N238,2))</f>
        <v>#DIV/0!</v>
      </c>
      <c r="S238" s="26" t="e">
        <f>ROUND(P238,2)*Q238</f>
        <v>#DIV/0!</v>
      </c>
      <c r="T238" s="97" t="e">
        <f>Q238*dagenperjaar1</f>
        <v>#DIV/0!</v>
      </c>
      <c r="U238" s="27" t="e">
        <f>T238*ROUND(P238,2)</f>
        <v>#DIV/0!</v>
      </c>
    </row>
    <row r="239" spans="1:21" x14ac:dyDescent="0.2">
      <c r="A239" s="94" t="s">
        <v>243</v>
      </c>
      <c r="B239" s="95" t="s">
        <v>35</v>
      </c>
      <c r="C239" s="95" t="s">
        <v>498</v>
      </c>
      <c r="D239" s="95" t="s">
        <v>573</v>
      </c>
      <c r="E239" s="96" t="s">
        <v>289</v>
      </c>
      <c r="F239" s="95" t="s">
        <v>253</v>
      </c>
      <c r="G239" s="95" t="s">
        <v>192</v>
      </c>
      <c r="H239" s="95" t="s">
        <v>9</v>
      </c>
      <c r="I239" s="95" t="s">
        <v>190</v>
      </c>
      <c r="J239" s="96" t="s">
        <v>193</v>
      </c>
      <c r="K239" s="97">
        <v>31.32</v>
      </c>
      <c r="L239" s="97">
        <f>K239*VLOOKUP(H239,dagsoorttabel1,2,FALSE)</f>
        <v>31.32</v>
      </c>
      <c r="M239" s="98">
        <f>prodnorm12</f>
        <v>0</v>
      </c>
      <c r="N239" s="41">
        <f>dagwerk12</f>
        <v>0</v>
      </c>
      <c r="O239" s="95" t="s">
        <v>101</v>
      </c>
      <c r="P239" s="26">
        <f>uurtarief12</f>
        <v>0</v>
      </c>
      <c r="Q239" s="97" t="e">
        <f>IF(ISBLANK(M239),0,L239/ROUND(M239,4))</f>
        <v>#DIV/0!</v>
      </c>
      <c r="R239" s="97" t="e">
        <f>IF(ISBLANK(M239),0,Q239*ROUND(N239,2))</f>
        <v>#DIV/0!</v>
      </c>
      <c r="S239" s="26" t="e">
        <f>ROUND(P239,2)*Q239</f>
        <v>#DIV/0!</v>
      </c>
      <c r="T239" s="97" t="e">
        <f>Q239*dagenperjaar1</f>
        <v>#DIV/0!</v>
      </c>
      <c r="U239" s="27" t="e">
        <f>T239*ROUND(P239,2)</f>
        <v>#DIV/0!</v>
      </c>
    </row>
    <row r="240" spans="1:21" x14ac:dyDescent="0.2">
      <c r="A240" s="94" t="s">
        <v>243</v>
      </c>
      <c r="B240" s="95" t="s">
        <v>35</v>
      </c>
      <c r="C240" s="95" t="s">
        <v>498</v>
      </c>
      <c r="D240" s="95" t="s">
        <v>574</v>
      </c>
      <c r="E240" s="96" t="s">
        <v>289</v>
      </c>
      <c r="F240" s="95" t="s">
        <v>253</v>
      </c>
      <c r="G240" s="95" t="s">
        <v>192</v>
      </c>
      <c r="H240" s="95" t="s">
        <v>9</v>
      </c>
      <c r="I240" s="95" t="s">
        <v>190</v>
      </c>
      <c r="J240" s="96" t="s">
        <v>193</v>
      </c>
      <c r="K240" s="97">
        <v>7.26</v>
      </c>
      <c r="L240" s="97">
        <f>K240*VLOOKUP(H240,dagsoorttabel1,2,FALSE)</f>
        <v>7.26</v>
      </c>
      <c r="M240" s="98">
        <f>prodnorm12</f>
        <v>0</v>
      </c>
      <c r="N240" s="41">
        <f>dagwerk12</f>
        <v>0</v>
      </c>
      <c r="O240" s="95" t="s">
        <v>101</v>
      </c>
      <c r="P240" s="26">
        <f>uurtarief12</f>
        <v>0</v>
      </c>
      <c r="Q240" s="97" t="e">
        <f>IF(ISBLANK(M240),0,L240/ROUND(M240,4))</f>
        <v>#DIV/0!</v>
      </c>
      <c r="R240" s="97" t="e">
        <f>IF(ISBLANK(M240),0,Q240*ROUND(N240,2))</f>
        <v>#DIV/0!</v>
      </c>
      <c r="S240" s="26" t="e">
        <f>ROUND(P240,2)*Q240</f>
        <v>#DIV/0!</v>
      </c>
      <c r="T240" s="97" t="e">
        <f>Q240*dagenperjaar1</f>
        <v>#DIV/0!</v>
      </c>
      <c r="U240" s="27" t="e">
        <f>T240*ROUND(P240,2)</f>
        <v>#DIV/0!</v>
      </c>
    </row>
    <row r="241" spans="1:21" x14ac:dyDescent="0.2">
      <c r="A241" s="94" t="s">
        <v>243</v>
      </c>
      <c r="B241" s="95" t="s">
        <v>35</v>
      </c>
      <c r="C241" s="95" t="s">
        <v>498</v>
      </c>
      <c r="D241" s="95" t="s">
        <v>575</v>
      </c>
      <c r="E241" s="96" t="s">
        <v>289</v>
      </c>
      <c r="F241" s="95" t="s">
        <v>253</v>
      </c>
      <c r="G241" s="95" t="s">
        <v>192</v>
      </c>
      <c r="H241" s="95" t="s">
        <v>9</v>
      </c>
      <c r="I241" s="95" t="s">
        <v>190</v>
      </c>
      <c r="J241" s="96" t="s">
        <v>193</v>
      </c>
      <c r="K241" s="97">
        <v>31.32</v>
      </c>
      <c r="L241" s="97">
        <f>K241*VLOOKUP(H241,dagsoorttabel1,2,FALSE)</f>
        <v>31.32</v>
      </c>
      <c r="M241" s="98">
        <f>prodnorm12</f>
        <v>0</v>
      </c>
      <c r="N241" s="41">
        <f>dagwerk12</f>
        <v>0</v>
      </c>
      <c r="O241" s="95" t="s">
        <v>101</v>
      </c>
      <c r="P241" s="26">
        <f>uurtarief12</f>
        <v>0</v>
      </c>
      <c r="Q241" s="97" t="e">
        <f>IF(ISBLANK(M241),0,L241/ROUND(M241,4))</f>
        <v>#DIV/0!</v>
      </c>
      <c r="R241" s="97" t="e">
        <f>IF(ISBLANK(M241),0,Q241*ROUND(N241,2))</f>
        <v>#DIV/0!</v>
      </c>
      <c r="S241" s="26" t="e">
        <f>ROUND(P241,2)*Q241</f>
        <v>#DIV/0!</v>
      </c>
      <c r="T241" s="97" t="e">
        <f>Q241*dagenperjaar1</f>
        <v>#DIV/0!</v>
      </c>
      <c r="U241" s="27" t="e">
        <f>T241*ROUND(P241,2)</f>
        <v>#DIV/0!</v>
      </c>
    </row>
    <row r="242" spans="1:21" x14ac:dyDescent="0.2">
      <c r="A242" s="94" t="s">
        <v>243</v>
      </c>
      <c r="B242" s="95" t="s">
        <v>35</v>
      </c>
      <c r="C242" s="95" t="s">
        <v>498</v>
      </c>
      <c r="D242" s="95" t="s">
        <v>576</v>
      </c>
      <c r="E242" s="96" t="s">
        <v>289</v>
      </c>
      <c r="F242" s="95" t="s">
        <v>253</v>
      </c>
      <c r="G242" s="95" t="s">
        <v>192</v>
      </c>
      <c r="H242" s="95" t="s">
        <v>9</v>
      </c>
      <c r="I242" s="95" t="s">
        <v>190</v>
      </c>
      <c r="J242" s="96" t="s">
        <v>193</v>
      </c>
      <c r="K242" s="97">
        <v>7.26</v>
      </c>
      <c r="L242" s="97">
        <f>K242*VLOOKUP(H242,dagsoorttabel1,2,FALSE)</f>
        <v>7.26</v>
      </c>
      <c r="M242" s="98">
        <f>prodnorm12</f>
        <v>0</v>
      </c>
      <c r="N242" s="41">
        <f>dagwerk12</f>
        <v>0</v>
      </c>
      <c r="O242" s="95" t="s">
        <v>101</v>
      </c>
      <c r="P242" s="26">
        <f>uurtarief12</f>
        <v>0</v>
      </c>
      <c r="Q242" s="97" t="e">
        <f>IF(ISBLANK(M242),0,L242/ROUND(M242,4))</f>
        <v>#DIV/0!</v>
      </c>
      <c r="R242" s="97" t="e">
        <f>IF(ISBLANK(M242),0,Q242*ROUND(N242,2))</f>
        <v>#DIV/0!</v>
      </c>
      <c r="S242" s="26" t="e">
        <f>ROUND(P242,2)*Q242</f>
        <v>#DIV/0!</v>
      </c>
      <c r="T242" s="97" t="e">
        <f>Q242*dagenperjaar1</f>
        <v>#DIV/0!</v>
      </c>
      <c r="U242" s="27" t="e">
        <f>T242*ROUND(P242,2)</f>
        <v>#DIV/0!</v>
      </c>
    </row>
    <row r="243" spans="1:21" x14ac:dyDescent="0.2">
      <c r="A243" s="94" t="s">
        <v>243</v>
      </c>
      <c r="B243" s="95" t="s">
        <v>35</v>
      </c>
      <c r="C243" s="95" t="s">
        <v>498</v>
      </c>
      <c r="D243" s="95" t="s">
        <v>577</v>
      </c>
      <c r="E243" s="96" t="s">
        <v>289</v>
      </c>
      <c r="F243" s="95" t="s">
        <v>253</v>
      </c>
      <c r="G243" s="95" t="s">
        <v>192</v>
      </c>
      <c r="H243" s="95" t="s">
        <v>9</v>
      </c>
      <c r="I243" s="95" t="s">
        <v>190</v>
      </c>
      <c r="J243" s="96" t="s">
        <v>193</v>
      </c>
      <c r="K243" s="97">
        <v>31.32</v>
      </c>
      <c r="L243" s="97">
        <f>K243*VLOOKUP(H243,dagsoorttabel1,2,FALSE)</f>
        <v>31.32</v>
      </c>
      <c r="M243" s="98">
        <f>prodnorm12</f>
        <v>0</v>
      </c>
      <c r="N243" s="41">
        <f>dagwerk12</f>
        <v>0</v>
      </c>
      <c r="O243" s="95" t="s">
        <v>101</v>
      </c>
      <c r="P243" s="26">
        <f>uurtarief12</f>
        <v>0</v>
      </c>
      <c r="Q243" s="97" t="e">
        <f>IF(ISBLANK(M243),0,L243/ROUND(M243,4))</f>
        <v>#DIV/0!</v>
      </c>
      <c r="R243" s="97" t="e">
        <f>IF(ISBLANK(M243),0,Q243*ROUND(N243,2))</f>
        <v>#DIV/0!</v>
      </c>
      <c r="S243" s="26" t="e">
        <f>ROUND(P243,2)*Q243</f>
        <v>#DIV/0!</v>
      </c>
      <c r="T243" s="97" t="e">
        <f>Q243*dagenperjaar1</f>
        <v>#DIV/0!</v>
      </c>
      <c r="U243" s="27" t="e">
        <f>T243*ROUND(P243,2)</f>
        <v>#DIV/0!</v>
      </c>
    </row>
    <row r="244" spans="1:21" x14ac:dyDescent="0.2">
      <c r="A244" s="94" t="s">
        <v>243</v>
      </c>
      <c r="B244" s="95" t="s">
        <v>35</v>
      </c>
      <c r="C244" s="95" t="s">
        <v>498</v>
      </c>
      <c r="D244" s="95" t="s">
        <v>578</v>
      </c>
      <c r="E244" s="96" t="s">
        <v>289</v>
      </c>
      <c r="F244" s="95" t="s">
        <v>253</v>
      </c>
      <c r="G244" s="95" t="s">
        <v>192</v>
      </c>
      <c r="H244" s="95" t="s">
        <v>9</v>
      </c>
      <c r="I244" s="95" t="s">
        <v>190</v>
      </c>
      <c r="J244" s="96" t="s">
        <v>193</v>
      </c>
      <c r="K244" s="97">
        <v>7.26</v>
      </c>
      <c r="L244" s="97">
        <f>K244*VLOOKUP(H244,dagsoorttabel1,2,FALSE)</f>
        <v>7.26</v>
      </c>
      <c r="M244" s="98">
        <f>prodnorm12</f>
        <v>0</v>
      </c>
      <c r="N244" s="41">
        <f>dagwerk12</f>
        <v>0</v>
      </c>
      <c r="O244" s="95" t="s">
        <v>101</v>
      </c>
      <c r="P244" s="26">
        <f>uurtarief12</f>
        <v>0</v>
      </c>
      <c r="Q244" s="97" t="e">
        <f>IF(ISBLANK(M244),0,L244/ROUND(M244,4))</f>
        <v>#DIV/0!</v>
      </c>
      <c r="R244" s="97" t="e">
        <f>IF(ISBLANK(M244),0,Q244*ROUND(N244,2))</f>
        <v>#DIV/0!</v>
      </c>
      <c r="S244" s="26" t="e">
        <f>ROUND(P244,2)*Q244</f>
        <v>#DIV/0!</v>
      </c>
      <c r="T244" s="97" t="e">
        <f>Q244*dagenperjaar1</f>
        <v>#DIV/0!</v>
      </c>
      <c r="U244" s="27" t="e">
        <f>T244*ROUND(P244,2)</f>
        <v>#DIV/0!</v>
      </c>
    </row>
    <row r="245" spans="1:21" x14ac:dyDescent="0.2">
      <c r="A245" s="94" t="s">
        <v>243</v>
      </c>
      <c r="B245" s="95" t="s">
        <v>35</v>
      </c>
      <c r="C245" s="95" t="s">
        <v>498</v>
      </c>
      <c r="D245" s="95" t="s">
        <v>579</v>
      </c>
      <c r="E245" s="96" t="s">
        <v>289</v>
      </c>
      <c r="F245" s="95" t="s">
        <v>253</v>
      </c>
      <c r="G245" s="95" t="s">
        <v>192</v>
      </c>
      <c r="H245" s="95" t="s">
        <v>9</v>
      </c>
      <c r="I245" s="95" t="s">
        <v>190</v>
      </c>
      <c r="J245" s="96" t="s">
        <v>193</v>
      </c>
      <c r="K245" s="97">
        <v>31.32</v>
      </c>
      <c r="L245" s="97">
        <f>K245*VLOOKUP(H245,dagsoorttabel1,2,FALSE)</f>
        <v>31.32</v>
      </c>
      <c r="M245" s="98">
        <f>prodnorm12</f>
        <v>0</v>
      </c>
      <c r="N245" s="41">
        <f>dagwerk12</f>
        <v>0</v>
      </c>
      <c r="O245" s="95" t="s">
        <v>101</v>
      </c>
      <c r="P245" s="26">
        <f>uurtarief12</f>
        <v>0</v>
      </c>
      <c r="Q245" s="97" t="e">
        <f>IF(ISBLANK(M245),0,L245/ROUND(M245,4))</f>
        <v>#DIV/0!</v>
      </c>
      <c r="R245" s="97" t="e">
        <f>IF(ISBLANK(M245),0,Q245*ROUND(N245,2))</f>
        <v>#DIV/0!</v>
      </c>
      <c r="S245" s="26" t="e">
        <f>ROUND(P245,2)*Q245</f>
        <v>#DIV/0!</v>
      </c>
      <c r="T245" s="97" t="e">
        <f>Q245*dagenperjaar1</f>
        <v>#DIV/0!</v>
      </c>
      <c r="U245" s="27" t="e">
        <f>T245*ROUND(P245,2)</f>
        <v>#DIV/0!</v>
      </c>
    </row>
    <row r="246" spans="1:21" x14ac:dyDescent="0.2">
      <c r="A246" s="94" t="s">
        <v>243</v>
      </c>
      <c r="B246" s="95" t="s">
        <v>35</v>
      </c>
      <c r="C246" s="95" t="s">
        <v>498</v>
      </c>
      <c r="D246" s="95" t="s">
        <v>580</v>
      </c>
      <c r="E246" s="96" t="s">
        <v>289</v>
      </c>
      <c r="F246" s="95" t="s">
        <v>253</v>
      </c>
      <c r="G246" s="95" t="s">
        <v>192</v>
      </c>
      <c r="H246" s="95" t="s">
        <v>9</v>
      </c>
      <c r="I246" s="95" t="s">
        <v>190</v>
      </c>
      <c r="J246" s="96" t="s">
        <v>193</v>
      </c>
      <c r="K246" s="97">
        <v>7.26</v>
      </c>
      <c r="L246" s="97">
        <f>K246*VLOOKUP(H246,dagsoorttabel1,2,FALSE)</f>
        <v>7.26</v>
      </c>
      <c r="M246" s="98">
        <f>prodnorm12</f>
        <v>0</v>
      </c>
      <c r="N246" s="41">
        <f>dagwerk12</f>
        <v>0</v>
      </c>
      <c r="O246" s="95" t="s">
        <v>101</v>
      </c>
      <c r="P246" s="26">
        <f>uurtarief12</f>
        <v>0</v>
      </c>
      <c r="Q246" s="97" t="e">
        <f>IF(ISBLANK(M246),0,L246/ROUND(M246,4))</f>
        <v>#DIV/0!</v>
      </c>
      <c r="R246" s="97" t="e">
        <f>IF(ISBLANK(M246),0,Q246*ROUND(N246,2))</f>
        <v>#DIV/0!</v>
      </c>
      <c r="S246" s="26" t="e">
        <f>ROUND(P246,2)*Q246</f>
        <v>#DIV/0!</v>
      </c>
      <c r="T246" s="97" t="e">
        <f>Q246*dagenperjaar1</f>
        <v>#DIV/0!</v>
      </c>
      <c r="U246" s="27" t="e">
        <f>T246*ROUND(P246,2)</f>
        <v>#DIV/0!</v>
      </c>
    </row>
    <row r="247" spans="1:21" x14ac:dyDescent="0.2">
      <c r="A247" s="94" t="s">
        <v>243</v>
      </c>
      <c r="B247" s="95" t="s">
        <v>35</v>
      </c>
      <c r="C247" s="95" t="s">
        <v>498</v>
      </c>
      <c r="D247" s="95" t="s">
        <v>581</v>
      </c>
      <c r="E247" s="96" t="s">
        <v>289</v>
      </c>
      <c r="F247" s="95" t="s">
        <v>253</v>
      </c>
      <c r="G247" s="95" t="s">
        <v>192</v>
      </c>
      <c r="H247" s="95" t="s">
        <v>9</v>
      </c>
      <c r="I247" s="95" t="s">
        <v>190</v>
      </c>
      <c r="J247" s="96" t="s">
        <v>193</v>
      </c>
      <c r="K247" s="97">
        <v>31.32</v>
      </c>
      <c r="L247" s="97">
        <f>K247*VLOOKUP(H247,dagsoorttabel1,2,FALSE)</f>
        <v>31.32</v>
      </c>
      <c r="M247" s="98">
        <f>prodnorm12</f>
        <v>0</v>
      </c>
      <c r="N247" s="41">
        <f>dagwerk12</f>
        <v>0</v>
      </c>
      <c r="O247" s="95" t="s">
        <v>101</v>
      </c>
      <c r="P247" s="26">
        <f>uurtarief12</f>
        <v>0</v>
      </c>
      <c r="Q247" s="97" t="e">
        <f>IF(ISBLANK(M247),0,L247/ROUND(M247,4))</f>
        <v>#DIV/0!</v>
      </c>
      <c r="R247" s="97" t="e">
        <f>IF(ISBLANK(M247),0,Q247*ROUND(N247,2))</f>
        <v>#DIV/0!</v>
      </c>
      <c r="S247" s="26" t="e">
        <f>ROUND(P247,2)*Q247</f>
        <v>#DIV/0!</v>
      </c>
      <c r="T247" s="97" t="e">
        <f>Q247*dagenperjaar1</f>
        <v>#DIV/0!</v>
      </c>
      <c r="U247" s="27" t="e">
        <f>T247*ROUND(P247,2)</f>
        <v>#DIV/0!</v>
      </c>
    </row>
    <row r="248" spans="1:21" x14ac:dyDescent="0.2">
      <c r="A248" s="94" t="s">
        <v>243</v>
      </c>
      <c r="B248" s="95" t="s">
        <v>35</v>
      </c>
      <c r="C248" s="95" t="s">
        <v>498</v>
      </c>
      <c r="D248" s="95" t="s">
        <v>582</v>
      </c>
      <c r="E248" s="96" t="s">
        <v>289</v>
      </c>
      <c r="F248" s="95" t="s">
        <v>253</v>
      </c>
      <c r="G248" s="95" t="s">
        <v>192</v>
      </c>
      <c r="H248" s="95" t="s">
        <v>9</v>
      </c>
      <c r="I248" s="95" t="s">
        <v>190</v>
      </c>
      <c r="J248" s="96" t="s">
        <v>193</v>
      </c>
      <c r="K248" s="97">
        <v>7.26</v>
      </c>
      <c r="L248" s="97">
        <f>K248*VLOOKUP(H248,dagsoorttabel1,2,FALSE)</f>
        <v>7.26</v>
      </c>
      <c r="M248" s="98">
        <f>prodnorm12</f>
        <v>0</v>
      </c>
      <c r="N248" s="41">
        <f>dagwerk12</f>
        <v>0</v>
      </c>
      <c r="O248" s="95" t="s">
        <v>101</v>
      </c>
      <c r="P248" s="26">
        <f>uurtarief12</f>
        <v>0</v>
      </c>
      <c r="Q248" s="97" t="e">
        <f>IF(ISBLANK(M248),0,L248/ROUND(M248,4))</f>
        <v>#DIV/0!</v>
      </c>
      <c r="R248" s="97" t="e">
        <f>IF(ISBLANK(M248),0,Q248*ROUND(N248,2))</f>
        <v>#DIV/0!</v>
      </c>
      <c r="S248" s="26" t="e">
        <f>ROUND(P248,2)*Q248</f>
        <v>#DIV/0!</v>
      </c>
      <c r="T248" s="97" t="e">
        <f>Q248*dagenperjaar1</f>
        <v>#DIV/0!</v>
      </c>
      <c r="U248" s="27" t="e">
        <f>T248*ROUND(P248,2)</f>
        <v>#DIV/0!</v>
      </c>
    </row>
    <row r="249" spans="1:21" x14ac:dyDescent="0.2">
      <c r="A249" s="94" t="s">
        <v>243</v>
      </c>
      <c r="B249" s="95" t="s">
        <v>35</v>
      </c>
      <c r="C249" s="95" t="s">
        <v>498</v>
      </c>
      <c r="D249" s="95" t="s">
        <v>583</v>
      </c>
      <c r="E249" s="96" t="s">
        <v>289</v>
      </c>
      <c r="F249" s="95" t="s">
        <v>253</v>
      </c>
      <c r="G249" s="95" t="s">
        <v>192</v>
      </c>
      <c r="H249" s="95" t="s">
        <v>9</v>
      </c>
      <c r="I249" s="95" t="s">
        <v>190</v>
      </c>
      <c r="J249" s="96" t="s">
        <v>193</v>
      </c>
      <c r="K249" s="97">
        <v>31.32</v>
      </c>
      <c r="L249" s="97">
        <f>K249*VLOOKUP(H249,dagsoorttabel1,2,FALSE)</f>
        <v>31.32</v>
      </c>
      <c r="M249" s="98">
        <f>prodnorm12</f>
        <v>0</v>
      </c>
      <c r="N249" s="41">
        <f>dagwerk12</f>
        <v>0</v>
      </c>
      <c r="O249" s="95" t="s">
        <v>101</v>
      </c>
      <c r="P249" s="26">
        <f>uurtarief12</f>
        <v>0</v>
      </c>
      <c r="Q249" s="97" t="e">
        <f>IF(ISBLANK(M249),0,L249/ROUND(M249,4))</f>
        <v>#DIV/0!</v>
      </c>
      <c r="R249" s="97" t="e">
        <f>IF(ISBLANK(M249),0,Q249*ROUND(N249,2))</f>
        <v>#DIV/0!</v>
      </c>
      <c r="S249" s="26" t="e">
        <f>ROUND(P249,2)*Q249</f>
        <v>#DIV/0!</v>
      </c>
      <c r="T249" s="97" t="e">
        <f>Q249*dagenperjaar1</f>
        <v>#DIV/0!</v>
      </c>
      <c r="U249" s="27" t="e">
        <f>T249*ROUND(P249,2)</f>
        <v>#DIV/0!</v>
      </c>
    </row>
    <row r="250" spans="1:21" x14ac:dyDescent="0.2">
      <c r="A250" s="94" t="s">
        <v>243</v>
      </c>
      <c r="B250" s="95" t="s">
        <v>35</v>
      </c>
      <c r="C250" s="95" t="s">
        <v>498</v>
      </c>
      <c r="D250" s="95" t="s">
        <v>584</v>
      </c>
      <c r="E250" s="96" t="s">
        <v>289</v>
      </c>
      <c r="F250" s="95" t="s">
        <v>253</v>
      </c>
      <c r="G250" s="95" t="s">
        <v>192</v>
      </c>
      <c r="H250" s="95" t="s">
        <v>9</v>
      </c>
      <c r="I250" s="95" t="s">
        <v>190</v>
      </c>
      <c r="J250" s="96" t="s">
        <v>193</v>
      </c>
      <c r="K250" s="97">
        <v>7.26</v>
      </c>
      <c r="L250" s="97">
        <f>K250*VLOOKUP(H250,dagsoorttabel1,2,FALSE)</f>
        <v>7.26</v>
      </c>
      <c r="M250" s="98">
        <f>prodnorm12</f>
        <v>0</v>
      </c>
      <c r="N250" s="41">
        <f>dagwerk12</f>
        <v>0</v>
      </c>
      <c r="O250" s="95" t="s">
        <v>101</v>
      </c>
      <c r="P250" s="26">
        <f>uurtarief12</f>
        <v>0</v>
      </c>
      <c r="Q250" s="97" t="e">
        <f>IF(ISBLANK(M250),0,L250/ROUND(M250,4))</f>
        <v>#DIV/0!</v>
      </c>
      <c r="R250" s="97" t="e">
        <f>IF(ISBLANK(M250),0,Q250*ROUND(N250,2))</f>
        <v>#DIV/0!</v>
      </c>
      <c r="S250" s="26" t="e">
        <f>ROUND(P250,2)*Q250</f>
        <v>#DIV/0!</v>
      </c>
      <c r="T250" s="97" t="e">
        <f>Q250*dagenperjaar1</f>
        <v>#DIV/0!</v>
      </c>
      <c r="U250" s="27" t="e">
        <f>T250*ROUND(P250,2)</f>
        <v>#DIV/0!</v>
      </c>
    </row>
    <row r="251" spans="1:21" x14ac:dyDescent="0.2">
      <c r="A251" s="100" t="s">
        <v>243</v>
      </c>
      <c r="B251" s="101" t="s">
        <v>35</v>
      </c>
      <c r="C251" s="101" t="s">
        <v>498</v>
      </c>
      <c r="D251" s="101" t="s">
        <v>585</v>
      </c>
      <c r="E251" s="102" t="s">
        <v>289</v>
      </c>
      <c r="F251" s="101" t="s">
        <v>253</v>
      </c>
      <c r="G251" s="101" t="s">
        <v>192</v>
      </c>
      <c r="H251" s="101" t="s">
        <v>9</v>
      </c>
      <c r="I251" s="101" t="s">
        <v>190</v>
      </c>
      <c r="J251" s="102" t="s">
        <v>193</v>
      </c>
      <c r="K251" s="103">
        <v>30.24</v>
      </c>
      <c r="L251" s="103">
        <f>K251*VLOOKUP(H251,dagsoorttabel1,2,FALSE)</f>
        <v>30.24</v>
      </c>
      <c r="M251" s="104">
        <f>prodnorm12</f>
        <v>0</v>
      </c>
      <c r="N251" s="105">
        <f>dagwerk12</f>
        <v>0</v>
      </c>
      <c r="O251" s="101" t="s">
        <v>101</v>
      </c>
      <c r="P251" s="36">
        <f>uurtarief12</f>
        <v>0</v>
      </c>
      <c r="Q251" s="103" t="e">
        <f>IF(ISBLANK(M251),0,L251/ROUND(M251,4))</f>
        <v>#DIV/0!</v>
      </c>
      <c r="R251" s="103" t="e">
        <f>IF(ISBLANK(M251),0,Q251*ROUND(N251,2))</f>
        <v>#DIV/0!</v>
      </c>
      <c r="S251" s="36" t="e">
        <f>ROUND(P251,2)*Q251</f>
        <v>#DIV/0!</v>
      </c>
      <c r="T251" s="103" t="e">
        <f>Q251*dagenperjaar1</f>
        <v>#DIV/0!</v>
      </c>
      <c r="U251" s="37" t="e">
        <f>T251*ROUND(P251,2)</f>
        <v>#DIV/0!</v>
      </c>
    </row>
    <row r="252" spans="1:21" x14ac:dyDescent="0.2">
      <c r="A252" s="106" t="s">
        <v>586</v>
      </c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9" t="e">
        <f>IF(_xlfn.SINGLE(object1_urenjaar1)&gt;0,_xlfn.SINGLE(object1_prijsjaar1)/_xlfn.SINGLE(object1_urenjaar1),0)</f>
        <v>#DIV/0!</v>
      </c>
      <c r="Q252" s="78" t="e">
        <f>SUM(Q5:Q251)</f>
        <v>#DIV/0!</v>
      </c>
      <c r="R252" s="78" t="e">
        <f>SUM(R5:R251)</f>
        <v>#DIV/0!</v>
      </c>
      <c r="S252" s="79" t="e">
        <f>SUM(S5:S251)</f>
        <v>#DIV/0!</v>
      </c>
      <c r="T252" s="78" t="e">
        <f>SUM(T5:T251)</f>
        <v>#DIV/0!</v>
      </c>
      <c r="U252" s="80" t="e">
        <f>SUM(U5:U251)</f>
        <v>#DIV/0!</v>
      </c>
    </row>
    <row r="253" spans="1:21" x14ac:dyDescent="0.2">
      <c r="A253" s="85" t="s">
        <v>587</v>
      </c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75"/>
    </row>
    <row r="254" spans="1:21" x14ac:dyDescent="0.2">
      <c r="A254" s="86" t="s">
        <v>588</v>
      </c>
      <c r="B254" s="87" t="s">
        <v>35</v>
      </c>
      <c r="C254" s="87" t="s">
        <v>244</v>
      </c>
      <c r="D254" s="87" t="s">
        <v>589</v>
      </c>
      <c r="E254" s="88" t="s">
        <v>590</v>
      </c>
      <c r="F254" s="87" t="s">
        <v>591</v>
      </c>
      <c r="G254" s="87" t="s">
        <v>194</v>
      </c>
      <c r="H254" s="87" t="s">
        <v>9</v>
      </c>
      <c r="I254" s="87" t="s">
        <v>190</v>
      </c>
      <c r="J254" s="88" t="s">
        <v>195</v>
      </c>
      <c r="K254" s="89">
        <v>100</v>
      </c>
      <c r="L254" s="89">
        <f>K254*VLOOKUP(H254,dagsoorttabel1,2,FALSE)</f>
        <v>100</v>
      </c>
      <c r="M254" s="90">
        <f>prodnorm13</f>
        <v>0</v>
      </c>
      <c r="N254" s="91">
        <f>dagwerk13</f>
        <v>0</v>
      </c>
      <c r="O254" s="87" t="s">
        <v>101</v>
      </c>
      <c r="P254" s="92">
        <f>uurtarief13</f>
        <v>0</v>
      </c>
      <c r="Q254" s="89" t="e">
        <f>IF(ISBLANK(M254),0,L254/ROUND(M254,4))</f>
        <v>#DIV/0!</v>
      </c>
      <c r="R254" s="89" t="e">
        <f>IF(ISBLANK(M254),0,Q254*ROUND(N254,2))</f>
        <v>#DIV/0!</v>
      </c>
      <c r="S254" s="92" t="e">
        <f>ROUND(P254,2)*Q254</f>
        <v>#DIV/0!</v>
      </c>
      <c r="T254" s="89" t="e">
        <f>Q254*dagenperjaar1</f>
        <v>#DIV/0!</v>
      </c>
      <c r="U254" s="93" t="e">
        <f>T254*ROUND(P254,2)</f>
        <v>#DIV/0!</v>
      </c>
    </row>
    <row r="255" spans="1:21" ht="25.5" x14ac:dyDescent="0.2">
      <c r="A255" s="94" t="s">
        <v>588</v>
      </c>
      <c r="B255" s="95" t="s">
        <v>35</v>
      </c>
      <c r="C255" s="95" t="s">
        <v>244</v>
      </c>
      <c r="D255" s="95" t="s">
        <v>592</v>
      </c>
      <c r="E255" s="96" t="s">
        <v>590</v>
      </c>
      <c r="F255" s="95" t="s">
        <v>593</v>
      </c>
      <c r="G255" s="95" t="s">
        <v>196</v>
      </c>
      <c r="H255" s="95" t="s">
        <v>9</v>
      </c>
      <c r="I255" s="95" t="s">
        <v>190</v>
      </c>
      <c r="J255" s="96" t="s">
        <v>197</v>
      </c>
      <c r="K255" s="97">
        <v>97</v>
      </c>
      <c r="L255" s="97">
        <f>K255*VLOOKUP(H255,dagsoorttabel1,2,FALSE)</f>
        <v>97</v>
      </c>
      <c r="M255" s="98">
        <f>prodnorm15</f>
        <v>0</v>
      </c>
      <c r="N255" s="41">
        <f>dagwerk15</f>
        <v>0</v>
      </c>
      <c r="O255" s="95" t="s">
        <v>101</v>
      </c>
      <c r="P255" s="26">
        <f>uurtarief15</f>
        <v>0</v>
      </c>
      <c r="Q255" s="97" t="e">
        <f>IF(ISBLANK(M255),0,L255/ROUND(M255,4))</f>
        <v>#DIV/0!</v>
      </c>
      <c r="R255" s="97" t="e">
        <f>IF(ISBLANK(M255),0,Q255*ROUND(N255,2))</f>
        <v>#DIV/0!</v>
      </c>
      <c r="S255" s="26" t="e">
        <f>ROUND(P255,2)*Q255</f>
        <v>#DIV/0!</v>
      </c>
      <c r="T255" s="97" t="e">
        <f>Q255*dagenperjaar1</f>
        <v>#DIV/0!</v>
      </c>
      <c r="U255" s="27" t="e">
        <f>T255*ROUND(P255,2)</f>
        <v>#DIV/0!</v>
      </c>
    </row>
    <row r="256" spans="1:21" x14ac:dyDescent="0.2">
      <c r="A256" s="94" t="s">
        <v>588</v>
      </c>
      <c r="B256" s="95" t="s">
        <v>35</v>
      </c>
      <c r="C256" s="95" t="s">
        <v>244</v>
      </c>
      <c r="D256" s="95" t="s">
        <v>594</v>
      </c>
      <c r="E256" s="96" t="s">
        <v>285</v>
      </c>
      <c r="F256" s="95" t="s">
        <v>591</v>
      </c>
      <c r="G256" s="95" t="s">
        <v>281</v>
      </c>
      <c r="H256" s="95"/>
      <c r="I256" s="95"/>
      <c r="J256" s="95"/>
      <c r="K256" s="97">
        <v>12</v>
      </c>
      <c r="L256" s="97"/>
      <c r="M256" s="98"/>
      <c r="N256" s="41"/>
      <c r="O256" s="95"/>
      <c r="P256" s="26"/>
      <c r="Q256" s="97"/>
      <c r="R256" s="97"/>
      <c r="S256" s="26"/>
      <c r="T256" s="99"/>
      <c r="U256" s="27"/>
    </row>
    <row r="257" spans="1:21" ht="25.5" x14ac:dyDescent="0.2">
      <c r="A257" s="94" t="s">
        <v>588</v>
      </c>
      <c r="B257" s="95" t="s">
        <v>35</v>
      </c>
      <c r="C257" s="95" t="s">
        <v>244</v>
      </c>
      <c r="D257" s="95" t="s">
        <v>595</v>
      </c>
      <c r="E257" s="96" t="s">
        <v>596</v>
      </c>
      <c r="F257" s="95" t="s">
        <v>593</v>
      </c>
      <c r="G257" s="95" t="s">
        <v>200</v>
      </c>
      <c r="H257" s="95" t="s">
        <v>9</v>
      </c>
      <c r="I257" s="95" t="s">
        <v>190</v>
      </c>
      <c r="J257" s="96" t="s">
        <v>201</v>
      </c>
      <c r="K257" s="97">
        <v>90</v>
      </c>
      <c r="L257" s="97">
        <f>K257*VLOOKUP(H257,dagsoorttabel1,2,FALSE)</f>
        <v>90</v>
      </c>
      <c r="M257" s="98">
        <f>prodnorm17</f>
        <v>0</v>
      </c>
      <c r="N257" s="41">
        <f>dagwerk17</f>
        <v>0</v>
      </c>
      <c r="O257" s="95" t="s">
        <v>101</v>
      </c>
      <c r="P257" s="26">
        <f>uurtarief17</f>
        <v>0</v>
      </c>
      <c r="Q257" s="97" t="e">
        <f>IF(ISBLANK(M257),0,L257/ROUND(M257,4))</f>
        <v>#DIV/0!</v>
      </c>
      <c r="R257" s="97" t="e">
        <f>IF(ISBLANK(M257),0,Q257*ROUND(N257,2))</f>
        <v>#DIV/0!</v>
      </c>
      <c r="S257" s="26" t="e">
        <f>ROUND(P257,2)*Q257</f>
        <v>#DIV/0!</v>
      </c>
      <c r="T257" s="97" t="e">
        <f>Q257*dagenperjaar1</f>
        <v>#DIV/0!</v>
      </c>
      <c r="U257" s="27" t="e">
        <f>T257*ROUND(P257,2)</f>
        <v>#DIV/0!</v>
      </c>
    </row>
    <row r="258" spans="1:21" ht="25.5" x14ac:dyDescent="0.2">
      <c r="A258" s="94" t="s">
        <v>588</v>
      </c>
      <c r="B258" s="95" t="s">
        <v>35</v>
      </c>
      <c r="C258" s="95" t="s">
        <v>244</v>
      </c>
      <c r="D258" s="95" t="s">
        <v>597</v>
      </c>
      <c r="E258" s="96" t="s">
        <v>596</v>
      </c>
      <c r="F258" s="95" t="s">
        <v>598</v>
      </c>
      <c r="G258" s="95" t="s">
        <v>198</v>
      </c>
      <c r="H258" s="95" t="s">
        <v>9</v>
      </c>
      <c r="I258" s="95" t="s">
        <v>190</v>
      </c>
      <c r="J258" s="96" t="s">
        <v>199</v>
      </c>
      <c r="K258" s="97">
        <v>83</v>
      </c>
      <c r="L258" s="97">
        <f>K258*VLOOKUP(H258,dagsoorttabel1,2,FALSE)</f>
        <v>83</v>
      </c>
      <c r="M258" s="98">
        <f>prodnorm16</f>
        <v>0</v>
      </c>
      <c r="N258" s="41">
        <f>dagwerk16</f>
        <v>0</v>
      </c>
      <c r="O258" s="95" t="s">
        <v>101</v>
      </c>
      <c r="P258" s="26">
        <f>uurtarief16</f>
        <v>0</v>
      </c>
      <c r="Q258" s="97" t="e">
        <f>IF(ISBLANK(M258),0,L258/ROUND(M258,4))</f>
        <v>#DIV/0!</v>
      </c>
      <c r="R258" s="97" t="e">
        <f>IF(ISBLANK(M258),0,Q258*ROUND(N258,2))</f>
        <v>#DIV/0!</v>
      </c>
      <c r="S258" s="26" t="e">
        <f>ROUND(P258,2)*Q258</f>
        <v>#DIV/0!</v>
      </c>
      <c r="T258" s="97" t="e">
        <f>Q258*dagenperjaar1</f>
        <v>#DIV/0!</v>
      </c>
      <c r="U258" s="27" t="e">
        <f>T258*ROUND(P258,2)</f>
        <v>#DIV/0!</v>
      </c>
    </row>
    <row r="259" spans="1:21" x14ac:dyDescent="0.2">
      <c r="A259" s="94" t="s">
        <v>588</v>
      </c>
      <c r="B259" s="95" t="s">
        <v>35</v>
      </c>
      <c r="C259" s="95" t="s">
        <v>244</v>
      </c>
      <c r="D259" s="95" t="s">
        <v>599</v>
      </c>
      <c r="E259" s="96" t="s">
        <v>600</v>
      </c>
      <c r="F259" s="95" t="s">
        <v>601</v>
      </c>
      <c r="G259" s="95" t="s">
        <v>216</v>
      </c>
      <c r="H259" s="95" t="s">
        <v>9</v>
      </c>
      <c r="I259" s="95" t="s">
        <v>190</v>
      </c>
      <c r="J259" s="96" t="s">
        <v>217</v>
      </c>
      <c r="K259" s="97">
        <v>55</v>
      </c>
      <c r="L259" s="97">
        <f>K259*VLOOKUP(H259,dagsoorttabel1,2,FALSE)</f>
        <v>55</v>
      </c>
      <c r="M259" s="98">
        <f>prodnorm25</f>
        <v>0</v>
      </c>
      <c r="N259" s="41">
        <f>dagwerk25</f>
        <v>0</v>
      </c>
      <c r="O259" s="95" t="s">
        <v>101</v>
      </c>
      <c r="P259" s="26">
        <f>uurtarief25</f>
        <v>0</v>
      </c>
      <c r="Q259" s="97" t="e">
        <f>IF(ISBLANK(M259),0,L259/ROUND(M259,4))</f>
        <v>#DIV/0!</v>
      </c>
      <c r="R259" s="97" t="e">
        <f>IF(ISBLANK(M259),0,Q259*ROUND(N259,2))</f>
        <v>#DIV/0!</v>
      </c>
      <c r="S259" s="26" t="e">
        <f>ROUND(P259,2)*Q259</f>
        <v>#DIV/0!</v>
      </c>
      <c r="T259" s="97" t="e">
        <f>Q259*dagenperjaar1</f>
        <v>#DIV/0!</v>
      </c>
      <c r="U259" s="27" t="e">
        <f>T259*ROUND(P259,2)</f>
        <v>#DIV/0!</v>
      </c>
    </row>
    <row r="260" spans="1:21" x14ac:dyDescent="0.2">
      <c r="A260" s="94" t="s">
        <v>588</v>
      </c>
      <c r="B260" s="95" t="s">
        <v>35</v>
      </c>
      <c r="C260" s="95" t="s">
        <v>244</v>
      </c>
      <c r="D260" s="95" t="s">
        <v>602</v>
      </c>
      <c r="E260" s="96" t="s">
        <v>600</v>
      </c>
      <c r="F260" s="95" t="s">
        <v>593</v>
      </c>
      <c r="G260" s="95" t="s">
        <v>218</v>
      </c>
      <c r="H260" s="95" t="s">
        <v>9</v>
      </c>
      <c r="I260" s="95" t="s">
        <v>190</v>
      </c>
      <c r="J260" s="96" t="s">
        <v>219</v>
      </c>
      <c r="K260" s="97">
        <v>55</v>
      </c>
      <c r="L260" s="97">
        <f>K260*VLOOKUP(H260,dagsoorttabel1,2,FALSE)</f>
        <v>55</v>
      </c>
      <c r="M260" s="98">
        <f>prodnorm26</f>
        <v>0</v>
      </c>
      <c r="N260" s="41">
        <f>dagwerk26</f>
        <v>0</v>
      </c>
      <c r="O260" s="95" t="s">
        <v>101</v>
      </c>
      <c r="P260" s="26">
        <f>uurtarief26</f>
        <v>0</v>
      </c>
      <c r="Q260" s="97" t="e">
        <f>IF(ISBLANK(M260),0,L260/ROUND(M260,4))</f>
        <v>#DIV/0!</v>
      </c>
      <c r="R260" s="97" t="e">
        <f>IF(ISBLANK(M260),0,Q260*ROUND(N260,2))</f>
        <v>#DIV/0!</v>
      </c>
      <c r="S260" s="26" t="e">
        <f>ROUND(P260,2)*Q260</f>
        <v>#DIV/0!</v>
      </c>
      <c r="T260" s="97" t="e">
        <f>Q260*dagenperjaar1</f>
        <v>#DIV/0!</v>
      </c>
      <c r="U260" s="27" t="e">
        <f>T260*ROUND(P260,2)</f>
        <v>#DIV/0!</v>
      </c>
    </row>
    <row r="261" spans="1:21" x14ac:dyDescent="0.2">
      <c r="A261" s="94" t="s">
        <v>588</v>
      </c>
      <c r="B261" s="95" t="s">
        <v>35</v>
      </c>
      <c r="C261" s="95" t="s">
        <v>244</v>
      </c>
      <c r="D261" s="95" t="s">
        <v>603</v>
      </c>
      <c r="E261" s="96" t="s">
        <v>604</v>
      </c>
      <c r="F261" s="95" t="s">
        <v>591</v>
      </c>
      <c r="G261" s="95" t="s">
        <v>189</v>
      </c>
      <c r="H261" s="95" t="s">
        <v>9</v>
      </c>
      <c r="I261" s="95" t="s">
        <v>190</v>
      </c>
      <c r="J261" s="96" t="s">
        <v>191</v>
      </c>
      <c r="K261" s="97">
        <v>15</v>
      </c>
      <c r="L261" s="97">
        <f>K261*VLOOKUP(H261,dagsoorttabel1,2,FALSE)</f>
        <v>15</v>
      </c>
      <c r="M261" s="98">
        <f>prodnorm11</f>
        <v>0</v>
      </c>
      <c r="N261" s="41">
        <f>dagwerk11</f>
        <v>0</v>
      </c>
      <c r="O261" s="95" t="s">
        <v>101</v>
      </c>
      <c r="P261" s="26">
        <f>uurtarief11</f>
        <v>0</v>
      </c>
      <c r="Q261" s="97" t="e">
        <f>IF(ISBLANK(M261),0,L261/ROUND(M261,4))</f>
        <v>#DIV/0!</v>
      </c>
      <c r="R261" s="97" t="e">
        <f>IF(ISBLANK(M261),0,Q261*ROUND(N261,2))</f>
        <v>#DIV/0!</v>
      </c>
      <c r="S261" s="26" t="e">
        <f>ROUND(P261,2)*Q261</f>
        <v>#DIV/0!</v>
      </c>
      <c r="T261" s="97" t="e">
        <f>Q261*dagenperjaar1</f>
        <v>#DIV/0!</v>
      </c>
      <c r="U261" s="27" t="e">
        <f>T261*ROUND(P261,2)</f>
        <v>#DIV/0!</v>
      </c>
    </row>
    <row r="262" spans="1:21" x14ac:dyDescent="0.2">
      <c r="A262" s="94" t="s">
        <v>588</v>
      </c>
      <c r="B262" s="95" t="s">
        <v>35</v>
      </c>
      <c r="C262" s="95" t="s">
        <v>244</v>
      </c>
      <c r="D262" s="95" t="s">
        <v>605</v>
      </c>
      <c r="E262" s="96" t="s">
        <v>606</v>
      </c>
      <c r="F262" s="95" t="s">
        <v>591</v>
      </c>
      <c r="G262" s="95" t="s">
        <v>189</v>
      </c>
      <c r="H262" s="95" t="s">
        <v>9</v>
      </c>
      <c r="I262" s="95" t="s">
        <v>190</v>
      </c>
      <c r="J262" s="96" t="s">
        <v>191</v>
      </c>
      <c r="K262" s="97">
        <v>30</v>
      </c>
      <c r="L262" s="97">
        <f>K262*VLOOKUP(H262,dagsoorttabel1,2,FALSE)</f>
        <v>30</v>
      </c>
      <c r="M262" s="98">
        <f>prodnorm11</f>
        <v>0</v>
      </c>
      <c r="N262" s="41">
        <f>dagwerk11</f>
        <v>0</v>
      </c>
      <c r="O262" s="95" t="s">
        <v>101</v>
      </c>
      <c r="P262" s="26">
        <f>uurtarief11</f>
        <v>0</v>
      </c>
      <c r="Q262" s="97" t="e">
        <f>IF(ISBLANK(M262),0,L262/ROUND(M262,4))</f>
        <v>#DIV/0!</v>
      </c>
      <c r="R262" s="97" t="e">
        <f>IF(ISBLANK(M262),0,Q262*ROUND(N262,2))</f>
        <v>#DIV/0!</v>
      </c>
      <c r="S262" s="26" t="e">
        <f>ROUND(P262,2)*Q262</f>
        <v>#DIV/0!</v>
      </c>
      <c r="T262" s="97" t="e">
        <f>Q262*dagenperjaar1</f>
        <v>#DIV/0!</v>
      </c>
      <c r="U262" s="27" t="e">
        <f>T262*ROUND(P262,2)</f>
        <v>#DIV/0!</v>
      </c>
    </row>
    <row r="263" spans="1:21" ht="25.5" x14ac:dyDescent="0.2">
      <c r="A263" s="94" t="s">
        <v>588</v>
      </c>
      <c r="B263" s="95" t="s">
        <v>35</v>
      </c>
      <c r="C263" s="95" t="s">
        <v>244</v>
      </c>
      <c r="D263" s="95" t="s">
        <v>607</v>
      </c>
      <c r="E263" s="96" t="s">
        <v>608</v>
      </c>
      <c r="F263" s="95" t="s">
        <v>591</v>
      </c>
      <c r="G263" s="95" t="s">
        <v>198</v>
      </c>
      <c r="H263" s="95" t="s">
        <v>9</v>
      </c>
      <c r="I263" s="95" t="s">
        <v>190</v>
      </c>
      <c r="J263" s="96" t="s">
        <v>199</v>
      </c>
      <c r="K263" s="97">
        <v>53</v>
      </c>
      <c r="L263" s="97">
        <f>K263*VLOOKUP(H263,dagsoorttabel1,2,FALSE)</f>
        <v>53</v>
      </c>
      <c r="M263" s="98">
        <f>prodnorm16</f>
        <v>0</v>
      </c>
      <c r="N263" s="41">
        <f>dagwerk16</f>
        <v>0</v>
      </c>
      <c r="O263" s="95" t="s">
        <v>101</v>
      </c>
      <c r="P263" s="26">
        <f>uurtarief16</f>
        <v>0</v>
      </c>
      <c r="Q263" s="97" t="e">
        <f>IF(ISBLANK(M263),0,L263/ROUND(M263,4))</f>
        <v>#DIV/0!</v>
      </c>
      <c r="R263" s="97" t="e">
        <f>IF(ISBLANK(M263),0,Q263*ROUND(N263,2))</f>
        <v>#DIV/0!</v>
      </c>
      <c r="S263" s="26" t="e">
        <f>ROUND(P263,2)*Q263</f>
        <v>#DIV/0!</v>
      </c>
      <c r="T263" s="97" t="e">
        <f>Q263*dagenperjaar1</f>
        <v>#DIV/0!</v>
      </c>
      <c r="U263" s="27" t="e">
        <f>T263*ROUND(P263,2)</f>
        <v>#DIV/0!</v>
      </c>
    </row>
    <row r="264" spans="1:21" x14ac:dyDescent="0.2">
      <c r="A264" s="94" t="s">
        <v>588</v>
      </c>
      <c r="B264" s="95" t="s">
        <v>35</v>
      </c>
      <c r="C264" s="95" t="s">
        <v>244</v>
      </c>
      <c r="D264" s="95" t="s">
        <v>609</v>
      </c>
      <c r="E264" s="96" t="s">
        <v>272</v>
      </c>
      <c r="F264" s="95" t="s">
        <v>591</v>
      </c>
      <c r="G264" s="95" t="s">
        <v>216</v>
      </c>
      <c r="H264" s="95" t="s">
        <v>9</v>
      </c>
      <c r="I264" s="95" t="s">
        <v>190</v>
      </c>
      <c r="J264" s="96" t="s">
        <v>217</v>
      </c>
      <c r="K264" s="97">
        <v>24</v>
      </c>
      <c r="L264" s="97">
        <f>K264*VLOOKUP(H264,dagsoorttabel1,2,FALSE)</f>
        <v>24</v>
      </c>
      <c r="M264" s="98">
        <f>prodnorm25</f>
        <v>0</v>
      </c>
      <c r="N264" s="41">
        <f>dagwerk25</f>
        <v>0</v>
      </c>
      <c r="O264" s="95" t="s">
        <v>101</v>
      </c>
      <c r="P264" s="26">
        <f>uurtarief25</f>
        <v>0</v>
      </c>
      <c r="Q264" s="97" t="e">
        <f>IF(ISBLANK(M264),0,L264/ROUND(M264,4))</f>
        <v>#DIV/0!</v>
      </c>
      <c r="R264" s="97" t="e">
        <f>IF(ISBLANK(M264),0,Q264*ROUND(N264,2))</f>
        <v>#DIV/0!</v>
      </c>
      <c r="S264" s="26" t="e">
        <f>ROUND(P264,2)*Q264</f>
        <v>#DIV/0!</v>
      </c>
      <c r="T264" s="97" t="e">
        <f>Q264*dagenperjaar1</f>
        <v>#DIV/0!</v>
      </c>
      <c r="U264" s="27" t="e">
        <f>T264*ROUND(P264,2)</f>
        <v>#DIV/0!</v>
      </c>
    </row>
    <row r="265" spans="1:21" x14ac:dyDescent="0.2">
      <c r="A265" s="94" t="s">
        <v>588</v>
      </c>
      <c r="B265" s="95" t="s">
        <v>35</v>
      </c>
      <c r="C265" s="95" t="s">
        <v>244</v>
      </c>
      <c r="D265" s="95" t="s">
        <v>610</v>
      </c>
      <c r="E265" s="96" t="s">
        <v>611</v>
      </c>
      <c r="F265" s="95" t="s">
        <v>591</v>
      </c>
      <c r="G265" s="95" t="s">
        <v>281</v>
      </c>
      <c r="H265" s="95"/>
      <c r="I265" s="95"/>
      <c r="J265" s="95"/>
      <c r="K265" s="97">
        <v>3</v>
      </c>
      <c r="L265" s="97"/>
      <c r="M265" s="98"/>
      <c r="N265" s="41"/>
      <c r="O265" s="95"/>
      <c r="P265" s="26"/>
      <c r="Q265" s="97"/>
      <c r="R265" s="97"/>
      <c r="S265" s="26"/>
      <c r="T265" s="99"/>
      <c r="U265" s="27"/>
    </row>
    <row r="266" spans="1:21" ht="25.5" x14ac:dyDescent="0.2">
      <c r="A266" s="94" t="s">
        <v>588</v>
      </c>
      <c r="B266" s="95" t="s">
        <v>35</v>
      </c>
      <c r="C266" s="95" t="s">
        <v>244</v>
      </c>
      <c r="D266" s="95" t="s">
        <v>612</v>
      </c>
      <c r="E266" s="96" t="s">
        <v>262</v>
      </c>
      <c r="F266" s="95" t="s">
        <v>591</v>
      </c>
      <c r="G266" s="95" t="s">
        <v>198</v>
      </c>
      <c r="H266" s="95" t="s">
        <v>9</v>
      </c>
      <c r="I266" s="95" t="s">
        <v>190</v>
      </c>
      <c r="J266" s="96" t="s">
        <v>199</v>
      </c>
      <c r="K266" s="97">
        <v>9</v>
      </c>
      <c r="L266" s="97">
        <f>K266*VLOOKUP(H266,dagsoorttabel1,2,FALSE)</f>
        <v>9</v>
      </c>
      <c r="M266" s="98">
        <f>prodnorm16</f>
        <v>0</v>
      </c>
      <c r="N266" s="41">
        <f>dagwerk16</f>
        <v>0</v>
      </c>
      <c r="O266" s="95" t="s">
        <v>101</v>
      </c>
      <c r="P266" s="26">
        <f>uurtarief16</f>
        <v>0</v>
      </c>
      <c r="Q266" s="97" t="e">
        <f>IF(ISBLANK(M266),0,L266/ROUND(M266,4))</f>
        <v>#DIV/0!</v>
      </c>
      <c r="R266" s="97" t="e">
        <f>IF(ISBLANK(M266),0,Q266*ROUND(N266,2))</f>
        <v>#DIV/0!</v>
      </c>
      <c r="S266" s="26" t="e">
        <f>ROUND(P266,2)*Q266</f>
        <v>#DIV/0!</v>
      </c>
      <c r="T266" s="97" t="e">
        <f>Q266*dagenperjaar1</f>
        <v>#DIV/0!</v>
      </c>
      <c r="U266" s="27" t="e">
        <f>T266*ROUND(P266,2)</f>
        <v>#DIV/0!</v>
      </c>
    </row>
    <row r="267" spans="1:21" ht="25.5" x14ac:dyDescent="0.2">
      <c r="A267" s="94" t="s">
        <v>588</v>
      </c>
      <c r="B267" s="95" t="s">
        <v>35</v>
      </c>
      <c r="C267" s="95" t="s">
        <v>244</v>
      </c>
      <c r="D267" s="95" t="s">
        <v>613</v>
      </c>
      <c r="E267" s="96" t="s">
        <v>262</v>
      </c>
      <c r="F267" s="95" t="s">
        <v>593</v>
      </c>
      <c r="G267" s="95" t="s">
        <v>200</v>
      </c>
      <c r="H267" s="95" t="s">
        <v>9</v>
      </c>
      <c r="I267" s="95" t="s">
        <v>190</v>
      </c>
      <c r="J267" s="96" t="s">
        <v>201</v>
      </c>
      <c r="K267" s="97">
        <v>9</v>
      </c>
      <c r="L267" s="97">
        <f>K267*VLOOKUP(H267,dagsoorttabel1,2,FALSE)</f>
        <v>9</v>
      </c>
      <c r="M267" s="98">
        <f>prodnorm17</f>
        <v>0</v>
      </c>
      <c r="N267" s="41">
        <f>dagwerk17</f>
        <v>0</v>
      </c>
      <c r="O267" s="95" t="s">
        <v>101</v>
      </c>
      <c r="P267" s="26">
        <f>uurtarief17</f>
        <v>0</v>
      </c>
      <c r="Q267" s="97" t="e">
        <f>IF(ISBLANK(M267),0,L267/ROUND(M267,4))</f>
        <v>#DIV/0!</v>
      </c>
      <c r="R267" s="97" t="e">
        <f>IF(ISBLANK(M267),0,Q267*ROUND(N267,2))</f>
        <v>#DIV/0!</v>
      </c>
      <c r="S267" s="26" t="e">
        <f>ROUND(P267,2)*Q267</f>
        <v>#DIV/0!</v>
      </c>
      <c r="T267" s="97" t="e">
        <f>Q267*dagenperjaar1</f>
        <v>#DIV/0!</v>
      </c>
      <c r="U267" s="27" t="e">
        <f>T267*ROUND(P267,2)</f>
        <v>#DIV/0!</v>
      </c>
    </row>
    <row r="268" spans="1:21" x14ac:dyDescent="0.2">
      <c r="A268" s="94" t="s">
        <v>588</v>
      </c>
      <c r="B268" s="95" t="s">
        <v>35</v>
      </c>
      <c r="C268" s="95" t="s">
        <v>244</v>
      </c>
      <c r="D268" s="95" t="s">
        <v>614</v>
      </c>
      <c r="E268" s="96" t="s">
        <v>615</v>
      </c>
      <c r="F268" s="95" t="s">
        <v>591</v>
      </c>
      <c r="G268" s="95" t="s">
        <v>189</v>
      </c>
      <c r="H268" s="95" t="s">
        <v>9</v>
      </c>
      <c r="I268" s="95" t="s">
        <v>190</v>
      </c>
      <c r="J268" s="96" t="s">
        <v>191</v>
      </c>
      <c r="K268" s="97">
        <v>25</v>
      </c>
      <c r="L268" s="97">
        <f>K268*VLOOKUP(H268,dagsoorttabel1,2,FALSE)</f>
        <v>25</v>
      </c>
      <c r="M268" s="98">
        <f>prodnorm11</f>
        <v>0</v>
      </c>
      <c r="N268" s="41">
        <f>dagwerk11</f>
        <v>0</v>
      </c>
      <c r="O268" s="95" t="s">
        <v>101</v>
      </c>
      <c r="P268" s="26">
        <f>uurtarief11</f>
        <v>0</v>
      </c>
      <c r="Q268" s="97" t="e">
        <f>IF(ISBLANK(M268),0,L268/ROUND(M268,4))</f>
        <v>#DIV/0!</v>
      </c>
      <c r="R268" s="97" t="e">
        <f>IF(ISBLANK(M268),0,Q268*ROUND(N268,2))</f>
        <v>#DIV/0!</v>
      </c>
      <c r="S268" s="26" t="e">
        <f>ROUND(P268,2)*Q268</f>
        <v>#DIV/0!</v>
      </c>
      <c r="T268" s="97" t="e">
        <f>Q268*dagenperjaar1</f>
        <v>#DIV/0!</v>
      </c>
      <c r="U268" s="27" t="e">
        <f>T268*ROUND(P268,2)</f>
        <v>#DIV/0!</v>
      </c>
    </row>
    <row r="269" spans="1:21" x14ac:dyDescent="0.2">
      <c r="A269" s="94" t="s">
        <v>588</v>
      </c>
      <c r="B269" s="95" t="s">
        <v>35</v>
      </c>
      <c r="C269" s="95" t="s">
        <v>244</v>
      </c>
      <c r="D269" s="95" t="s">
        <v>616</v>
      </c>
      <c r="E269" s="96" t="s">
        <v>617</v>
      </c>
      <c r="F269" s="95" t="s">
        <v>598</v>
      </c>
      <c r="G269" s="95" t="s">
        <v>216</v>
      </c>
      <c r="H269" s="95" t="s">
        <v>9</v>
      </c>
      <c r="I269" s="95" t="s">
        <v>190</v>
      </c>
      <c r="J269" s="96" t="s">
        <v>217</v>
      </c>
      <c r="K269" s="97">
        <v>14</v>
      </c>
      <c r="L269" s="97">
        <f>K269*VLOOKUP(H269,dagsoorttabel1,2,FALSE)</f>
        <v>14</v>
      </c>
      <c r="M269" s="98">
        <f>prodnorm25</f>
        <v>0</v>
      </c>
      <c r="N269" s="41">
        <f>dagwerk25</f>
        <v>0</v>
      </c>
      <c r="O269" s="95" t="s">
        <v>101</v>
      </c>
      <c r="P269" s="26">
        <f>uurtarief25</f>
        <v>0</v>
      </c>
      <c r="Q269" s="97" t="e">
        <f>IF(ISBLANK(M269),0,L269/ROUND(M269,4))</f>
        <v>#DIV/0!</v>
      </c>
      <c r="R269" s="97" t="e">
        <f>IF(ISBLANK(M269),0,Q269*ROUND(N269,2))</f>
        <v>#DIV/0!</v>
      </c>
      <c r="S269" s="26" t="e">
        <f>ROUND(P269,2)*Q269</f>
        <v>#DIV/0!</v>
      </c>
      <c r="T269" s="97" t="e">
        <f>Q269*dagenperjaar1</f>
        <v>#DIV/0!</v>
      </c>
      <c r="U269" s="27" t="e">
        <f>T269*ROUND(P269,2)</f>
        <v>#DIV/0!</v>
      </c>
    </row>
    <row r="270" spans="1:21" x14ac:dyDescent="0.2">
      <c r="A270" s="94" t="s">
        <v>588</v>
      </c>
      <c r="B270" s="95" t="s">
        <v>35</v>
      </c>
      <c r="C270" s="95" t="s">
        <v>244</v>
      </c>
      <c r="D270" s="95" t="s">
        <v>618</v>
      </c>
      <c r="E270" s="96" t="s">
        <v>272</v>
      </c>
      <c r="F270" s="95" t="s">
        <v>598</v>
      </c>
      <c r="G270" s="95" t="s">
        <v>216</v>
      </c>
      <c r="H270" s="95" t="s">
        <v>9</v>
      </c>
      <c r="I270" s="95" t="s">
        <v>190</v>
      </c>
      <c r="J270" s="96" t="s">
        <v>217</v>
      </c>
      <c r="K270" s="97">
        <v>25</v>
      </c>
      <c r="L270" s="97">
        <f>K270*VLOOKUP(H270,dagsoorttabel1,2,FALSE)</f>
        <v>25</v>
      </c>
      <c r="M270" s="98">
        <f>prodnorm25</f>
        <v>0</v>
      </c>
      <c r="N270" s="41">
        <f>dagwerk25</f>
        <v>0</v>
      </c>
      <c r="O270" s="95" t="s">
        <v>101</v>
      </c>
      <c r="P270" s="26">
        <f>uurtarief25</f>
        <v>0</v>
      </c>
      <c r="Q270" s="97" t="e">
        <f>IF(ISBLANK(M270),0,L270/ROUND(M270,4))</f>
        <v>#DIV/0!</v>
      </c>
      <c r="R270" s="97" t="e">
        <f>IF(ISBLANK(M270),0,Q270*ROUND(N270,2))</f>
        <v>#DIV/0!</v>
      </c>
      <c r="S270" s="26" t="e">
        <f>ROUND(P270,2)*Q270</f>
        <v>#DIV/0!</v>
      </c>
      <c r="T270" s="97" t="e">
        <f>Q270*dagenperjaar1</f>
        <v>#DIV/0!</v>
      </c>
      <c r="U270" s="27" t="e">
        <f>T270*ROUND(P270,2)</f>
        <v>#DIV/0!</v>
      </c>
    </row>
    <row r="271" spans="1:21" x14ac:dyDescent="0.2">
      <c r="A271" s="94" t="s">
        <v>588</v>
      </c>
      <c r="B271" s="95" t="s">
        <v>35</v>
      </c>
      <c r="C271" s="95" t="s">
        <v>244</v>
      </c>
      <c r="D271" s="95" t="s">
        <v>619</v>
      </c>
      <c r="E271" s="96" t="s">
        <v>620</v>
      </c>
      <c r="F271" s="95" t="s">
        <v>598</v>
      </c>
      <c r="G271" s="95" t="s">
        <v>214</v>
      </c>
      <c r="H271" s="95" t="s">
        <v>9</v>
      </c>
      <c r="I271" s="95" t="s">
        <v>190</v>
      </c>
      <c r="J271" s="96" t="s">
        <v>215</v>
      </c>
      <c r="K271" s="97">
        <v>8</v>
      </c>
      <c r="L271" s="97">
        <f>K271*VLOOKUP(H271,dagsoorttabel1,2,FALSE)</f>
        <v>8</v>
      </c>
      <c r="M271" s="98">
        <f>prodnorm24</f>
        <v>0</v>
      </c>
      <c r="N271" s="41">
        <f>dagwerk24</f>
        <v>0</v>
      </c>
      <c r="O271" s="95" t="s">
        <v>101</v>
      </c>
      <c r="P271" s="26">
        <f>uurtarief24</f>
        <v>0</v>
      </c>
      <c r="Q271" s="97" t="e">
        <f>IF(ISBLANK(M271),0,L271/ROUND(M271,4))</f>
        <v>#DIV/0!</v>
      </c>
      <c r="R271" s="97" t="e">
        <f>IF(ISBLANK(M271),0,Q271*ROUND(N271,2))</f>
        <v>#DIV/0!</v>
      </c>
      <c r="S271" s="26" t="e">
        <f>ROUND(P271,2)*Q271</f>
        <v>#DIV/0!</v>
      </c>
      <c r="T271" s="97" t="e">
        <f>Q271*dagenperjaar1</f>
        <v>#DIV/0!</v>
      </c>
      <c r="U271" s="27" t="e">
        <f>T271*ROUND(P271,2)</f>
        <v>#DIV/0!</v>
      </c>
    </row>
    <row r="272" spans="1:21" x14ac:dyDescent="0.2">
      <c r="A272" s="94" t="s">
        <v>588</v>
      </c>
      <c r="B272" s="95" t="s">
        <v>35</v>
      </c>
      <c r="C272" s="95" t="s">
        <v>244</v>
      </c>
      <c r="D272" s="95" t="s">
        <v>621</v>
      </c>
      <c r="E272" s="96" t="s">
        <v>356</v>
      </c>
      <c r="F272" s="95" t="s">
        <v>598</v>
      </c>
      <c r="G272" s="95" t="s">
        <v>204</v>
      </c>
      <c r="H272" s="95" t="s">
        <v>9</v>
      </c>
      <c r="I272" s="95" t="s">
        <v>190</v>
      </c>
      <c r="J272" s="96" t="s">
        <v>205</v>
      </c>
      <c r="K272" s="97">
        <v>15</v>
      </c>
      <c r="L272" s="97">
        <f>K272*VLOOKUP(H272,dagsoorttabel1,2,FALSE)</f>
        <v>15</v>
      </c>
      <c r="M272" s="98">
        <f>prodnorm19</f>
        <v>0</v>
      </c>
      <c r="N272" s="41">
        <f>dagwerk19</f>
        <v>0</v>
      </c>
      <c r="O272" s="95" t="s">
        <v>101</v>
      </c>
      <c r="P272" s="26">
        <f>uurtarief19</f>
        <v>0</v>
      </c>
      <c r="Q272" s="97" t="e">
        <f>IF(ISBLANK(M272),0,L272/ROUND(M272,4))</f>
        <v>#DIV/0!</v>
      </c>
      <c r="R272" s="97" t="e">
        <f>IF(ISBLANK(M272),0,Q272*ROUND(N272,2))</f>
        <v>#DIV/0!</v>
      </c>
      <c r="S272" s="26" t="e">
        <f>ROUND(P272,2)*Q272</f>
        <v>#DIV/0!</v>
      </c>
      <c r="T272" s="97" t="e">
        <f>Q272*dagenperjaar1</f>
        <v>#DIV/0!</v>
      </c>
      <c r="U272" s="27" t="e">
        <f>T272*ROUND(P272,2)</f>
        <v>#DIV/0!</v>
      </c>
    </row>
    <row r="273" spans="1:21" x14ac:dyDescent="0.2">
      <c r="A273" s="94" t="s">
        <v>588</v>
      </c>
      <c r="B273" s="95" t="s">
        <v>35</v>
      </c>
      <c r="C273" s="95" t="s">
        <v>244</v>
      </c>
      <c r="D273" s="95" t="s">
        <v>622</v>
      </c>
      <c r="E273" s="96" t="s">
        <v>623</v>
      </c>
      <c r="F273" s="95" t="s">
        <v>598</v>
      </c>
      <c r="G273" s="95" t="s">
        <v>214</v>
      </c>
      <c r="H273" s="95" t="s">
        <v>9</v>
      </c>
      <c r="I273" s="95" t="s">
        <v>190</v>
      </c>
      <c r="J273" s="96" t="s">
        <v>215</v>
      </c>
      <c r="K273" s="97">
        <v>15</v>
      </c>
      <c r="L273" s="97">
        <f>K273*VLOOKUP(H273,dagsoorttabel1,2,FALSE)</f>
        <v>15</v>
      </c>
      <c r="M273" s="98">
        <f>prodnorm24</f>
        <v>0</v>
      </c>
      <c r="N273" s="41">
        <f>dagwerk24</f>
        <v>0</v>
      </c>
      <c r="O273" s="95" t="s">
        <v>101</v>
      </c>
      <c r="P273" s="26">
        <f>uurtarief24</f>
        <v>0</v>
      </c>
      <c r="Q273" s="97" t="e">
        <f>IF(ISBLANK(M273),0,L273/ROUND(M273,4))</f>
        <v>#DIV/0!</v>
      </c>
      <c r="R273" s="97" t="e">
        <f>IF(ISBLANK(M273),0,Q273*ROUND(N273,2))</f>
        <v>#DIV/0!</v>
      </c>
      <c r="S273" s="26" t="e">
        <f>ROUND(P273,2)*Q273</f>
        <v>#DIV/0!</v>
      </c>
      <c r="T273" s="97" t="e">
        <f>Q273*dagenperjaar1</f>
        <v>#DIV/0!</v>
      </c>
      <c r="U273" s="27" t="e">
        <f>T273*ROUND(P273,2)</f>
        <v>#DIV/0!</v>
      </c>
    </row>
    <row r="274" spans="1:21" x14ac:dyDescent="0.2">
      <c r="A274" s="100" t="s">
        <v>588</v>
      </c>
      <c r="B274" s="101" t="s">
        <v>35</v>
      </c>
      <c r="C274" s="101" t="s">
        <v>244</v>
      </c>
      <c r="D274" s="101" t="s">
        <v>624</v>
      </c>
      <c r="E274" s="102" t="s">
        <v>625</v>
      </c>
      <c r="F274" s="101" t="s">
        <v>598</v>
      </c>
      <c r="G274" s="101" t="s">
        <v>216</v>
      </c>
      <c r="H274" s="101" t="s">
        <v>9</v>
      </c>
      <c r="I274" s="101" t="s">
        <v>190</v>
      </c>
      <c r="J274" s="102" t="s">
        <v>217</v>
      </c>
      <c r="K274" s="103">
        <v>141</v>
      </c>
      <c r="L274" s="103">
        <f>K274*VLOOKUP(H274,dagsoorttabel1,2,FALSE)</f>
        <v>141</v>
      </c>
      <c r="M274" s="104">
        <f>prodnorm25</f>
        <v>0</v>
      </c>
      <c r="N274" s="105">
        <f>dagwerk25</f>
        <v>0</v>
      </c>
      <c r="O274" s="101" t="s">
        <v>101</v>
      </c>
      <c r="P274" s="36">
        <f>uurtarief25</f>
        <v>0</v>
      </c>
      <c r="Q274" s="103" t="e">
        <f>IF(ISBLANK(M274),0,L274/ROUND(M274,4))</f>
        <v>#DIV/0!</v>
      </c>
      <c r="R274" s="103" t="e">
        <f>IF(ISBLANK(M274),0,Q274*ROUND(N274,2))</f>
        <v>#DIV/0!</v>
      </c>
      <c r="S274" s="36" t="e">
        <f>ROUND(P274,2)*Q274</f>
        <v>#DIV/0!</v>
      </c>
      <c r="T274" s="103" t="e">
        <f>Q274*dagenperjaar1</f>
        <v>#DIV/0!</v>
      </c>
      <c r="U274" s="37" t="e">
        <f>T274*ROUND(P274,2)</f>
        <v>#DIV/0!</v>
      </c>
    </row>
    <row r="275" spans="1:21" x14ac:dyDescent="0.2">
      <c r="A275" s="106" t="s">
        <v>586</v>
      </c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9" t="e">
        <f>IF(_xlfn.SINGLE(object2_urenjaar1)&gt;0,_xlfn.SINGLE(object2_prijsjaar1)/_xlfn.SINGLE(object2_urenjaar1),0)</f>
        <v>#DIV/0!</v>
      </c>
      <c r="Q275" s="78" t="e">
        <f>SUM(Q254:Q274)</f>
        <v>#DIV/0!</v>
      </c>
      <c r="R275" s="78" t="e">
        <f>SUM(R254:R274)</f>
        <v>#DIV/0!</v>
      </c>
      <c r="S275" s="79" t="e">
        <f>SUM(S254:S274)</f>
        <v>#DIV/0!</v>
      </c>
      <c r="T275" s="78" t="e">
        <f>SUM(T254:T274)</f>
        <v>#DIV/0!</v>
      </c>
      <c r="U275" s="80" t="e">
        <f>SUM(U254:U274)</f>
        <v>#DIV/0!</v>
      </c>
    </row>
    <row r="276" spans="1:21" x14ac:dyDescent="0.2">
      <c r="A276" s="85" t="s">
        <v>626</v>
      </c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75"/>
    </row>
    <row r="277" spans="1:21" x14ac:dyDescent="0.2">
      <c r="A277" s="86" t="s">
        <v>627</v>
      </c>
      <c r="B277" s="87" t="s">
        <v>35</v>
      </c>
      <c r="C277" s="87" t="s">
        <v>244</v>
      </c>
      <c r="D277" s="87" t="s">
        <v>245</v>
      </c>
      <c r="E277" s="88" t="s">
        <v>628</v>
      </c>
      <c r="F277" s="87" t="s">
        <v>598</v>
      </c>
      <c r="G277" s="87" t="s">
        <v>216</v>
      </c>
      <c r="H277" s="87" t="s">
        <v>9</v>
      </c>
      <c r="I277" s="87" t="s">
        <v>190</v>
      </c>
      <c r="J277" s="88" t="s">
        <v>217</v>
      </c>
      <c r="K277" s="89">
        <v>45</v>
      </c>
      <c r="L277" s="89">
        <f>K277*VLOOKUP(H277,dagsoorttabel1,2,FALSE)</f>
        <v>45</v>
      </c>
      <c r="M277" s="90">
        <f>prodnorm25</f>
        <v>0</v>
      </c>
      <c r="N277" s="91">
        <f>dagwerk25</f>
        <v>0</v>
      </c>
      <c r="O277" s="87" t="s">
        <v>101</v>
      </c>
      <c r="P277" s="92">
        <f>uurtarief25</f>
        <v>0</v>
      </c>
      <c r="Q277" s="89" t="e">
        <f>IF(ISBLANK(M277),0,L277/ROUND(M277,4))</f>
        <v>#DIV/0!</v>
      </c>
      <c r="R277" s="89" t="e">
        <f>IF(ISBLANK(M277),0,Q277*ROUND(N277,2))</f>
        <v>#DIV/0!</v>
      </c>
      <c r="S277" s="92" t="e">
        <f>ROUND(P277,2)*Q277</f>
        <v>#DIV/0!</v>
      </c>
      <c r="T277" s="89" t="e">
        <f>Q277*dagenperjaar1</f>
        <v>#DIV/0!</v>
      </c>
      <c r="U277" s="93" t="e">
        <f>T277*ROUND(P277,2)</f>
        <v>#DIV/0!</v>
      </c>
    </row>
    <row r="278" spans="1:21" x14ac:dyDescent="0.2">
      <c r="A278" s="94" t="s">
        <v>627</v>
      </c>
      <c r="B278" s="95" t="s">
        <v>35</v>
      </c>
      <c r="C278" s="95" t="s">
        <v>244</v>
      </c>
      <c r="D278" s="95" t="s">
        <v>248</v>
      </c>
      <c r="E278" s="96" t="s">
        <v>506</v>
      </c>
      <c r="F278" s="95" t="s">
        <v>598</v>
      </c>
      <c r="G278" s="95" t="s">
        <v>206</v>
      </c>
      <c r="H278" s="95" t="s">
        <v>9</v>
      </c>
      <c r="I278" s="95" t="s">
        <v>190</v>
      </c>
      <c r="J278" s="96" t="s">
        <v>207</v>
      </c>
      <c r="K278" s="97">
        <v>3</v>
      </c>
      <c r="L278" s="97">
        <f>K278*VLOOKUP(H278,dagsoorttabel1,2,FALSE)</f>
        <v>3</v>
      </c>
      <c r="M278" s="98">
        <f>prodnorm20</f>
        <v>0</v>
      </c>
      <c r="N278" s="41">
        <f>dagwerk20</f>
        <v>0</v>
      </c>
      <c r="O278" s="95" t="s">
        <v>101</v>
      </c>
      <c r="P278" s="26">
        <f>uurtarief20</f>
        <v>0</v>
      </c>
      <c r="Q278" s="97" t="e">
        <f>IF(ISBLANK(M278),0,L278/ROUND(M278,4))</f>
        <v>#DIV/0!</v>
      </c>
      <c r="R278" s="97" t="e">
        <f>IF(ISBLANK(M278),0,Q278*ROUND(N278,2))</f>
        <v>#DIV/0!</v>
      </c>
      <c r="S278" s="26" t="e">
        <f>ROUND(P278,2)*Q278</f>
        <v>#DIV/0!</v>
      </c>
      <c r="T278" s="97" t="e">
        <f>Q278*dagenperjaar1</f>
        <v>#DIV/0!</v>
      </c>
      <c r="U278" s="27" t="e">
        <f>T278*ROUND(P278,2)</f>
        <v>#DIV/0!</v>
      </c>
    </row>
    <row r="279" spans="1:21" x14ac:dyDescent="0.2">
      <c r="A279" s="94" t="s">
        <v>627</v>
      </c>
      <c r="B279" s="95" t="s">
        <v>35</v>
      </c>
      <c r="C279" s="95" t="s">
        <v>244</v>
      </c>
      <c r="D279" s="95" t="s">
        <v>251</v>
      </c>
      <c r="E279" s="96" t="s">
        <v>629</v>
      </c>
      <c r="F279" s="95" t="s">
        <v>598</v>
      </c>
      <c r="G279" s="95" t="s">
        <v>281</v>
      </c>
      <c r="H279" s="95"/>
      <c r="I279" s="95"/>
      <c r="J279" s="95"/>
      <c r="K279" s="97">
        <v>6</v>
      </c>
      <c r="L279" s="97"/>
      <c r="M279" s="98"/>
      <c r="N279" s="41"/>
      <c r="O279" s="95"/>
      <c r="P279" s="26"/>
      <c r="Q279" s="97"/>
      <c r="R279" s="97"/>
      <c r="S279" s="26"/>
      <c r="T279" s="99"/>
      <c r="U279" s="27"/>
    </row>
    <row r="280" spans="1:21" x14ac:dyDescent="0.2">
      <c r="A280" s="94" t="s">
        <v>627</v>
      </c>
      <c r="B280" s="95" t="s">
        <v>35</v>
      </c>
      <c r="C280" s="95" t="s">
        <v>244</v>
      </c>
      <c r="D280" s="95" t="s">
        <v>254</v>
      </c>
      <c r="E280" s="96" t="s">
        <v>630</v>
      </c>
      <c r="F280" s="95" t="s">
        <v>598</v>
      </c>
      <c r="G280" s="95" t="s">
        <v>281</v>
      </c>
      <c r="H280" s="95"/>
      <c r="I280" s="95"/>
      <c r="J280" s="95"/>
      <c r="K280" s="97">
        <v>2</v>
      </c>
      <c r="L280" s="97"/>
      <c r="M280" s="98"/>
      <c r="N280" s="41"/>
      <c r="O280" s="95"/>
      <c r="P280" s="26"/>
      <c r="Q280" s="97"/>
      <c r="R280" s="97"/>
      <c r="S280" s="26"/>
      <c r="T280" s="99"/>
      <c r="U280" s="27"/>
    </row>
    <row r="281" spans="1:21" x14ac:dyDescent="0.2">
      <c r="A281" s="94" t="s">
        <v>627</v>
      </c>
      <c r="B281" s="95" t="s">
        <v>35</v>
      </c>
      <c r="C281" s="95" t="s">
        <v>244</v>
      </c>
      <c r="D281" s="95" t="s">
        <v>256</v>
      </c>
      <c r="E281" s="96" t="s">
        <v>631</v>
      </c>
      <c r="F281" s="95" t="s">
        <v>598</v>
      </c>
      <c r="G281" s="95" t="s">
        <v>214</v>
      </c>
      <c r="H281" s="95" t="s">
        <v>9</v>
      </c>
      <c r="I281" s="95" t="s">
        <v>190</v>
      </c>
      <c r="J281" s="96" t="s">
        <v>215</v>
      </c>
      <c r="K281" s="97">
        <v>6</v>
      </c>
      <c r="L281" s="97">
        <f>K281*VLOOKUP(H281,dagsoorttabel1,2,FALSE)</f>
        <v>6</v>
      </c>
      <c r="M281" s="98">
        <f>prodnorm24</f>
        <v>0</v>
      </c>
      <c r="N281" s="41">
        <f>dagwerk24</f>
        <v>0</v>
      </c>
      <c r="O281" s="95" t="s">
        <v>101</v>
      </c>
      <c r="P281" s="26">
        <f>uurtarief24</f>
        <v>0</v>
      </c>
      <c r="Q281" s="97" t="e">
        <f>IF(ISBLANK(M281),0,L281/ROUND(M281,4))</f>
        <v>#DIV/0!</v>
      </c>
      <c r="R281" s="97" t="e">
        <f>IF(ISBLANK(M281),0,Q281*ROUND(N281,2))</f>
        <v>#DIV/0!</v>
      </c>
      <c r="S281" s="26" t="e">
        <f>ROUND(P281,2)*Q281</f>
        <v>#DIV/0!</v>
      </c>
      <c r="T281" s="97" t="e">
        <f>Q281*dagenperjaar1</f>
        <v>#DIV/0!</v>
      </c>
      <c r="U281" s="27" t="e">
        <f>T281*ROUND(P281,2)</f>
        <v>#DIV/0!</v>
      </c>
    </row>
    <row r="282" spans="1:21" x14ac:dyDescent="0.2">
      <c r="A282" s="94" t="s">
        <v>627</v>
      </c>
      <c r="B282" s="95" t="s">
        <v>35</v>
      </c>
      <c r="C282" s="95" t="s">
        <v>244</v>
      </c>
      <c r="D282" s="95" t="s">
        <v>259</v>
      </c>
      <c r="E282" s="96" t="s">
        <v>632</v>
      </c>
      <c r="F282" s="95" t="s">
        <v>598</v>
      </c>
      <c r="G282" s="95" t="s">
        <v>214</v>
      </c>
      <c r="H282" s="95" t="s">
        <v>9</v>
      </c>
      <c r="I282" s="95" t="s">
        <v>190</v>
      </c>
      <c r="J282" s="96" t="s">
        <v>215</v>
      </c>
      <c r="K282" s="97">
        <v>6</v>
      </c>
      <c r="L282" s="97">
        <f>K282*VLOOKUP(H282,dagsoorttabel1,2,FALSE)</f>
        <v>6</v>
      </c>
      <c r="M282" s="98">
        <f>prodnorm24</f>
        <v>0</v>
      </c>
      <c r="N282" s="41">
        <f>dagwerk24</f>
        <v>0</v>
      </c>
      <c r="O282" s="95" t="s">
        <v>101</v>
      </c>
      <c r="P282" s="26">
        <f>uurtarief24</f>
        <v>0</v>
      </c>
      <c r="Q282" s="97" t="e">
        <f>IF(ISBLANK(M282),0,L282/ROUND(M282,4))</f>
        <v>#DIV/0!</v>
      </c>
      <c r="R282" s="97" t="e">
        <f>IF(ISBLANK(M282),0,Q282*ROUND(N282,2))</f>
        <v>#DIV/0!</v>
      </c>
      <c r="S282" s="26" t="e">
        <f>ROUND(P282,2)*Q282</f>
        <v>#DIV/0!</v>
      </c>
      <c r="T282" s="97" t="e">
        <f>Q282*dagenperjaar1</f>
        <v>#DIV/0!</v>
      </c>
      <c r="U282" s="27" t="e">
        <f>T282*ROUND(P282,2)</f>
        <v>#DIV/0!</v>
      </c>
    </row>
    <row r="283" spans="1:21" x14ac:dyDescent="0.2">
      <c r="A283" s="94" t="s">
        <v>627</v>
      </c>
      <c r="B283" s="95" t="s">
        <v>35</v>
      </c>
      <c r="C283" s="95" t="s">
        <v>244</v>
      </c>
      <c r="D283" s="95" t="s">
        <v>282</v>
      </c>
      <c r="E283" s="96" t="s">
        <v>633</v>
      </c>
      <c r="F283" s="95" t="s">
        <v>634</v>
      </c>
      <c r="G283" s="95" t="s">
        <v>218</v>
      </c>
      <c r="H283" s="95" t="s">
        <v>9</v>
      </c>
      <c r="I283" s="95" t="s">
        <v>190</v>
      </c>
      <c r="J283" s="96" t="s">
        <v>219</v>
      </c>
      <c r="K283" s="97">
        <v>20</v>
      </c>
      <c r="L283" s="97">
        <f>K283*VLOOKUP(H283,dagsoorttabel1,2,FALSE)</f>
        <v>20</v>
      </c>
      <c r="M283" s="98">
        <f>prodnorm26</f>
        <v>0</v>
      </c>
      <c r="N283" s="41">
        <f>dagwerk26</f>
        <v>0</v>
      </c>
      <c r="O283" s="95" t="s">
        <v>101</v>
      </c>
      <c r="P283" s="26">
        <f>uurtarief26</f>
        <v>0</v>
      </c>
      <c r="Q283" s="97" t="e">
        <f>IF(ISBLANK(M283),0,L283/ROUND(M283,4))</f>
        <v>#DIV/0!</v>
      </c>
      <c r="R283" s="97" t="e">
        <f>IF(ISBLANK(M283),0,Q283*ROUND(N283,2))</f>
        <v>#DIV/0!</v>
      </c>
      <c r="S283" s="26" t="e">
        <f>ROUND(P283,2)*Q283</f>
        <v>#DIV/0!</v>
      </c>
      <c r="T283" s="97" t="e">
        <f>Q283*dagenperjaar1</f>
        <v>#DIV/0!</v>
      </c>
      <c r="U283" s="27" t="e">
        <f>T283*ROUND(P283,2)</f>
        <v>#DIV/0!</v>
      </c>
    </row>
    <row r="284" spans="1:21" x14ac:dyDescent="0.2">
      <c r="A284" s="94" t="s">
        <v>627</v>
      </c>
      <c r="B284" s="95" t="s">
        <v>35</v>
      </c>
      <c r="C284" s="95" t="s">
        <v>244</v>
      </c>
      <c r="D284" s="95" t="s">
        <v>284</v>
      </c>
      <c r="E284" s="96" t="s">
        <v>302</v>
      </c>
      <c r="F284" s="95" t="s">
        <v>634</v>
      </c>
      <c r="G284" s="95" t="s">
        <v>218</v>
      </c>
      <c r="H284" s="95" t="s">
        <v>9</v>
      </c>
      <c r="I284" s="95" t="s">
        <v>190</v>
      </c>
      <c r="J284" s="96" t="s">
        <v>219</v>
      </c>
      <c r="K284" s="97">
        <v>15</v>
      </c>
      <c r="L284" s="97">
        <f>K284*VLOOKUP(H284,dagsoorttabel1,2,FALSE)</f>
        <v>15</v>
      </c>
      <c r="M284" s="98">
        <f>prodnorm26</f>
        <v>0</v>
      </c>
      <c r="N284" s="41">
        <f>dagwerk26</f>
        <v>0</v>
      </c>
      <c r="O284" s="95" t="s">
        <v>101</v>
      </c>
      <c r="P284" s="26">
        <f>uurtarief26</f>
        <v>0</v>
      </c>
      <c r="Q284" s="97" t="e">
        <f>IF(ISBLANK(M284),0,L284/ROUND(M284,4))</f>
        <v>#DIV/0!</v>
      </c>
      <c r="R284" s="97" t="e">
        <f>IF(ISBLANK(M284),0,Q284*ROUND(N284,2))</f>
        <v>#DIV/0!</v>
      </c>
      <c r="S284" s="26" t="e">
        <f>ROUND(P284,2)*Q284</f>
        <v>#DIV/0!</v>
      </c>
      <c r="T284" s="97" t="e">
        <f>Q284*dagenperjaar1</f>
        <v>#DIV/0!</v>
      </c>
      <c r="U284" s="27" t="e">
        <f>T284*ROUND(P284,2)</f>
        <v>#DIV/0!</v>
      </c>
    </row>
    <row r="285" spans="1:21" x14ac:dyDescent="0.2">
      <c r="A285" s="94" t="s">
        <v>627</v>
      </c>
      <c r="B285" s="95" t="s">
        <v>35</v>
      </c>
      <c r="C285" s="95" t="s">
        <v>244</v>
      </c>
      <c r="D285" s="95" t="s">
        <v>635</v>
      </c>
      <c r="E285" s="96" t="s">
        <v>636</v>
      </c>
      <c r="F285" s="95" t="s">
        <v>637</v>
      </c>
      <c r="G285" s="95" t="s">
        <v>192</v>
      </c>
      <c r="H285" s="95" t="s">
        <v>9</v>
      </c>
      <c r="I285" s="95" t="s">
        <v>190</v>
      </c>
      <c r="J285" s="96" t="s">
        <v>193</v>
      </c>
      <c r="K285" s="97">
        <v>32</v>
      </c>
      <c r="L285" s="97">
        <f>K285*VLOOKUP(H285,dagsoorttabel1,2,FALSE)</f>
        <v>32</v>
      </c>
      <c r="M285" s="98">
        <f>prodnorm12</f>
        <v>0</v>
      </c>
      <c r="N285" s="41">
        <f>dagwerk12</f>
        <v>0</v>
      </c>
      <c r="O285" s="95" t="s">
        <v>101</v>
      </c>
      <c r="P285" s="26">
        <f>uurtarief12</f>
        <v>0</v>
      </c>
      <c r="Q285" s="97" t="e">
        <f>IF(ISBLANK(M285),0,L285/ROUND(M285,4))</f>
        <v>#DIV/0!</v>
      </c>
      <c r="R285" s="97" t="e">
        <f>IF(ISBLANK(M285),0,Q285*ROUND(N285,2))</f>
        <v>#DIV/0!</v>
      </c>
      <c r="S285" s="26" t="e">
        <f>ROUND(P285,2)*Q285</f>
        <v>#DIV/0!</v>
      </c>
      <c r="T285" s="97" t="e">
        <f>Q285*dagenperjaar1</f>
        <v>#DIV/0!</v>
      </c>
      <c r="U285" s="27" t="e">
        <f>T285*ROUND(P285,2)</f>
        <v>#DIV/0!</v>
      </c>
    </row>
    <row r="286" spans="1:21" x14ac:dyDescent="0.2">
      <c r="A286" s="94" t="s">
        <v>627</v>
      </c>
      <c r="B286" s="95" t="s">
        <v>35</v>
      </c>
      <c r="C286" s="95" t="s">
        <v>244</v>
      </c>
      <c r="D286" s="95" t="s">
        <v>286</v>
      </c>
      <c r="E286" s="96" t="s">
        <v>638</v>
      </c>
      <c r="F286" s="95" t="s">
        <v>637</v>
      </c>
      <c r="G286" s="95" t="s">
        <v>192</v>
      </c>
      <c r="H286" s="95" t="s">
        <v>9</v>
      </c>
      <c r="I286" s="95" t="s">
        <v>190</v>
      </c>
      <c r="J286" s="96" t="s">
        <v>193</v>
      </c>
      <c r="K286" s="97">
        <v>49</v>
      </c>
      <c r="L286" s="97">
        <f>K286*VLOOKUP(H286,dagsoorttabel1,2,FALSE)</f>
        <v>49</v>
      </c>
      <c r="M286" s="98">
        <f>prodnorm12</f>
        <v>0</v>
      </c>
      <c r="N286" s="41">
        <f>dagwerk12</f>
        <v>0</v>
      </c>
      <c r="O286" s="95" t="s">
        <v>101</v>
      </c>
      <c r="P286" s="26">
        <f>uurtarief12</f>
        <v>0</v>
      </c>
      <c r="Q286" s="97" t="e">
        <f>IF(ISBLANK(M286),0,L286/ROUND(M286,4))</f>
        <v>#DIV/0!</v>
      </c>
      <c r="R286" s="97" t="e">
        <f>IF(ISBLANK(M286),0,Q286*ROUND(N286,2))</f>
        <v>#DIV/0!</v>
      </c>
      <c r="S286" s="26" t="e">
        <f>ROUND(P286,2)*Q286</f>
        <v>#DIV/0!</v>
      </c>
      <c r="T286" s="97" t="e">
        <f>Q286*dagenperjaar1</f>
        <v>#DIV/0!</v>
      </c>
      <c r="U286" s="27" t="e">
        <f>T286*ROUND(P286,2)</f>
        <v>#DIV/0!</v>
      </c>
    </row>
    <row r="287" spans="1:21" x14ac:dyDescent="0.2">
      <c r="A287" s="94" t="s">
        <v>627</v>
      </c>
      <c r="B287" s="95" t="s">
        <v>35</v>
      </c>
      <c r="C287" s="95" t="s">
        <v>244</v>
      </c>
      <c r="D287" s="95" t="s">
        <v>288</v>
      </c>
      <c r="E287" s="96" t="s">
        <v>639</v>
      </c>
      <c r="F287" s="95" t="s">
        <v>637</v>
      </c>
      <c r="G287" s="95" t="s">
        <v>192</v>
      </c>
      <c r="H287" s="95" t="s">
        <v>9</v>
      </c>
      <c r="I287" s="95" t="s">
        <v>190</v>
      </c>
      <c r="J287" s="96" t="s">
        <v>193</v>
      </c>
      <c r="K287" s="97">
        <v>53</v>
      </c>
      <c r="L287" s="97">
        <f>K287*VLOOKUP(H287,dagsoorttabel1,2,FALSE)</f>
        <v>53</v>
      </c>
      <c r="M287" s="98">
        <f>prodnorm12</f>
        <v>0</v>
      </c>
      <c r="N287" s="41">
        <f>dagwerk12</f>
        <v>0</v>
      </c>
      <c r="O287" s="95" t="s">
        <v>101</v>
      </c>
      <c r="P287" s="26">
        <f>uurtarief12</f>
        <v>0</v>
      </c>
      <c r="Q287" s="97" t="e">
        <f>IF(ISBLANK(M287),0,L287/ROUND(M287,4))</f>
        <v>#DIV/0!</v>
      </c>
      <c r="R287" s="97" t="e">
        <f>IF(ISBLANK(M287),0,Q287*ROUND(N287,2))</f>
        <v>#DIV/0!</v>
      </c>
      <c r="S287" s="26" t="e">
        <f>ROUND(P287,2)*Q287</f>
        <v>#DIV/0!</v>
      </c>
      <c r="T287" s="97" t="e">
        <f>Q287*dagenperjaar1</f>
        <v>#DIV/0!</v>
      </c>
      <c r="U287" s="27" t="e">
        <f>T287*ROUND(P287,2)</f>
        <v>#DIV/0!</v>
      </c>
    </row>
    <row r="288" spans="1:21" ht="25.5" x14ac:dyDescent="0.2">
      <c r="A288" s="94" t="s">
        <v>627</v>
      </c>
      <c r="B288" s="95" t="s">
        <v>35</v>
      </c>
      <c r="C288" s="95" t="s">
        <v>244</v>
      </c>
      <c r="D288" s="95" t="s">
        <v>290</v>
      </c>
      <c r="E288" s="96" t="s">
        <v>640</v>
      </c>
      <c r="F288" s="95" t="s">
        <v>637</v>
      </c>
      <c r="G288" s="95" t="s">
        <v>200</v>
      </c>
      <c r="H288" s="95" t="s">
        <v>9</v>
      </c>
      <c r="I288" s="95" t="s">
        <v>190</v>
      </c>
      <c r="J288" s="96" t="s">
        <v>201</v>
      </c>
      <c r="K288" s="97">
        <v>17</v>
      </c>
      <c r="L288" s="97">
        <f>K288*VLOOKUP(H288,dagsoorttabel1,2,FALSE)</f>
        <v>17</v>
      </c>
      <c r="M288" s="98">
        <f>prodnorm17</f>
        <v>0</v>
      </c>
      <c r="N288" s="41">
        <f>dagwerk17</f>
        <v>0</v>
      </c>
      <c r="O288" s="95" t="s">
        <v>101</v>
      </c>
      <c r="P288" s="26">
        <f>uurtarief17</f>
        <v>0</v>
      </c>
      <c r="Q288" s="97" t="e">
        <f>IF(ISBLANK(M288),0,L288/ROUND(M288,4))</f>
        <v>#DIV/0!</v>
      </c>
      <c r="R288" s="97" t="e">
        <f>IF(ISBLANK(M288),0,Q288*ROUND(N288,2))</f>
        <v>#DIV/0!</v>
      </c>
      <c r="S288" s="26" t="e">
        <f>ROUND(P288,2)*Q288</f>
        <v>#DIV/0!</v>
      </c>
      <c r="T288" s="97" t="e">
        <f>Q288*dagenperjaar1</f>
        <v>#DIV/0!</v>
      </c>
      <c r="U288" s="27" t="e">
        <f>T288*ROUND(P288,2)</f>
        <v>#DIV/0!</v>
      </c>
    </row>
    <row r="289" spans="1:21" x14ac:dyDescent="0.2">
      <c r="A289" s="94" t="s">
        <v>627</v>
      </c>
      <c r="B289" s="95" t="s">
        <v>35</v>
      </c>
      <c r="C289" s="95" t="s">
        <v>244</v>
      </c>
      <c r="D289" s="95" t="s">
        <v>291</v>
      </c>
      <c r="E289" s="96" t="s">
        <v>641</v>
      </c>
      <c r="F289" s="95" t="s">
        <v>637</v>
      </c>
      <c r="G289" s="95" t="s">
        <v>192</v>
      </c>
      <c r="H289" s="95" t="s">
        <v>9</v>
      </c>
      <c r="I289" s="95" t="s">
        <v>190</v>
      </c>
      <c r="J289" s="96" t="s">
        <v>193</v>
      </c>
      <c r="K289" s="97">
        <v>31</v>
      </c>
      <c r="L289" s="97">
        <f>K289*VLOOKUP(H289,dagsoorttabel1,2,FALSE)</f>
        <v>31</v>
      </c>
      <c r="M289" s="98">
        <f>prodnorm12</f>
        <v>0</v>
      </c>
      <c r="N289" s="41">
        <f>dagwerk12</f>
        <v>0</v>
      </c>
      <c r="O289" s="95" t="s">
        <v>101</v>
      </c>
      <c r="P289" s="26">
        <f>uurtarief12</f>
        <v>0</v>
      </c>
      <c r="Q289" s="97" t="e">
        <f>IF(ISBLANK(M289),0,L289/ROUND(M289,4))</f>
        <v>#DIV/0!</v>
      </c>
      <c r="R289" s="97" t="e">
        <f>IF(ISBLANK(M289),0,Q289*ROUND(N289,2))</f>
        <v>#DIV/0!</v>
      </c>
      <c r="S289" s="26" t="e">
        <f>ROUND(P289,2)*Q289</f>
        <v>#DIV/0!</v>
      </c>
      <c r="T289" s="97" t="e">
        <f>Q289*dagenperjaar1</f>
        <v>#DIV/0!</v>
      </c>
      <c r="U289" s="27" t="e">
        <f>T289*ROUND(P289,2)</f>
        <v>#DIV/0!</v>
      </c>
    </row>
    <row r="290" spans="1:21" ht="25.5" x14ac:dyDescent="0.2">
      <c r="A290" s="94" t="s">
        <v>627</v>
      </c>
      <c r="B290" s="95" t="s">
        <v>35</v>
      </c>
      <c r="C290" s="95" t="s">
        <v>244</v>
      </c>
      <c r="D290" s="95" t="s">
        <v>642</v>
      </c>
      <c r="E290" s="96" t="s">
        <v>643</v>
      </c>
      <c r="F290" s="95" t="s">
        <v>637</v>
      </c>
      <c r="G290" s="95" t="s">
        <v>200</v>
      </c>
      <c r="H290" s="95" t="s">
        <v>9</v>
      </c>
      <c r="I290" s="95" t="s">
        <v>190</v>
      </c>
      <c r="J290" s="96" t="s">
        <v>201</v>
      </c>
      <c r="K290" s="97">
        <v>18</v>
      </c>
      <c r="L290" s="97">
        <f>K290*VLOOKUP(H290,dagsoorttabel1,2,FALSE)</f>
        <v>18</v>
      </c>
      <c r="M290" s="98">
        <f>prodnorm17</f>
        <v>0</v>
      </c>
      <c r="N290" s="41">
        <f>dagwerk17</f>
        <v>0</v>
      </c>
      <c r="O290" s="95" t="s">
        <v>101</v>
      </c>
      <c r="P290" s="26">
        <f>uurtarief17</f>
        <v>0</v>
      </c>
      <c r="Q290" s="97" t="e">
        <f>IF(ISBLANK(M290),0,L290/ROUND(M290,4))</f>
        <v>#DIV/0!</v>
      </c>
      <c r="R290" s="97" t="e">
        <f>IF(ISBLANK(M290),0,Q290*ROUND(N290,2))</f>
        <v>#DIV/0!</v>
      </c>
      <c r="S290" s="26" t="e">
        <f>ROUND(P290,2)*Q290</f>
        <v>#DIV/0!</v>
      </c>
      <c r="T290" s="97" t="e">
        <f>Q290*dagenperjaar1</f>
        <v>#DIV/0!</v>
      </c>
      <c r="U290" s="27" t="e">
        <f>T290*ROUND(P290,2)</f>
        <v>#DIV/0!</v>
      </c>
    </row>
    <row r="291" spans="1:21" x14ac:dyDescent="0.2">
      <c r="A291" s="94" t="s">
        <v>627</v>
      </c>
      <c r="B291" s="95" t="s">
        <v>35</v>
      </c>
      <c r="C291" s="95" t="s">
        <v>401</v>
      </c>
      <c r="D291" s="95" t="s">
        <v>411</v>
      </c>
      <c r="E291" s="96" t="s">
        <v>644</v>
      </c>
      <c r="F291" s="95" t="s">
        <v>598</v>
      </c>
      <c r="G291" s="95" t="s">
        <v>281</v>
      </c>
      <c r="H291" s="95"/>
      <c r="I291" s="95"/>
      <c r="J291" s="95"/>
      <c r="K291" s="97">
        <v>9</v>
      </c>
      <c r="L291" s="97"/>
      <c r="M291" s="98"/>
      <c r="N291" s="41"/>
      <c r="O291" s="95"/>
      <c r="P291" s="26"/>
      <c r="Q291" s="97"/>
      <c r="R291" s="97"/>
      <c r="S291" s="26"/>
      <c r="T291" s="99"/>
      <c r="U291" s="27"/>
    </row>
    <row r="292" spans="1:21" x14ac:dyDescent="0.2">
      <c r="A292" s="94" t="s">
        <v>627</v>
      </c>
      <c r="B292" s="95" t="s">
        <v>35</v>
      </c>
      <c r="C292" s="95" t="s">
        <v>401</v>
      </c>
      <c r="D292" s="95" t="s">
        <v>413</v>
      </c>
      <c r="E292" s="96" t="s">
        <v>631</v>
      </c>
      <c r="F292" s="95" t="s">
        <v>598</v>
      </c>
      <c r="G292" s="95" t="s">
        <v>214</v>
      </c>
      <c r="H292" s="95" t="s">
        <v>9</v>
      </c>
      <c r="I292" s="95" t="s">
        <v>190</v>
      </c>
      <c r="J292" s="96" t="s">
        <v>215</v>
      </c>
      <c r="K292" s="97">
        <v>4</v>
      </c>
      <c r="L292" s="97">
        <f>K292*VLOOKUP(H292,dagsoorttabel1,2,FALSE)</f>
        <v>4</v>
      </c>
      <c r="M292" s="98">
        <f>prodnorm24</f>
        <v>0</v>
      </c>
      <c r="N292" s="41">
        <f>dagwerk24</f>
        <v>0</v>
      </c>
      <c r="O292" s="95" t="s">
        <v>101</v>
      </c>
      <c r="P292" s="26">
        <f>uurtarief24</f>
        <v>0</v>
      </c>
      <c r="Q292" s="97" t="e">
        <f>IF(ISBLANK(M292),0,L292/ROUND(M292,4))</f>
        <v>#DIV/0!</v>
      </c>
      <c r="R292" s="97" t="e">
        <f>IF(ISBLANK(M292),0,Q292*ROUND(N292,2))</f>
        <v>#DIV/0!</v>
      </c>
      <c r="S292" s="26" t="e">
        <f>ROUND(P292,2)*Q292</f>
        <v>#DIV/0!</v>
      </c>
      <c r="T292" s="97" t="e">
        <f>Q292*dagenperjaar1</f>
        <v>#DIV/0!</v>
      </c>
      <c r="U292" s="27" t="e">
        <f>T292*ROUND(P292,2)</f>
        <v>#DIV/0!</v>
      </c>
    </row>
    <row r="293" spans="1:21" x14ac:dyDescent="0.2">
      <c r="A293" s="94" t="s">
        <v>627</v>
      </c>
      <c r="B293" s="95" t="s">
        <v>35</v>
      </c>
      <c r="C293" s="95" t="s">
        <v>401</v>
      </c>
      <c r="D293" s="95" t="s">
        <v>414</v>
      </c>
      <c r="E293" s="96" t="s">
        <v>632</v>
      </c>
      <c r="F293" s="95" t="s">
        <v>598</v>
      </c>
      <c r="G293" s="95" t="s">
        <v>214</v>
      </c>
      <c r="H293" s="95" t="s">
        <v>9</v>
      </c>
      <c r="I293" s="95" t="s">
        <v>190</v>
      </c>
      <c r="J293" s="96" t="s">
        <v>215</v>
      </c>
      <c r="K293" s="97">
        <v>3</v>
      </c>
      <c r="L293" s="97">
        <f>K293*VLOOKUP(H293,dagsoorttabel1,2,FALSE)</f>
        <v>3</v>
      </c>
      <c r="M293" s="98">
        <f>prodnorm24</f>
        <v>0</v>
      </c>
      <c r="N293" s="41">
        <f>dagwerk24</f>
        <v>0</v>
      </c>
      <c r="O293" s="95" t="s">
        <v>101</v>
      </c>
      <c r="P293" s="26">
        <f>uurtarief24</f>
        <v>0</v>
      </c>
      <c r="Q293" s="97" t="e">
        <f>IF(ISBLANK(M293),0,L293/ROUND(M293,4))</f>
        <v>#DIV/0!</v>
      </c>
      <c r="R293" s="97" t="e">
        <f>IF(ISBLANK(M293),0,Q293*ROUND(N293,2))</f>
        <v>#DIV/0!</v>
      </c>
      <c r="S293" s="26" t="e">
        <f>ROUND(P293,2)*Q293</f>
        <v>#DIV/0!</v>
      </c>
      <c r="T293" s="97" t="e">
        <f>Q293*dagenperjaar1</f>
        <v>#DIV/0!</v>
      </c>
      <c r="U293" s="27" t="e">
        <f>T293*ROUND(P293,2)</f>
        <v>#DIV/0!</v>
      </c>
    </row>
    <row r="294" spans="1:21" x14ac:dyDescent="0.2">
      <c r="A294" s="94" t="s">
        <v>627</v>
      </c>
      <c r="B294" s="95" t="s">
        <v>35</v>
      </c>
      <c r="C294" s="95" t="s">
        <v>401</v>
      </c>
      <c r="D294" s="95" t="s">
        <v>415</v>
      </c>
      <c r="E294" s="96" t="s">
        <v>645</v>
      </c>
      <c r="F294" s="95" t="s">
        <v>598</v>
      </c>
      <c r="G294" s="95" t="s">
        <v>210</v>
      </c>
      <c r="H294" s="95" t="s">
        <v>9</v>
      </c>
      <c r="I294" s="95" t="s">
        <v>190</v>
      </c>
      <c r="J294" s="96" t="s">
        <v>211</v>
      </c>
      <c r="K294" s="97">
        <v>82</v>
      </c>
      <c r="L294" s="97">
        <f>K294*VLOOKUP(H294,dagsoorttabel1,2,FALSE)</f>
        <v>82</v>
      </c>
      <c r="M294" s="98">
        <f>prodnorm22</f>
        <v>0</v>
      </c>
      <c r="N294" s="41">
        <f>dagwerk22</f>
        <v>0</v>
      </c>
      <c r="O294" s="95" t="s">
        <v>101</v>
      </c>
      <c r="P294" s="26">
        <f>uurtarief22</f>
        <v>0</v>
      </c>
      <c r="Q294" s="97" t="e">
        <f>IF(ISBLANK(M294),0,L294/ROUND(M294,4))</f>
        <v>#DIV/0!</v>
      </c>
      <c r="R294" s="97" t="e">
        <f>IF(ISBLANK(M294),0,Q294*ROUND(N294,2))</f>
        <v>#DIV/0!</v>
      </c>
      <c r="S294" s="26" t="e">
        <f>ROUND(P294,2)*Q294</f>
        <v>#DIV/0!</v>
      </c>
      <c r="T294" s="97" t="e">
        <f>Q294*dagenperjaar1</f>
        <v>#DIV/0!</v>
      </c>
      <c r="U294" s="27" t="e">
        <f>T294*ROUND(P294,2)</f>
        <v>#DIV/0!</v>
      </c>
    </row>
    <row r="295" spans="1:21" x14ac:dyDescent="0.2">
      <c r="A295" s="94" t="s">
        <v>627</v>
      </c>
      <c r="B295" s="95" t="s">
        <v>35</v>
      </c>
      <c r="C295" s="95" t="s">
        <v>401</v>
      </c>
      <c r="D295" s="95" t="s">
        <v>416</v>
      </c>
      <c r="E295" s="96" t="s">
        <v>645</v>
      </c>
      <c r="F295" s="95" t="s">
        <v>598</v>
      </c>
      <c r="G295" s="95" t="s">
        <v>210</v>
      </c>
      <c r="H295" s="95" t="s">
        <v>9</v>
      </c>
      <c r="I295" s="95" t="s">
        <v>190</v>
      </c>
      <c r="J295" s="96" t="s">
        <v>211</v>
      </c>
      <c r="K295" s="97">
        <v>12</v>
      </c>
      <c r="L295" s="97">
        <f>K295*VLOOKUP(H295,dagsoorttabel1,2,FALSE)</f>
        <v>12</v>
      </c>
      <c r="M295" s="98">
        <f>prodnorm22</f>
        <v>0</v>
      </c>
      <c r="N295" s="41">
        <f>dagwerk22</f>
        <v>0</v>
      </c>
      <c r="O295" s="95" t="s">
        <v>101</v>
      </c>
      <c r="P295" s="26">
        <f>uurtarief22</f>
        <v>0</v>
      </c>
      <c r="Q295" s="97" t="e">
        <f>IF(ISBLANK(M295),0,L295/ROUND(M295,4))</f>
        <v>#DIV/0!</v>
      </c>
      <c r="R295" s="97" t="e">
        <f>IF(ISBLANK(M295),0,Q295*ROUND(N295,2))</f>
        <v>#DIV/0!</v>
      </c>
      <c r="S295" s="26" t="e">
        <f>ROUND(P295,2)*Q295</f>
        <v>#DIV/0!</v>
      </c>
      <c r="T295" s="97" t="e">
        <f>Q295*dagenperjaar1</f>
        <v>#DIV/0!</v>
      </c>
      <c r="U295" s="27" t="e">
        <f>T295*ROUND(P295,2)</f>
        <v>#DIV/0!</v>
      </c>
    </row>
    <row r="296" spans="1:21" x14ac:dyDescent="0.2">
      <c r="A296" s="94" t="s">
        <v>627</v>
      </c>
      <c r="B296" s="95" t="s">
        <v>35</v>
      </c>
      <c r="C296" s="95" t="s">
        <v>401</v>
      </c>
      <c r="D296" s="95" t="s">
        <v>417</v>
      </c>
      <c r="E296" s="96" t="s">
        <v>646</v>
      </c>
      <c r="F296" s="95" t="s">
        <v>598</v>
      </c>
      <c r="G296" s="95" t="s">
        <v>214</v>
      </c>
      <c r="H296" s="95" t="s">
        <v>9</v>
      </c>
      <c r="I296" s="95" t="s">
        <v>190</v>
      </c>
      <c r="J296" s="96" t="s">
        <v>215</v>
      </c>
      <c r="K296" s="97">
        <v>5</v>
      </c>
      <c r="L296" s="97">
        <f>K296*VLOOKUP(H296,dagsoorttabel1,2,FALSE)</f>
        <v>5</v>
      </c>
      <c r="M296" s="98">
        <f>prodnorm24</f>
        <v>0</v>
      </c>
      <c r="N296" s="41">
        <f>dagwerk24</f>
        <v>0</v>
      </c>
      <c r="O296" s="95" t="s">
        <v>101</v>
      </c>
      <c r="P296" s="26">
        <f>uurtarief24</f>
        <v>0</v>
      </c>
      <c r="Q296" s="97" t="e">
        <f>IF(ISBLANK(M296),0,L296/ROUND(M296,4))</f>
        <v>#DIV/0!</v>
      </c>
      <c r="R296" s="97" t="e">
        <f>IF(ISBLANK(M296),0,Q296*ROUND(N296,2))</f>
        <v>#DIV/0!</v>
      </c>
      <c r="S296" s="26" t="e">
        <f>ROUND(P296,2)*Q296</f>
        <v>#DIV/0!</v>
      </c>
      <c r="T296" s="97" t="e">
        <f>Q296*dagenperjaar1</f>
        <v>#DIV/0!</v>
      </c>
      <c r="U296" s="27" t="e">
        <f>T296*ROUND(P296,2)</f>
        <v>#DIV/0!</v>
      </c>
    </row>
    <row r="297" spans="1:21" x14ac:dyDescent="0.2">
      <c r="A297" s="94" t="s">
        <v>627</v>
      </c>
      <c r="B297" s="95" t="s">
        <v>35</v>
      </c>
      <c r="C297" s="95" t="s">
        <v>401</v>
      </c>
      <c r="D297" s="95" t="s">
        <v>418</v>
      </c>
      <c r="E297" s="96" t="s">
        <v>300</v>
      </c>
      <c r="F297" s="95" t="s">
        <v>647</v>
      </c>
      <c r="G297" s="95" t="s">
        <v>224</v>
      </c>
      <c r="H297" s="95" t="s">
        <v>9</v>
      </c>
      <c r="I297" s="95" t="s">
        <v>190</v>
      </c>
      <c r="J297" s="96" t="s">
        <v>225</v>
      </c>
      <c r="K297" s="97">
        <v>2</v>
      </c>
      <c r="L297" s="97">
        <f>K297*VLOOKUP(H297,dagsoorttabel1,2,FALSE)</f>
        <v>2</v>
      </c>
      <c r="M297" s="98">
        <f>prodnorm29</f>
        <v>0</v>
      </c>
      <c r="N297" s="41">
        <f>dagwerk29</f>
        <v>0</v>
      </c>
      <c r="O297" s="95" t="s">
        <v>101</v>
      </c>
      <c r="P297" s="26">
        <f>uurtarief29</f>
        <v>0</v>
      </c>
      <c r="Q297" s="97" t="e">
        <f>IF(ISBLANK(M297),0,L297/ROUND(M297,4))</f>
        <v>#DIV/0!</v>
      </c>
      <c r="R297" s="97" t="e">
        <f>IF(ISBLANK(M297),0,Q297*ROUND(N297,2))</f>
        <v>#DIV/0!</v>
      </c>
      <c r="S297" s="26" t="e">
        <f>ROUND(P297,2)*Q297</f>
        <v>#DIV/0!</v>
      </c>
      <c r="T297" s="97" t="e">
        <f>Q297*dagenperjaar1</f>
        <v>#DIV/0!</v>
      </c>
      <c r="U297" s="27" t="e">
        <f>T297*ROUND(P297,2)</f>
        <v>#DIV/0!</v>
      </c>
    </row>
    <row r="298" spans="1:21" x14ac:dyDescent="0.2">
      <c r="A298" s="94" t="s">
        <v>627</v>
      </c>
      <c r="B298" s="95" t="s">
        <v>35</v>
      </c>
      <c r="C298" s="95" t="s">
        <v>401</v>
      </c>
      <c r="D298" s="95" t="s">
        <v>419</v>
      </c>
      <c r="E298" s="96" t="s">
        <v>648</v>
      </c>
      <c r="F298" s="95" t="s">
        <v>647</v>
      </c>
      <c r="G298" s="95" t="s">
        <v>216</v>
      </c>
      <c r="H298" s="95" t="s">
        <v>9</v>
      </c>
      <c r="I298" s="95" t="s">
        <v>190</v>
      </c>
      <c r="J298" s="96" t="s">
        <v>217</v>
      </c>
      <c r="K298" s="97">
        <v>34</v>
      </c>
      <c r="L298" s="97">
        <f>K298*VLOOKUP(H298,dagsoorttabel1,2,FALSE)</f>
        <v>34</v>
      </c>
      <c r="M298" s="98">
        <f>prodnorm25</f>
        <v>0</v>
      </c>
      <c r="N298" s="41">
        <f>dagwerk25</f>
        <v>0</v>
      </c>
      <c r="O298" s="95" t="s">
        <v>101</v>
      </c>
      <c r="P298" s="26">
        <f>uurtarief25</f>
        <v>0</v>
      </c>
      <c r="Q298" s="97" t="e">
        <f>IF(ISBLANK(M298),0,L298/ROUND(M298,4))</f>
        <v>#DIV/0!</v>
      </c>
      <c r="R298" s="97" t="e">
        <f>IF(ISBLANK(M298),0,Q298*ROUND(N298,2))</f>
        <v>#DIV/0!</v>
      </c>
      <c r="S298" s="26" t="e">
        <f>ROUND(P298,2)*Q298</f>
        <v>#DIV/0!</v>
      </c>
      <c r="T298" s="97" t="e">
        <f>Q298*dagenperjaar1</f>
        <v>#DIV/0!</v>
      </c>
      <c r="U298" s="27" t="e">
        <f>T298*ROUND(P298,2)</f>
        <v>#DIV/0!</v>
      </c>
    </row>
    <row r="299" spans="1:21" x14ac:dyDescent="0.2">
      <c r="A299" s="94" t="s">
        <v>627</v>
      </c>
      <c r="B299" s="95" t="s">
        <v>35</v>
      </c>
      <c r="C299" s="95" t="s">
        <v>401</v>
      </c>
      <c r="D299" s="95" t="s">
        <v>421</v>
      </c>
      <c r="E299" s="96" t="s">
        <v>649</v>
      </c>
      <c r="F299" s="95" t="s">
        <v>647</v>
      </c>
      <c r="G299" s="95" t="s">
        <v>281</v>
      </c>
      <c r="H299" s="95"/>
      <c r="I299" s="95"/>
      <c r="J299" s="95"/>
      <c r="K299" s="97">
        <v>5</v>
      </c>
      <c r="L299" s="97"/>
      <c r="M299" s="98"/>
      <c r="N299" s="41"/>
      <c r="O299" s="95"/>
      <c r="P299" s="26"/>
      <c r="Q299" s="97"/>
      <c r="R299" s="97"/>
      <c r="S299" s="26"/>
      <c r="T299" s="99"/>
      <c r="U299" s="27"/>
    </row>
    <row r="300" spans="1:21" x14ac:dyDescent="0.2">
      <c r="A300" s="94" t="s">
        <v>627</v>
      </c>
      <c r="B300" s="95" t="s">
        <v>35</v>
      </c>
      <c r="C300" s="95" t="s">
        <v>401</v>
      </c>
      <c r="D300" s="95" t="s">
        <v>423</v>
      </c>
      <c r="E300" s="96" t="s">
        <v>650</v>
      </c>
      <c r="F300" s="95" t="s">
        <v>647</v>
      </c>
      <c r="G300" s="95" t="s">
        <v>208</v>
      </c>
      <c r="H300" s="95" t="s">
        <v>9</v>
      </c>
      <c r="I300" s="95" t="s">
        <v>190</v>
      </c>
      <c r="J300" s="96" t="s">
        <v>209</v>
      </c>
      <c r="K300" s="97">
        <v>105</v>
      </c>
      <c r="L300" s="97">
        <f>K300*VLOOKUP(H300,dagsoorttabel1,2,FALSE)</f>
        <v>105</v>
      </c>
      <c r="M300" s="98">
        <f>prodnorm21</f>
        <v>0</v>
      </c>
      <c r="N300" s="41">
        <f>dagwerk21</f>
        <v>0</v>
      </c>
      <c r="O300" s="95" t="s">
        <v>101</v>
      </c>
      <c r="P300" s="26">
        <f>uurtarief21</f>
        <v>0</v>
      </c>
      <c r="Q300" s="97" t="e">
        <f>IF(ISBLANK(M300),0,L300/ROUND(M300,4))</f>
        <v>#DIV/0!</v>
      </c>
      <c r="R300" s="97" t="e">
        <f>IF(ISBLANK(M300),0,Q300*ROUND(N300,2))</f>
        <v>#DIV/0!</v>
      </c>
      <c r="S300" s="26" t="e">
        <f>ROUND(P300,2)*Q300</f>
        <v>#DIV/0!</v>
      </c>
      <c r="T300" s="97" t="e">
        <f>Q300*dagenperjaar1</f>
        <v>#DIV/0!</v>
      </c>
      <c r="U300" s="27" t="e">
        <f>T300*ROUND(P300,2)</f>
        <v>#DIV/0!</v>
      </c>
    </row>
    <row r="301" spans="1:21" x14ac:dyDescent="0.2">
      <c r="A301" s="100" t="s">
        <v>627</v>
      </c>
      <c r="B301" s="101" t="s">
        <v>35</v>
      </c>
      <c r="C301" s="101" t="s">
        <v>401</v>
      </c>
      <c r="D301" s="101" t="s">
        <v>424</v>
      </c>
      <c r="E301" s="102" t="s">
        <v>651</v>
      </c>
      <c r="F301" s="101" t="s">
        <v>647</v>
      </c>
      <c r="G301" s="101" t="s">
        <v>216</v>
      </c>
      <c r="H301" s="101" t="s">
        <v>9</v>
      </c>
      <c r="I301" s="101" t="s">
        <v>190</v>
      </c>
      <c r="J301" s="102" t="s">
        <v>217</v>
      </c>
      <c r="K301" s="103">
        <v>3</v>
      </c>
      <c r="L301" s="103">
        <f>K301*VLOOKUP(H301,dagsoorttabel1,2,FALSE)</f>
        <v>3</v>
      </c>
      <c r="M301" s="104">
        <f>prodnorm25</f>
        <v>0</v>
      </c>
      <c r="N301" s="105">
        <f>dagwerk25</f>
        <v>0</v>
      </c>
      <c r="O301" s="101" t="s">
        <v>101</v>
      </c>
      <c r="P301" s="36">
        <f>uurtarief25</f>
        <v>0</v>
      </c>
      <c r="Q301" s="103" t="e">
        <f>IF(ISBLANK(M301),0,L301/ROUND(M301,4))</f>
        <v>#DIV/0!</v>
      </c>
      <c r="R301" s="103" t="e">
        <f>IF(ISBLANK(M301),0,Q301*ROUND(N301,2))</f>
        <v>#DIV/0!</v>
      </c>
      <c r="S301" s="36" t="e">
        <f>ROUND(P301,2)*Q301</f>
        <v>#DIV/0!</v>
      </c>
      <c r="T301" s="103" t="e">
        <f>Q301*dagenperjaar1</f>
        <v>#DIV/0!</v>
      </c>
      <c r="U301" s="37" t="e">
        <f>T301*ROUND(P301,2)</f>
        <v>#DIV/0!</v>
      </c>
    </row>
    <row r="302" spans="1:21" x14ac:dyDescent="0.2">
      <c r="A302" s="76" t="s">
        <v>586</v>
      </c>
      <c r="B302" s="77"/>
      <c r="C302" s="77"/>
      <c r="D302" s="77"/>
      <c r="E302" s="77"/>
      <c r="F302" s="77"/>
      <c r="G302" s="77"/>
      <c r="H302" s="77"/>
      <c r="I302" s="77"/>
      <c r="J302" s="77"/>
      <c r="K302" s="77"/>
      <c r="L302" s="77"/>
      <c r="M302" s="77"/>
      <c r="N302" s="77"/>
      <c r="O302" s="77"/>
      <c r="P302" s="79" t="e">
        <f>IF(_xlfn.SINGLE(object3_urenjaar1)&gt;0,_xlfn.SINGLE(object3_prijsjaar1)/_xlfn.SINGLE(object3_urenjaar1),0)</f>
        <v>#DIV/0!</v>
      </c>
      <c r="Q302" s="78" t="e">
        <f>SUM(Q277:Q301)</f>
        <v>#DIV/0!</v>
      </c>
      <c r="R302" s="78" t="e">
        <f>SUM(R277:R301)</f>
        <v>#DIV/0!</v>
      </c>
      <c r="S302" s="79" t="e">
        <f>SUM(S277:S301)</f>
        <v>#DIV/0!</v>
      </c>
      <c r="T302" s="78" t="e">
        <f>SUM(T277:T301)</f>
        <v>#DIV/0!</v>
      </c>
      <c r="U302" s="79" t="e">
        <f>SUM(U277:U301)</f>
        <v>#DIV/0!</v>
      </c>
    </row>
  </sheetData>
  <sheetProtection algorithmName="SHA-512" hashValue="AgB9dX/ECdD4ycjbnrk2iDKyfP5qN/7laJQMdEIseMM1wrbv/EPIOeTzvkF9wqIGVCZ3PEGVccamyZO0U/dpYA==" saltValue="2F0OcuUo6BiwIX7x2OsbGA==" spinCount="100000" sheet="1" objects="1" scenarios="1" autoFilter="0"/>
  <autoFilter ref="A3:U302" xr:uid="{EBBA7D4E-0C03-4F14-92CF-BA7BAE1B37E3}"/>
  <pageMargins left="0.7" right="0.7" top="0.75" bottom="0.75" header="0.3" footer="0.3"/>
  <pageSetup paperSize="9" scale="61" orientation="landscape" horizontalDpi="4294967295" verticalDpi="4294967295" r:id="rId1"/>
  <headerFooter>
    <oddFooter>&amp;LGemeente Montferland EA 2026                                &amp;ROpmaakdatum: 16-09-2026
Intexso - Plantageweg 23E - Leusden
+31 (33) 2778485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5724D-2F70-43E4-86B4-BDDEDB1BA193}">
  <dimension ref="A1:L26"/>
  <sheetViews>
    <sheetView workbookViewId="0"/>
  </sheetViews>
  <sheetFormatPr defaultRowHeight="12.75" x14ac:dyDescent="0.2"/>
  <cols>
    <col min="1" max="1" width="5.625" customWidth="1"/>
    <col min="2" max="2" width="6.125" customWidth="1"/>
    <col min="3" max="3" width="11.625" customWidth="1"/>
    <col min="4" max="12" width="12.625" customWidth="1"/>
  </cols>
  <sheetData>
    <row r="1" spans="1:12" x14ac:dyDescent="0.2">
      <c r="A1" s="1" t="s">
        <v>652</v>
      </c>
    </row>
    <row r="3" spans="1:12" ht="25.5" x14ac:dyDescent="0.2">
      <c r="A3" s="107" t="s">
        <v>181</v>
      </c>
      <c r="B3" s="107" t="s">
        <v>7</v>
      </c>
      <c r="C3" s="108" t="s">
        <v>653</v>
      </c>
      <c r="D3" s="108" t="s">
        <v>654</v>
      </c>
      <c r="E3" s="108" t="s">
        <v>655</v>
      </c>
      <c r="F3" s="108" t="s">
        <v>656</v>
      </c>
      <c r="G3" s="108" t="s">
        <v>657</v>
      </c>
      <c r="H3" s="108" t="s">
        <v>658</v>
      </c>
      <c r="I3" s="107" t="s">
        <v>659</v>
      </c>
      <c r="J3" s="107" t="s">
        <v>660</v>
      </c>
      <c r="K3" s="107" t="s">
        <v>661</v>
      </c>
      <c r="L3" s="107" t="s">
        <v>662</v>
      </c>
    </row>
    <row r="4" spans="1:12" x14ac:dyDescent="0.2">
      <c r="A4" s="109"/>
      <c r="B4" s="109"/>
      <c r="C4" s="109"/>
      <c r="D4" s="109"/>
      <c r="E4" s="109"/>
      <c r="F4" s="109"/>
      <c r="G4" s="109"/>
      <c r="H4" s="109"/>
      <c r="I4" s="109"/>
      <c r="J4" s="110" t="s">
        <v>183</v>
      </c>
      <c r="K4" s="110" t="s">
        <v>183</v>
      </c>
      <c r="L4" s="110" t="s">
        <v>183</v>
      </c>
    </row>
    <row r="5" spans="1:12" x14ac:dyDescent="0.2">
      <c r="A5" s="51" t="s">
        <v>189</v>
      </c>
      <c r="B5" s="51" t="s">
        <v>9</v>
      </c>
      <c r="C5" s="51" t="s">
        <v>663</v>
      </c>
      <c r="D5" s="51" t="s">
        <v>190</v>
      </c>
      <c r="E5" s="66">
        <f>IF(B5="","",VLOOKUP(B5,dagsoorttabel1,2,FALSE))</f>
        <v>1</v>
      </c>
      <c r="F5" s="66">
        <v>1</v>
      </c>
      <c r="G5" s="66">
        <f>IF(prodnorm11&gt;0,1/ROUND(prodnorm11,4),0)</f>
        <v>0</v>
      </c>
      <c r="H5" s="68">
        <f>ROUND(dagwerk11,4+2)</f>
        <v>0</v>
      </c>
      <c r="I5" s="55">
        <f>ROUND(uurtarief11,2)</f>
        <v>0</v>
      </c>
      <c r="J5" s="66">
        <v>36.4</v>
      </c>
      <c r="K5" s="66">
        <v>70</v>
      </c>
      <c r="L5" s="66">
        <v>0</v>
      </c>
    </row>
    <row r="6" spans="1:12" x14ac:dyDescent="0.2">
      <c r="A6" s="56" t="s">
        <v>192</v>
      </c>
      <c r="B6" s="56" t="s">
        <v>9</v>
      </c>
      <c r="C6" s="56" t="s">
        <v>663</v>
      </c>
      <c r="D6" s="56" t="s">
        <v>190</v>
      </c>
      <c r="E6" s="69">
        <f>IF(B6="","",VLOOKUP(B6,dagsoorttabel1,2,FALSE))</f>
        <v>1</v>
      </c>
      <c r="F6" s="69">
        <v>1</v>
      </c>
      <c r="G6" s="69">
        <f>IF(prodnorm12&gt;0,1/ROUND(prodnorm12,4),0)</f>
        <v>0</v>
      </c>
      <c r="H6" s="71">
        <f>ROUND(dagwerk12,4+2)</f>
        <v>0</v>
      </c>
      <c r="I6" s="60">
        <f>ROUND(uurtarief12,2)</f>
        <v>0</v>
      </c>
      <c r="J6" s="69">
        <v>1749.8000000000002</v>
      </c>
      <c r="K6" s="69">
        <v>0</v>
      </c>
      <c r="L6" s="69">
        <v>165</v>
      </c>
    </row>
    <row r="7" spans="1:12" x14ac:dyDescent="0.2">
      <c r="A7" s="56" t="s">
        <v>194</v>
      </c>
      <c r="B7" s="56" t="s">
        <v>9</v>
      </c>
      <c r="C7" s="56" t="s">
        <v>663</v>
      </c>
      <c r="D7" s="56" t="s">
        <v>190</v>
      </c>
      <c r="E7" s="69">
        <f>IF(B7="","",VLOOKUP(B7,dagsoorttabel1,2,FALSE))</f>
        <v>1</v>
      </c>
      <c r="F7" s="69">
        <v>1</v>
      </c>
      <c r="G7" s="69">
        <f>IF(prodnorm13&gt;0,1/ROUND(prodnorm13,4),0)</f>
        <v>0</v>
      </c>
      <c r="H7" s="71">
        <f>ROUND(dagwerk13,4+2)</f>
        <v>0</v>
      </c>
      <c r="I7" s="60">
        <f>ROUND(uurtarief13,2)</f>
        <v>0</v>
      </c>
      <c r="J7" s="69">
        <v>35</v>
      </c>
      <c r="K7" s="69">
        <v>100</v>
      </c>
      <c r="L7" s="69">
        <v>0</v>
      </c>
    </row>
    <row r="8" spans="1:12" x14ac:dyDescent="0.2">
      <c r="A8" s="56" t="s">
        <v>196</v>
      </c>
      <c r="B8" s="56" t="s">
        <v>13</v>
      </c>
      <c r="C8" s="56" t="s">
        <v>663</v>
      </c>
      <c r="D8" s="56" t="s">
        <v>190</v>
      </c>
      <c r="E8" s="69">
        <f>IF(B8="","",VLOOKUP(B8,dagsoorttabel1,2,FALSE))</f>
        <v>0.2</v>
      </c>
      <c r="F8" s="69">
        <v>1</v>
      </c>
      <c r="G8" s="69">
        <f>IF(prodnorm14&gt;0,1/ROUND(prodnorm14,4),0)</f>
        <v>0</v>
      </c>
      <c r="H8" s="71">
        <f>ROUND(dagwerk14,4+2)</f>
        <v>0</v>
      </c>
      <c r="I8" s="60">
        <f>ROUND(uurtarief14,2)</f>
        <v>0</v>
      </c>
      <c r="J8" s="69">
        <v>56.71</v>
      </c>
      <c r="K8" s="69">
        <v>0</v>
      </c>
      <c r="L8" s="69">
        <v>0</v>
      </c>
    </row>
    <row r="9" spans="1:12" x14ac:dyDescent="0.2">
      <c r="A9" s="56" t="s">
        <v>196</v>
      </c>
      <c r="B9" s="56" t="s">
        <v>9</v>
      </c>
      <c r="C9" s="56" t="s">
        <v>663</v>
      </c>
      <c r="D9" s="56" t="s">
        <v>190</v>
      </c>
      <c r="E9" s="69">
        <f>IF(B9="","",VLOOKUP(B9,dagsoorttabel1,2,FALSE))</f>
        <v>1</v>
      </c>
      <c r="F9" s="69">
        <v>1</v>
      </c>
      <c r="G9" s="69">
        <f>IF(prodnorm15&gt;0,1/ROUND(prodnorm15,4),0)</f>
        <v>0</v>
      </c>
      <c r="H9" s="71">
        <f>ROUND(dagwerk15,4+2)</f>
        <v>0</v>
      </c>
      <c r="I9" s="60">
        <f>ROUND(uurtarief15,2)</f>
        <v>0</v>
      </c>
      <c r="J9" s="69">
        <v>328.31</v>
      </c>
      <c r="K9" s="69">
        <v>97</v>
      </c>
      <c r="L9" s="69">
        <v>0</v>
      </c>
    </row>
    <row r="10" spans="1:12" x14ac:dyDescent="0.2">
      <c r="A10" s="56" t="s">
        <v>198</v>
      </c>
      <c r="B10" s="56" t="s">
        <v>9</v>
      </c>
      <c r="C10" s="56" t="s">
        <v>663</v>
      </c>
      <c r="D10" s="56" t="s">
        <v>190</v>
      </c>
      <c r="E10" s="69">
        <f>IF(B10="","",VLOOKUP(B10,dagsoorttabel1,2,FALSE))</f>
        <v>1</v>
      </c>
      <c r="F10" s="69">
        <v>1</v>
      </c>
      <c r="G10" s="69">
        <f>IF(prodnorm16&gt;0,1/ROUND(prodnorm16,4),0)</f>
        <v>0</v>
      </c>
      <c r="H10" s="71">
        <f>ROUND(dagwerk16,4+2)</f>
        <v>0</v>
      </c>
      <c r="I10" s="60">
        <f>ROUND(uurtarief16,2)</f>
        <v>0</v>
      </c>
      <c r="J10" s="69">
        <v>209.20999999999998</v>
      </c>
      <c r="K10" s="69">
        <v>145</v>
      </c>
      <c r="L10" s="69">
        <v>0</v>
      </c>
    </row>
    <row r="11" spans="1:12" x14ac:dyDescent="0.2">
      <c r="A11" s="56" t="s">
        <v>200</v>
      </c>
      <c r="B11" s="56" t="s">
        <v>9</v>
      </c>
      <c r="C11" s="56" t="s">
        <v>663</v>
      </c>
      <c r="D11" s="56" t="s">
        <v>190</v>
      </c>
      <c r="E11" s="69">
        <f>IF(B11="","",VLOOKUP(B11,dagsoorttabel1,2,FALSE))</f>
        <v>1</v>
      </c>
      <c r="F11" s="69">
        <v>1</v>
      </c>
      <c r="G11" s="69">
        <f>IF(prodnorm17&gt;0,1/ROUND(prodnorm17,4),0)</f>
        <v>0</v>
      </c>
      <c r="H11" s="71">
        <f>ROUND(dagwerk17,4+2)</f>
        <v>0</v>
      </c>
      <c r="I11" s="60">
        <f>ROUND(uurtarief17,2)</f>
        <v>0</v>
      </c>
      <c r="J11" s="69">
        <v>514.86</v>
      </c>
      <c r="K11" s="69">
        <v>99</v>
      </c>
      <c r="L11" s="69">
        <v>35</v>
      </c>
    </row>
    <row r="12" spans="1:12" x14ac:dyDescent="0.2">
      <c r="A12" s="56" t="s">
        <v>202</v>
      </c>
      <c r="B12" s="56" t="s">
        <v>9</v>
      </c>
      <c r="C12" s="56" t="s">
        <v>663</v>
      </c>
      <c r="D12" s="56" t="s">
        <v>190</v>
      </c>
      <c r="E12" s="69">
        <f>IF(B12="","",VLOOKUP(B12,dagsoorttabel1,2,FALSE))</f>
        <v>1</v>
      </c>
      <c r="F12" s="69">
        <v>1</v>
      </c>
      <c r="G12" s="69">
        <f>IF(prodnorm18&gt;0,1/ROUND(prodnorm18,4),0)</f>
        <v>0</v>
      </c>
      <c r="H12" s="71">
        <f>ROUND(dagwerk18,4+2)</f>
        <v>0</v>
      </c>
      <c r="I12" s="60">
        <f>ROUND(uurtarief18,2)</f>
        <v>0</v>
      </c>
      <c r="J12" s="69">
        <v>75.260000000000005</v>
      </c>
      <c r="K12" s="69">
        <v>0</v>
      </c>
      <c r="L12" s="69">
        <v>0</v>
      </c>
    </row>
    <row r="13" spans="1:12" x14ac:dyDescent="0.2">
      <c r="A13" s="56" t="s">
        <v>204</v>
      </c>
      <c r="B13" s="56" t="s">
        <v>9</v>
      </c>
      <c r="C13" s="56" t="s">
        <v>663</v>
      </c>
      <c r="D13" s="56" t="s">
        <v>190</v>
      </c>
      <c r="E13" s="69">
        <f>IF(B13="","",VLOOKUP(B13,dagsoorttabel1,2,FALSE))</f>
        <v>1</v>
      </c>
      <c r="F13" s="69">
        <v>1</v>
      </c>
      <c r="G13" s="69">
        <f>IF(prodnorm19&gt;0,1/ROUND(prodnorm19,4),0)</f>
        <v>0</v>
      </c>
      <c r="H13" s="71">
        <f>ROUND(dagwerk19,4+2)</f>
        <v>0</v>
      </c>
      <c r="I13" s="60">
        <f>ROUND(uurtarief19,2)</f>
        <v>0</v>
      </c>
      <c r="J13" s="69">
        <v>15.120000000000001</v>
      </c>
      <c r="K13" s="69">
        <v>15</v>
      </c>
      <c r="L13" s="69">
        <v>0</v>
      </c>
    </row>
    <row r="14" spans="1:12" x14ac:dyDescent="0.2">
      <c r="A14" s="56" t="s">
        <v>206</v>
      </c>
      <c r="B14" s="56" t="s">
        <v>9</v>
      </c>
      <c r="C14" s="56" t="s">
        <v>663</v>
      </c>
      <c r="D14" s="56" t="s">
        <v>190</v>
      </c>
      <c r="E14" s="69">
        <f>IF(B14="","",VLOOKUP(B14,dagsoorttabel1,2,FALSE))</f>
        <v>1</v>
      </c>
      <c r="F14" s="69">
        <v>1</v>
      </c>
      <c r="G14" s="69">
        <f>IF(prodnorm20&gt;0,1/ROUND(prodnorm20,4),0)</f>
        <v>0</v>
      </c>
      <c r="H14" s="71">
        <f>ROUND(dagwerk20,4+2)</f>
        <v>0</v>
      </c>
      <c r="I14" s="60">
        <f>ROUND(uurtarief20,2)</f>
        <v>0</v>
      </c>
      <c r="J14" s="69">
        <v>15.120000000000001</v>
      </c>
      <c r="K14" s="69">
        <v>0</v>
      </c>
      <c r="L14" s="69">
        <v>3</v>
      </c>
    </row>
    <row r="15" spans="1:12" x14ac:dyDescent="0.2">
      <c r="A15" s="56" t="s">
        <v>208</v>
      </c>
      <c r="B15" s="56" t="s">
        <v>9</v>
      </c>
      <c r="C15" s="56" t="s">
        <v>663</v>
      </c>
      <c r="D15" s="56" t="s">
        <v>190</v>
      </c>
      <c r="E15" s="69">
        <f>IF(B15="","",VLOOKUP(B15,dagsoorttabel1,2,FALSE))</f>
        <v>1</v>
      </c>
      <c r="F15" s="69">
        <v>1</v>
      </c>
      <c r="G15" s="69">
        <f>IF(prodnorm21&gt;0,1/ROUND(prodnorm21,4),0)</f>
        <v>0</v>
      </c>
      <c r="H15" s="71">
        <f>ROUND(dagwerk21,4+2)</f>
        <v>0</v>
      </c>
      <c r="I15" s="60">
        <f>ROUND(uurtarief21,2)</f>
        <v>0</v>
      </c>
      <c r="J15" s="69">
        <v>0</v>
      </c>
      <c r="K15" s="69">
        <v>0</v>
      </c>
      <c r="L15" s="69">
        <v>105</v>
      </c>
    </row>
    <row r="16" spans="1:12" x14ac:dyDescent="0.2">
      <c r="A16" s="56" t="s">
        <v>210</v>
      </c>
      <c r="B16" s="56" t="s">
        <v>9</v>
      </c>
      <c r="C16" s="56" t="s">
        <v>663</v>
      </c>
      <c r="D16" s="56" t="s">
        <v>190</v>
      </c>
      <c r="E16" s="69">
        <f>IF(B16="","",VLOOKUP(B16,dagsoorttabel1,2,FALSE))</f>
        <v>1</v>
      </c>
      <c r="F16" s="69">
        <v>1</v>
      </c>
      <c r="G16" s="69">
        <f>IF(prodnorm22&gt;0,1/ROUND(prodnorm22,4),0)</f>
        <v>0</v>
      </c>
      <c r="H16" s="71">
        <f>ROUND(dagwerk22,4+2)</f>
        <v>0</v>
      </c>
      <c r="I16" s="60">
        <f>ROUND(uurtarief22,2)</f>
        <v>0</v>
      </c>
      <c r="J16" s="69">
        <v>3.9600000000000004</v>
      </c>
      <c r="K16" s="69">
        <v>0</v>
      </c>
      <c r="L16" s="69">
        <v>94</v>
      </c>
    </row>
    <row r="17" spans="1:12" x14ac:dyDescent="0.2">
      <c r="A17" s="56" t="s">
        <v>212</v>
      </c>
      <c r="B17" s="56" t="s">
        <v>9</v>
      </c>
      <c r="C17" s="56" t="s">
        <v>663</v>
      </c>
      <c r="D17" s="56" t="s">
        <v>190</v>
      </c>
      <c r="E17" s="69">
        <f>IF(B17="","",VLOOKUP(B17,dagsoorttabel1,2,FALSE))</f>
        <v>1</v>
      </c>
      <c r="F17" s="69">
        <v>1</v>
      </c>
      <c r="G17" s="69">
        <f>IF(prodnorm23&gt;0,1/ROUND(prodnorm23,4),0)</f>
        <v>0</v>
      </c>
      <c r="H17" s="71">
        <f>ROUND(dagwerk23,4+2)</f>
        <v>0</v>
      </c>
      <c r="I17" s="60">
        <f>ROUND(uurtarief23,2)</f>
        <v>0</v>
      </c>
      <c r="J17" s="69">
        <v>18.63</v>
      </c>
      <c r="K17" s="69">
        <v>0</v>
      </c>
      <c r="L17" s="69">
        <v>0</v>
      </c>
    </row>
    <row r="18" spans="1:12" x14ac:dyDescent="0.2">
      <c r="A18" s="56" t="s">
        <v>214</v>
      </c>
      <c r="B18" s="56" t="s">
        <v>9</v>
      </c>
      <c r="C18" s="56" t="s">
        <v>663</v>
      </c>
      <c r="D18" s="56" t="s">
        <v>190</v>
      </c>
      <c r="E18" s="69">
        <f>IF(B18="","",VLOOKUP(B18,dagsoorttabel1,2,FALSE))</f>
        <v>1</v>
      </c>
      <c r="F18" s="69">
        <v>1</v>
      </c>
      <c r="G18" s="69">
        <f>IF(prodnorm24&gt;0,1/ROUND(prodnorm24,4),0)</f>
        <v>0</v>
      </c>
      <c r="H18" s="71">
        <f>ROUND(dagwerk24,4+2)</f>
        <v>0</v>
      </c>
      <c r="I18" s="60">
        <f>ROUND(uurtarief24,2)</f>
        <v>0</v>
      </c>
      <c r="J18" s="69">
        <v>100.70000000000002</v>
      </c>
      <c r="K18" s="69">
        <v>23</v>
      </c>
      <c r="L18" s="69">
        <v>24</v>
      </c>
    </row>
    <row r="19" spans="1:12" x14ac:dyDescent="0.2">
      <c r="A19" s="56" t="s">
        <v>216</v>
      </c>
      <c r="B19" s="56" t="s">
        <v>9</v>
      </c>
      <c r="C19" s="56" t="s">
        <v>663</v>
      </c>
      <c r="D19" s="56" t="s">
        <v>190</v>
      </c>
      <c r="E19" s="69">
        <f>IF(B19="","",VLOOKUP(B19,dagsoorttabel1,2,FALSE))</f>
        <v>1</v>
      </c>
      <c r="F19" s="69">
        <v>1</v>
      </c>
      <c r="G19" s="69">
        <f>IF(prodnorm25&gt;0,1/ROUND(prodnorm25,4),0)</f>
        <v>0</v>
      </c>
      <c r="H19" s="71">
        <f>ROUND(dagwerk25,4+2)</f>
        <v>0</v>
      </c>
      <c r="I19" s="60">
        <f>ROUND(uurtarief25,2)</f>
        <v>0</v>
      </c>
      <c r="J19" s="69">
        <v>308.91000000000003</v>
      </c>
      <c r="K19" s="69">
        <v>259</v>
      </c>
      <c r="L19" s="69">
        <v>82</v>
      </c>
    </row>
    <row r="20" spans="1:12" x14ac:dyDescent="0.2">
      <c r="A20" s="56" t="s">
        <v>218</v>
      </c>
      <c r="B20" s="56" t="s">
        <v>9</v>
      </c>
      <c r="C20" s="56" t="s">
        <v>663</v>
      </c>
      <c r="D20" s="56" t="s">
        <v>190</v>
      </c>
      <c r="E20" s="69">
        <f>IF(B20="","",VLOOKUP(B20,dagsoorttabel1,2,FALSE))</f>
        <v>1</v>
      </c>
      <c r="F20" s="69">
        <v>1</v>
      </c>
      <c r="G20" s="69">
        <f>IF(prodnorm26&gt;0,1/ROUND(prodnorm26,4),0)</f>
        <v>0</v>
      </c>
      <c r="H20" s="71">
        <f>ROUND(dagwerk26,4+2)</f>
        <v>0</v>
      </c>
      <c r="I20" s="60">
        <f>ROUND(uurtarief26,2)</f>
        <v>0</v>
      </c>
      <c r="J20" s="69">
        <v>420.33000000000004</v>
      </c>
      <c r="K20" s="69">
        <v>55</v>
      </c>
      <c r="L20" s="69">
        <v>35</v>
      </c>
    </row>
    <row r="21" spans="1:12" x14ac:dyDescent="0.2">
      <c r="A21" s="56" t="s">
        <v>220</v>
      </c>
      <c r="B21" s="56" t="s">
        <v>9</v>
      </c>
      <c r="C21" s="56" t="s">
        <v>663</v>
      </c>
      <c r="D21" s="56" t="s">
        <v>190</v>
      </c>
      <c r="E21" s="69">
        <f>IF(B21="","",VLOOKUP(B21,dagsoorttabel1,2,FALSE))</f>
        <v>1</v>
      </c>
      <c r="F21" s="69">
        <v>1</v>
      </c>
      <c r="G21" s="69">
        <f>IF(prodnorm27&gt;0,1/ROUND(prodnorm27,4),0)</f>
        <v>0</v>
      </c>
      <c r="H21" s="71">
        <f>ROUND(dagwerk27,4+2)</f>
        <v>0</v>
      </c>
      <c r="I21" s="60">
        <f>ROUND(uurtarief27,2)</f>
        <v>0</v>
      </c>
      <c r="J21" s="69">
        <v>483.30999999999995</v>
      </c>
      <c r="K21" s="69">
        <v>0</v>
      </c>
      <c r="L21" s="69">
        <v>0</v>
      </c>
    </row>
    <row r="22" spans="1:12" x14ac:dyDescent="0.2">
      <c r="A22" s="56" t="s">
        <v>222</v>
      </c>
      <c r="B22" s="56" t="s">
        <v>9</v>
      </c>
      <c r="C22" s="56" t="s">
        <v>663</v>
      </c>
      <c r="D22" s="56" t="s">
        <v>190</v>
      </c>
      <c r="E22" s="69">
        <f>IF(B22="","",VLOOKUP(B22,dagsoorttabel1,2,FALSE))</f>
        <v>1</v>
      </c>
      <c r="F22" s="69">
        <v>1</v>
      </c>
      <c r="G22" s="69">
        <f>IF(prodnorm28&gt;0,1/ROUND(prodnorm28,4),0)</f>
        <v>0</v>
      </c>
      <c r="H22" s="71">
        <f>ROUND(dagwerk28,4+2)</f>
        <v>0</v>
      </c>
      <c r="I22" s="60">
        <f>ROUND(uurtarief28,2)</f>
        <v>0</v>
      </c>
      <c r="J22" s="69">
        <v>142.12</v>
      </c>
      <c r="K22" s="69">
        <v>0</v>
      </c>
      <c r="L22" s="69">
        <v>0</v>
      </c>
    </row>
    <row r="23" spans="1:12" x14ac:dyDescent="0.2">
      <c r="A23" s="56" t="s">
        <v>224</v>
      </c>
      <c r="B23" s="56" t="s">
        <v>9</v>
      </c>
      <c r="C23" s="56" t="s">
        <v>663</v>
      </c>
      <c r="D23" s="56" t="s">
        <v>190</v>
      </c>
      <c r="E23" s="69">
        <f>IF(B23="","",VLOOKUP(B23,dagsoorttabel1,2,FALSE))</f>
        <v>1</v>
      </c>
      <c r="F23" s="69">
        <v>1</v>
      </c>
      <c r="G23" s="69">
        <f>IF(prodnorm29&gt;0,1/ROUND(prodnorm29,4),0)</f>
        <v>0</v>
      </c>
      <c r="H23" s="71">
        <f>ROUND(dagwerk29,4+2)</f>
        <v>0</v>
      </c>
      <c r="I23" s="60">
        <f>ROUND(uurtarief29,2)</f>
        <v>0</v>
      </c>
      <c r="J23" s="69">
        <v>4.3</v>
      </c>
      <c r="K23" s="69">
        <v>0</v>
      </c>
      <c r="L23" s="69">
        <v>2</v>
      </c>
    </row>
    <row r="24" spans="1:12" x14ac:dyDescent="0.2">
      <c r="A24" s="56" t="s">
        <v>226</v>
      </c>
      <c r="B24" s="56" t="s">
        <v>9</v>
      </c>
      <c r="C24" s="56" t="s">
        <v>663</v>
      </c>
      <c r="D24" s="56" t="s">
        <v>190</v>
      </c>
      <c r="E24" s="69">
        <f>IF(B24="","",VLOOKUP(B24,dagsoorttabel1,2,FALSE))</f>
        <v>1</v>
      </c>
      <c r="F24" s="69">
        <v>1</v>
      </c>
      <c r="G24" s="69">
        <f>IF(prodnorm30&gt;0,1/ROUND(prodnorm30,4),0)</f>
        <v>0</v>
      </c>
      <c r="H24" s="71">
        <f>ROUND(dagwerk30,4+2)</f>
        <v>0</v>
      </c>
      <c r="I24" s="60">
        <f>ROUND(uurtarief30,2)</f>
        <v>0</v>
      </c>
      <c r="J24" s="69">
        <v>22.2</v>
      </c>
      <c r="K24" s="69">
        <v>0</v>
      </c>
      <c r="L24" s="69">
        <v>0</v>
      </c>
    </row>
    <row r="25" spans="1:12" x14ac:dyDescent="0.2">
      <c r="A25" s="61" t="s">
        <v>228</v>
      </c>
      <c r="B25" s="61" t="s">
        <v>9</v>
      </c>
      <c r="C25" s="61" t="s">
        <v>663</v>
      </c>
      <c r="D25" s="61" t="s">
        <v>190</v>
      </c>
      <c r="E25" s="72">
        <f>IF(B25="","",VLOOKUP(B25,dagsoorttabel1,2,FALSE))</f>
        <v>1</v>
      </c>
      <c r="F25" s="72">
        <v>1</v>
      </c>
      <c r="G25" s="72">
        <f>IF(prodnorm31&gt;0,1/ROUND(prodnorm31,4),0)</f>
        <v>0</v>
      </c>
      <c r="H25" s="74">
        <f>ROUND(dagwerk31,4+2)</f>
        <v>0</v>
      </c>
      <c r="I25" s="65">
        <f>ROUND(uurtarief31,2)</f>
        <v>0</v>
      </c>
      <c r="J25" s="72">
        <v>142.85</v>
      </c>
      <c r="K25" s="72">
        <v>0</v>
      </c>
      <c r="L25" s="72">
        <v>0</v>
      </c>
    </row>
    <row r="26" spans="1:12" x14ac:dyDescent="0.2">
      <c r="A26" s="76" t="s">
        <v>230</v>
      </c>
      <c r="B26" s="77"/>
      <c r="C26" s="77"/>
      <c r="D26" s="77"/>
      <c r="E26" s="77"/>
      <c r="F26" s="77"/>
      <c r="G26" s="77"/>
      <c r="H26" s="77"/>
      <c r="I26" s="77"/>
      <c r="J26" s="111"/>
      <c r="K26" s="111"/>
      <c r="L26" s="111"/>
    </row>
  </sheetData>
  <sheetProtection algorithmName="SHA-512" hashValue="JsX97MCVn6FxrixoRNk1uj+AIQ6cJ651dbMvb+wFHIw1mqQGLkdklMoirLYhXSoMccT+csPxE3GEPaRxQYQQog==" saltValue="eVwozt0kM8Hpjp/6tMvLyQ==" spinCount="100000" sheet="1" objects="1" scenarios="1" autoFilter="0"/>
  <pageMargins left="0.7" right="0.7" top="0.75" bottom="0.75" header="0.3" footer="0.3"/>
  <pageSetup paperSize="9" scale="70" orientation="landscape" horizontalDpi="4294967295" verticalDpi="4294967295" r:id="rId1"/>
  <headerFooter>
    <oddFooter>&amp;LGemeente Montferland EA 2026                                &amp;ROpmaakdatum: 16-09-2026
Intexso - Plantageweg 23E - Leusden
+31 (33) 2778485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FC510-60CA-4364-AD2B-62CA2EC93C95}">
  <dimension ref="A1:R14"/>
  <sheetViews>
    <sheetView workbookViewId="0"/>
  </sheetViews>
  <sheetFormatPr defaultRowHeight="12.75" x14ac:dyDescent="0.2"/>
  <cols>
    <col min="1" max="1" width="8.625" customWidth="1"/>
    <col min="2" max="2" width="28.625" customWidth="1"/>
    <col min="3" max="4" width="15.625" customWidth="1"/>
    <col min="5" max="5" width="6.125" customWidth="1"/>
    <col min="6" max="6" width="10.625" customWidth="1"/>
    <col min="7" max="14" width="12.125" customWidth="1"/>
    <col min="15" max="16" width="12.625" customWidth="1"/>
    <col min="17" max="17" width="14.625" customWidth="1"/>
    <col min="18" max="18" width="13.625" customWidth="1"/>
  </cols>
  <sheetData>
    <row r="1" spans="1:18" x14ac:dyDescent="0.2">
      <c r="A1" s="1" t="str">
        <f>CONCATENATE("Bijlage D.4: ",tabeltype," objecten")</f>
        <v>Bijlage D.4: Invultabel objecten</v>
      </c>
    </row>
    <row r="3" spans="1:18" ht="51" x14ac:dyDescent="0.2">
      <c r="A3" s="44" t="s">
        <v>233</v>
      </c>
      <c r="B3" s="44" t="s">
        <v>664</v>
      </c>
      <c r="C3" s="44" t="s">
        <v>665</v>
      </c>
      <c r="D3" s="44" t="s">
        <v>666</v>
      </c>
      <c r="E3" s="44" t="s">
        <v>7</v>
      </c>
      <c r="F3" s="44" t="s">
        <v>667</v>
      </c>
      <c r="G3" s="44" t="s">
        <v>668</v>
      </c>
      <c r="H3" s="44" t="s">
        <v>669</v>
      </c>
      <c r="I3" s="44" t="s">
        <v>670</v>
      </c>
      <c r="J3" s="44" t="s">
        <v>671</v>
      </c>
      <c r="K3" s="44" t="s">
        <v>672</v>
      </c>
      <c r="L3" s="44" t="s">
        <v>673</v>
      </c>
      <c r="M3" s="44" t="s">
        <v>674</v>
      </c>
      <c r="N3" s="44" t="s">
        <v>675</v>
      </c>
      <c r="O3" s="44" t="s">
        <v>676</v>
      </c>
      <c r="P3" s="44" t="s">
        <v>187</v>
      </c>
      <c r="Q3" s="44" t="s">
        <v>188</v>
      </c>
      <c r="R3" s="44" t="s">
        <v>677</v>
      </c>
    </row>
    <row r="4" spans="1:18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7"/>
    </row>
    <row r="5" spans="1:18" x14ac:dyDescent="0.2">
      <c r="A5" s="48" t="s">
        <v>97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50"/>
    </row>
    <row r="6" spans="1:18" x14ac:dyDescent="0.2">
      <c r="A6" s="51" t="s">
        <v>243</v>
      </c>
      <c r="B6" s="51" t="s">
        <v>678</v>
      </c>
      <c r="C6" s="51" t="s">
        <v>679</v>
      </c>
      <c r="D6" s="51" t="s">
        <v>680</v>
      </c>
      <c r="E6" s="112" t="s">
        <v>9</v>
      </c>
      <c r="F6" s="113">
        <f>gemuurtarief1</f>
        <v>0</v>
      </c>
      <c r="G6" s="66">
        <f>SUMPRODUCT(taakfreqtabel1,uurfactortabel1,kengetaltabel1,object1_opptabel1)*(1/VLOOKUP(E6,dagsoorttabel1,2,FALSE))</f>
        <v>0</v>
      </c>
      <c r="H6" s="66">
        <f>SUMPRODUCT(dagwerktabel1,taakfreqtabel1,uurfactortabel1,kengetaltabel1,object1_opptabel1)*(1/VLOOKUP(E6,dagsoorttabel1,2,FALSE))</f>
        <v>0</v>
      </c>
      <c r="I6" s="53"/>
      <c r="J6" s="66">
        <f>H6+I6</f>
        <v>0</v>
      </c>
      <c r="K6" s="66">
        <f>G6+I6</f>
        <v>0</v>
      </c>
      <c r="L6" s="55">
        <f>SUMPRODUCT(taakfreqtabel1,kengetaltabel1,tarieftabel1,object1_opptabel1)*(1/VLOOKUP(E6,dagsoorttabel1,2,FALSE))</f>
        <v>0</v>
      </c>
      <c r="M6" s="55">
        <f>F6*I6</f>
        <v>0</v>
      </c>
      <c r="N6" s="55">
        <f>SUM(L6:M6)</f>
        <v>0</v>
      </c>
      <c r="O6" s="66">
        <f>J6*dagenperjaar1*VLOOKUP(E6,dagsoorttabel1,2,FALSE)</f>
        <v>0</v>
      </c>
      <c r="P6" s="66">
        <f>K6*dagenperjaar1*VLOOKUP(E6,dagsoorttabel1,2,FALSE)</f>
        <v>0</v>
      </c>
      <c r="Q6" s="55">
        <f>N6*dagenperjaar1*VLOOKUP(E6,dagsoorttabel1,2,FALSE)</f>
        <v>0</v>
      </c>
      <c r="R6" s="55">
        <f>Q6/12</f>
        <v>0</v>
      </c>
    </row>
    <row r="7" spans="1:18" x14ac:dyDescent="0.2">
      <c r="A7" s="56" t="s">
        <v>588</v>
      </c>
      <c r="B7" s="56" t="s">
        <v>681</v>
      </c>
      <c r="C7" s="56" t="s">
        <v>682</v>
      </c>
      <c r="D7" s="114" t="s">
        <v>683</v>
      </c>
      <c r="E7" s="115" t="s">
        <v>9</v>
      </c>
      <c r="F7" s="116">
        <f>gemuurtarief1</f>
        <v>0</v>
      </c>
      <c r="G7" s="69">
        <f>SUMPRODUCT(taakfreqtabel1,uurfactortabel1,kengetaltabel1,object2_opptabel1)*(1/VLOOKUP(E7,dagsoorttabel1,2,FALSE))</f>
        <v>0</v>
      </c>
      <c r="H7" s="69">
        <f>SUMPRODUCT(dagwerktabel1,taakfreqtabel1,uurfactortabel1,kengetaltabel1,object2_opptabel1)*(1/VLOOKUP(E7,dagsoorttabel1,2,FALSE))</f>
        <v>0</v>
      </c>
      <c r="I7" s="58"/>
      <c r="J7" s="69">
        <f>H7+I7</f>
        <v>0</v>
      </c>
      <c r="K7" s="69">
        <f>G7+I7</f>
        <v>0</v>
      </c>
      <c r="L7" s="60">
        <f>SUMPRODUCT(taakfreqtabel1,kengetaltabel1,tarieftabel1,object2_opptabel1)*(1/VLOOKUP(E7,dagsoorttabel1,2,FALSE))</f>
        <v>0</v>
      </c>
      <c r="M7" s="60">
        <f>F7*I7</f>
        <v>0</v>
      </c>
      <c r="N7" s="60">
        <f>SUM(L7:M7)</f>
        <v>0</v>
      </c>
      <c r="O7" s="69">
        <f>J7*dagenperjaar1*VLOOKUP(E7,dagsoorttabel1,2,FALSE)</f>
        <v>0</v>
      </c>
      <c r="P7" s="69">
        <f>K7*dagenperjaar1*VLOOKUP(E7,dagsoorttabel1,2,FALSE)</f>
        <v>0</v>
      </c>
      <c r="Q7" s="60">
        <f>N7*dagenperjaar1*VLOOKUP(E7,dagsoorttabel1,2,FALSE)</f>
        <v>0</v>
      </c>
      <c r="R7" s="60">
        <f>Q7/12</f>
        <v>0</v>
      </c>
    </row>
    <row r="8" spans="1:18" x14ac:dyDescent="0.2">
      <c r="A8" s="61" t="s">
        <v>627</v>
      </c>
      <c r="B8" s="61" t="s">
        <v>684</v>
      </c>
      <c r="C8" s="61" t="s">
        <v>685</v>
      </c>
      <c r="D8" s="61" t="s">
        <v>686</v>
      </c>
      <c r="E8" s="117" t="s">
        <v>9</v>
      </c>
      <c r="F8" s="118">
        <f>gemuurtarief1</f>
        <v>0</v>
      </c>
      <c r="G8" s="72">
        <f>SUMPRODUCT(taakfreqtabel1,uurfactortabel1,kengetaltabel1,object3_opptabel1)*(1/VLOOKUP(E8,dagsoorttabel1,2,FALSE))</f>
        <v>0</v>
      </c>
      <c r="H8" s="72">
        <f>SUMPRODUCT(dagwerktabel1,taakfreqtabel1,uurfactortabel1,kengetaltabel1,object3_opptabel1)*(1/VLOOKUP(E8,dagsoorttabel1,2,FALSE))</f>
        <v>0</v>
      </c>
      <c r="I8" s="63"/>
      <c r="J8" s="72">
        <f>H8+I8</f>
        <v>0</v>
      </c>
      <c r="K8" s="72">
        <f>G8+I8</f>
        <v>0</v>
      </c>
      <c r="L8" s="65">
        <f>SUMPRODUCT(taakfreqtabel1,kengetaltabel1,tarieftabel1,object3_opptabel1)*(1/VLOOKUP(E8,dagsoorttabel1,2,FALSE))</f>
        <v>0</v>
      </c>
      <c r="M8" s="65">
        <f>F8*I8</f>
        <v>0</v>
      </c>
      <c r="N8" s="65">
        <f>SUM(L8:M8)</f>
        <v>0</v>
      </c>
      <c r="O8" s="72">
        <f>J8*dagenperjaar1*VLOOKUP(E8,dagsoorttabel1,2,FALSE)</f>
        <v>0</v>
      </c>
      <c r="P8" s="72">
        <f>K8*dagenperjaar1*VLOOKUP(E8,dagsoorttabel1,2,FALSE)</f>
        <v>0</v>
      </c>
      <c r="Q8" s="65">
        <f>N8*dagenperjaar1*VLOOKUP(E8,dagsoorttabel1,2,FALSE)</f>
        <v>0</v>
      </c>
      <c r="R8" s="65">
        <f>Q8/12</f>
        <v>0</v>
      </c>
    </row>
    <row r="9" spans="1:18" x14ac:dyDescent="0.2">
      <c r="A9" s="76" t="s">
        <v>230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8">
        <f>SUM(O6:O8)</f>
        <v>0</v>
      </c>
      <c r="P9" s="78">
        <f>SUM(P6:P8)</f>
        <v>0</v>
      </c>
      <c r="Q9" s="79">
        <f>SUM(Q6:Q8)</f>
        <v>0</v>
      </c>
      <c r="R9" s="80">
        <f>SUM(R6:R8)</f>
        <v>0</v>
      </c>
    </row>
    <row r="10" spans="1:18" x14ac:dyDescent="0.2">
      <c r="A10" s="81"/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82"/>
    </row>
    <row r="12" spans="1:18" x14ac:dyDescent="0.2">
      <c r="A12" s="76" t="s">
        <v>687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8">
        <f>urenjaartotaalhf1</f>
        <v>0</v>
      </c>
      <c r="P12" s="78">
        <f>urenjaartotaal1</f>
        <v>0</v>
      </c>
      <c r="Q12" s="79">
        <f>prijsjaartotaal1</f>
        <v>0</v>
      </c>
      <c r="R12" s="79">
        <f>prijsmaandtotaal1</f>
        <v>0</v>
      </c>
    </row>
    <row r="14" spans="1:18" x14ac:dyDescent="0.2">
      <c r="A14" s="76" t="s">
        <v>688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9">
        <f>Q12*1.21</f>
        <v>0</v>
      </c>
      <c r="R14" s="79">
        <f>R12*1.21</f>
        <v>0</v>
      </c>
    </row>
  </sheetData>
  <sheetProtection algorithmName="SHA-512" hashValue="acjopdVFs087NaEC3Ivz3tq2zsMhYQ12wXWwLQ0lwhJWJymwi4fv+4iDAqAE8voqfxK/bPOReFhzLnZqCW3qWQ==" saltValue="DWiNktVPXTWWEemKYEHySA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&amp;LGemeente Montferland EA 2026                                &amp;ROpmaakdatum: 16-09-2026
Intexso - Plantageweg 23E - Leusden
+31 (33) 2778485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BCB82-B0E2-4F27-A78F-7283010B1961}">
  <dimension ref="A1:I8"/>
  <sheetViews>
    <sheetView workbookViewId="0"/>
  </sheetViews>
  <sheetFormatPr defaultRowHeight="12.75" x14ac:dyDescent="0.2"/>
  <cols>
    <col min="1" max="1" width="8.625" customWidth="1"/>
    <col min="2" max="2" width="32.625" customWidth="1"/>
    <col min="3" max="3" width="20.625" customWidth="1"/>
    <col min="4" max="4" width="18.625" customWidth="1"/>
    <col min="5" max="6" width="12.625" customWidth="1"/>
    <col min="7" max="7" width="14.625" customWidth="1"/>
    <col min="8" max="9" width="13.625" customWidth="1"/>
  </cols>
  <sheetData>
    <row r="1" spans="1:9" x14ac:dyDescent="0.2">
      <c r="A1" s="1" t="str">
        <f>CONCATENATE("Bijlage D.5: ",tabeltype," totaalblad objecten")</f>
        <v>Bijlage D.5: Invultabel totaalblad objecten</v>
      </c>
    </row>
    <row r="3" spans="1:9" ht="38.25" x14ac:dyDescent="0.2">
      <c r="A3" s="44" t="s">
        <v>233</v>
      </c>
      <c r="B3" s="44" t="s">
        <v>664</v>
      </c>
      <c r="C3" s="44" t="s">
        <v>665</v>
      </c>
      <c r="D3" s="44" t="s">
        <v>666</v>
      </c>
      <c r="E3" s="44" t="s">
        <v>676</v>
      </c>
      <c r="F3" s="44" t="s">
        <v>187</v>
      </c>
      <c r="G3" s="44" t="s">
        <v>188</v>
      </c>
      <c r="H3" s="44" t="s">
        <v>689</v>
      </c>
      <c r="I3" s="44" t="s">
        <v>690</v>
      </c>
    </row>
    <row r="4" spans="1:9" x14ac:dyDescent="0.2">
      <c r="A4" s="51" t="s">
        <v>243</v>
      </c>
      <c r="B4" s="51" t="s">
        <v>678</v>
      </c>
      <c r="C4" s="51" t="s">
        <v>679</v>
      </c>
      <c r="D4" s="51" t="s">
        <v>680</v>
      </c>
      <c r="E4" s="66">
        <f>objecturenhf1_1</f>
        <v>0</v>
      </c>
      <c r="F4" s="66">
        <f>objecturen1_1</f>
        <v>0</v>
      </c>
      <c r="G4" s="55">
        <f>objectprijs1_1</f>
        <v>0</v>
      </c>
      <c r="H4" s="55">
        <f>G4/12</f>
        <v>0</v>
      </c>
      <c r="I4" s="55">
        <f>H4*1.21</f>
        <v>0</v>
      </c>
    </row>
    <row r="5" spans="1:9" x14ac:dyDescent="0.2">
      <c r="A5" s="56" t="s">
        <v>588</v>
      </c>
      <c r="B5" s="56" t="s">
        <v>681</v>
      </c>
      <c r="C5" s="56" t="s">
        <v>682</v>
      </c>
      <c r="D5" s="114" t="s">
        <v>683</v>
      </c>
      <c r="E5" s="69">
        <f>objecturenhf2_1</f>
        <v>0</v>
      </c>
      <c r="F5" s="69">
        <f>objecturen2_1</f>
        <v>0</v>
      </c>
      <c r="G5" s="60">
        <f>objectprijs2_1</f>
        <v>0</v>
      </c>
      <c r="H5" s="60">
        <f>G5/12</f>
        <v>0</v>
      </c>
      <c r="I5" s="60">
        <f>H5*1.21</f>
        <v>0</v>
      </c>
    </row>
    <row r="6" spans="1:9" x14ac:dyDescent="0.2">
      <c r="A6" s="61" t="s">
        <v>627</v>
      </c>
      <c r="B6" s="61" t="s">
        <v>684</v>
      </c>
      <c r="C6" s="61" t="s">
        <v>685</v>
      </c>
      <c r="D6" s="61" t="s">
        <v>686</v>
      </c>
      <c r="E6" s="72">
        <f>objecturenhf3_1</f>
        <v>0</v>
      </c>
      <c r="F6" s="72">
        <f>objecturen3_1</f>
        <v>0</v>
      </c>
      <c r="G6" s="65">
        <f>objectprijs3_1</f>
        <v>0</v>
      </c>
      <c r="H6" s="65">
        <f>G6/12</f>
        <v>0</v>
      </c>
      <c r="I6" s="65">
        <f>H6*1.21</f>
        <v>0</v>
      </c>
    </row>
    <row r="8" spans="1:9" x14ac:dyDescent="0.2">
      <c r="A8" s="76" t="s">
        <v>691</v>
      </c>
      <c r="B8" s="77"/>
      <c r="C8" s="77"/>
      <c r="D8" s="77"/>
      <c r="E8" s="78">
        <f>SUM(E4:E6)</f>
        <v>0</v>
      </c>
      <c r="F8" s="78">
        <f>SUM(F4:F6)</f>
        <v>0</v>
      </c>
      <c r="G8" s="79">
        <f>SUM(G4:G6)</f>
        <v>0</v>
      </c>
      <c r="H8" s="79">
        <f>SUM(H4:H6)</f>
        <v>0</v>
      </c>
      <c r="I8" s="79">
        <f>SUM(I4:I6)</f>
        <v>0</v>
      </c>
    </row>
  </sheetData>
  <sheetProtection algorithmName="SHA-512" hashValue="iFqDupSS1YDGi89rEfpYsIMPlwLFX3y9iflhNcuWfgCSS/18ZyLwv56j6EcWaH+a2HhdYqOk6NQ7BE5yyH7VSQ==" saltValue="R+t4wgTWiwcH/iDlalSE+g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&amp;LGemeente Montferland EA 2026                                &amp;ROpmaakdatum: 16-09-2026
Intexso - Plantageweg 23E - Leusden
+31 (33) 2778485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BCD5-4851-4920-856D-480B17D55E8F}">
  <dimension ref="A1:L9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D.6: ",tabeltype," additioneel werk")</f>
        <v>Bijlage D.6: Invultabel additioneel werk</v>
      </c>
    </row>
    <row r="3" spans="1:12" ht="38.25" x14ac:dyDescent="0.2">
      <c r="A3" s="44" t="s">
        <v>692</v>
      </c>
      <c r="B3" s="44" t="s">
        <v>7</v>
      </c>
      <c r="C3" s="44" t="s">
        <v>693</v>
      </c>
      <c r="D3" s="44" t="s">
        <v>92</v>
      </c>
      <c r="E3" s="44" t="s">
        <v>95</v>
      </c>
      <c r="F3" s="44" t="s">
        <v>694</v>
      </c>
      <c r="G3" s="44" t="s">
        <v>695</v>
      </c>
      <c r="H3" s="44" t="s">
        <v>696</v>
      </c>
      <c r="I3" s="44" t="s">
        <v>697</v>
      </c>
      <c r="J3" s="44" t="s">
        <v>698</v>
      </c>
      <c r="K3" s="44" t="s">
        <v>188</v>
      </c>
      <c r="L3" s="44" t="s">
        <v>677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97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119" t="s">
        <v>699</v>
      </c>
      <c r="B6" s="119" t="s">
        <v>21</v>
      </c>
      <c r="C6" s="120">
        <f>IF(ISBLANK(B6),0,IF(ISERROR(VALUE(B6)),VLOOKUP(B6,dagsoorttabel1,2,FALSE)*dagenperjaar1,VALUE(B6)))</f>
        <v>1</v>
      </c>
      <c r="D6" s="119" t="s">
        <v>700</v>
      </c>
      <c r="E6" s="119" t="s">
        <v>701</v>
      </c>
      <c r="F6" s="121">
        <v>1353.01</v>
      </c>
      <c r="G6" s="122">
        <f>Tariefopbouw5</f>
        <v>0</v>
      </c>
      <c r="H6" s="123"/>
      <c r="I6" s="124"/>
      <c r="J6" s="125">
        <f>IF(ISBLANK(H6),0,F6 / ROUND(H6,4) * ROUND(G6,2))</f>
        <v>0</v>
      </c>
      <c r="K6" s="125">
        <f>C6*J6</f>
        <v>0</v>
      </c>
      <c r="L6" s="125">
        <f>K6/12</f>
        <v>0</v>
      </c>
    </row>
    <row r="7" spans="1:12" x14ac:dyDescent="0.2">
      <c r="A7" s="76" t="s">
        <v>230</v>
      </c>
      <c r="B7" s="77"/>
      <c r="C7" s="77"/>
      <c r="D7" s="77"/>
      <c r="E7" s="77"/>
      <c r="F7" s="77"/>
      <c r="G7" s="77"/>
      <c r="H7" s="77"/>
      <c r="I7" s="77"/>
      <c r="J7" s="77"/>
      <c r="K7" s="79">
        <f>SUM(K6:K6)</f>
        <v>0</v>
      </c>
      <c r="L7" s="126">
        <f>K7/12</f>
        <v>0</v>
      </c>
    </row>
    <row r="9" spans="1:12" x14ac:dyDescent="0.2">
      <c r="A9" s="76" t="s">
        <v>702</v>
      </c>
      <c r="B9" s="77"/>
      <c r="C9" s="77"/>
      <c r="D9" s="77"/>
      <c r="E9" s="77"/>
      <c r="F9" s="77"/>
      <c r="G9" s="77"/>
      <c r="H9" s="77"/>
      <c r="I9" s="77"/>
      <c r="J9" s="77"/>
      <c r="K9" s="79">
        <f>prijsjaaradditioneel1</f>
        <v>0</v>
      </c>
      <c r="L9" s="126">
        <f>K9/12</f>
        <v>0</v>
      </c>
    </row>
  </sheetData>
  <sheetProtection algorithmName="SHA-512" hashValue="B/qYcM8GlSJJt3KwWYSD84wXvMeiEK0/CqOSlrv5wh+Y30Juj2eF37/tbALMyxRJsyssuKuhQnWe4M4d+NbSVg==" saltValue="DM5IAzf/3Ag+q+m6fV83Bg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&amp;LGemeente Montferland EA 2026                                &amp;ROpmaakdatum: 16-09-2026
Intexso - Plantageweg 23E - Leusden
+31 (33) 2778485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9B15D-720E-4786-9FAD-625A1F8B523E}">
  <dimension ref="A1:E94"/>
  <sheetViews>
    <sheetView workbookViewId="0"/>
  </sheetViews>
  <sheetFormatPr defaultRowHeight="12.75" x14ac:dyDescent="0.2"/>
  <cols>
    <col min="1" max="1" width="7.625" customWidth="1"/>
    <col min="2" max="2" width="40.625" customWidth="1"/>
    <col min="3" max="3" width="18.625" customWidth="1"/>
    <col min="4" max="4" width="20.625" customWidth="1"/>
    <col min="5" max="5" width="15.625" customWidth="1"/>
  </cols>
  <sheetData>
    <row r="1" spans="1:5" x14ac:dyDescent="0.2">
      <c r="A1" s="1" t="str">
        <f>CONCATENATE("Bijlage D.7: ",tabeltype," afroep incidenteel")</f>
        <v>Bijlage D.7: Invultabel afroep incidenteel</v>
      </c>
    </row>
    <row r="3" spans="1:5" ht="38.25" x14ac:dyDescent="0.2">
      <c r="A3" s="44" t="s">
        <v>692</v>
      </c>
      <c r="B3" s="44" t="s">
        <v>92</v>
      </c>
      <c r="C3" s="44" t="s">
        <v>95</v>
      </c>
      <c r="D3" s="44" t="s">
        <v>703</v>
      </c>
      <c r="E3" s="44" t="s">
        <v>697</v>
      </c>
    </row>
    <row r="4" spans="1:5" x14ac:dyDescent="0.2">
      <c r="A4" s="45"/>
      <c r="B4" s="46"/>
      <c r="C4" s="46"/>
      <c r="D4" s="46"/>
      <c r="E4" s="47"/>
    </row>
    <row r="5" spans="1:5" x14ac:dyDescent="0.2">
      <c r="A5" s="48" t="s">
        <v>97</v>
      </c>
      <c r="B5" s="49"/>
      <c r="C5" s="49"/>
      <c r="D5" s="49"/>
      <c r="E5" s="50"/>
    </row>
    <row r="6" spans="1:5" x14ac:dyDescent="0.2">
      <c r="A6" s="51" t="s">
        <v>704</v>
      </c>
      <c r="B6" s="51" t="s">
        <v>705</v>
      </c>
      <c r="C6" s="51" t="s">
        <v>706</v>
      </c>
      <c r="D6" s="51" t="s">
        <v>707</v>
      </c>
      <c r="E6" s="127"/>
    </row>
    <row r="7" spans="1:5" x14ac:dyDescent="0.2">
      <c r="A7" s="56" t="s">
        <v>708</v>
      </c>
      <c r="B7" s="56" t="s">
        <v>705</v>
      </c>
      <c r="C7" s="56" t="s">
        <v>706</v>
      </c>
      <c r="D7" s="56" t="s">
        <v>709</v>
      </c>
      <c r="E7" s="128"/>
    </row>
    <row r="8" spans="1:5" x14ac:dyDescent="0.2">
      <c r="A8" s="56" t="s">
        <v>710</v>
      </c>
      <c r="B8" s="56" t="s">
        <v>705</v>
      </c>
      <c r="C8" s="56" t="s">
        <v>706</v>
      </c>
      <c r="D8" s="56" t="s">
        <v>711</v>
      </c>
      <c r="E8" s="128"/>
    </row>
    <row r="9" spans="1:5" x14ac:dyDescent="0.2">
      <c r="A9" s="56" t="s">
        <v>712</v>
      </c>
      <c r="B9" s="56" t="s">
        <v>705</v>
      </c>
      <c r="C9" s="56" t="s">
        <v>706</v>
      </c>
      <c r="D9" s="56" t="s">
        <v>713</v>
      </c>
      <c r="E9" s="128"/>
    </row>
    <row r="10" spans="1:5" x14ac:dyDescent="0.2">
      <c r="A10" s="56" t="s">
        <v>714</v>
      </c>
      <c r="B10" s="56" t="s">
        <v>715</v>
      </c>
      <c r="C10" s="56" t="s">
        <v>706</v>
      </c>
      <c r="D10" s="56" t="s">
        <v>707</v>
      </c>
      <c r="E10" s="128"/>
    </row>
    <row r="11" spans="1:5" x14ac:dyDescent="0.2">
      <c r="A11" s="56" t="s">
        <v>716</v>
      </c>
      <c r="B11" s="56" t="s">
        <v>715</v>
      </c>
      <c r="C11" s="56" t="s">
        <v>706</v>
      </c>
      <c r="D11" s="56" t="s">
        <v>709</v>
      </c>
      <c r="E11" s="128"/>
    </row>
    <row r="12" spans="1:5" x14ac:dyDescent="0.2">
      <c r="A12" s="56" t="s">
        <v>717</v>
      </c>
      <c r="B12" s="56" t="s">
        <v>715</v>
      </c>
      <c r="C12" s="56" t="s">
        <v>706</v>
      </c>
      <c r="D12" s="56" t="s">
        <v>711</v>
      </c>
      <c r="E12" s="128"/>
    </row>
    <row r="13" spans="1:5" x14ac:dyDescent="0.2">
      <c r="A13" s="56" t="s">
        <v>718</v>
      </c>
      <c r="B13" s="56" t="s">
        <v>715</v>
      </c>
      <c r="C13" s="56" t="s">
        <v>706</v>
      </c>
      <c r="D13" s="56" t="s">
        <v>713</v>
      </c>
      <c r="E13" s="128"/>
    </row>
    <row r="14" spans="1:5" x14ac:dyDescent="0.2">
      <c r="A14" s="56" t="s">
        <v>719</v>
      </c>
      <c r="B14" s="56" t="s">
        <v>720</v>
      </c>
      <c r="C14" s="56" t="s">
        <v>706</v>
      </c>
      <c r="D14" s="56" t="s">
        <v>707</v>
      </c>
      <c r="E14" s="128"/>
    </row>
    <row r="15" spans="1:5" x14ac:dyDescent="0.2">
      <c r="A15" s="56" t="s">
        <v>721</v>
      </c>
      <c r="B15" s="56" t="s">
        <v>720</v>
      </c>
      <c r="C15" s="56" t="s">
        <v>706</v>
      </c>
      <c r="D15" s="56" t="s">
        <v>709</v>
      </c>
      <c r="E15" s="128"/>
    </row>
    <row r="16" spans="1:5" x14ac:dyDescent="0.2">
      <c r="A16" s="56" t="s">
        <v>722</v>
      </c>
      <c r="B16" s="56" t="s">
        <v>720</v>
      </c>
      <c r="C16" s="56" t="s">
        <v>706</v>
      </c>
      <c r="D16" s="56" t="s">
        <v>711</v>
      </c>
      <c r="E16" s="128"/>
    </row>
    <row r="17" spans="1:5" x14ac:dyDescent="0.2">
      <c r="A17" s="56" t="s">
        <v>723</v>
      </c>
      <c r="B17" s="56" t="s">
        <v>720</v>
      </c>
      <c r="C17" s="56" t="s">
        <v>706</v>
      </c>
      <c r="D17" s="56" t="s">
        <v>713</v>
      </c>
      <c r="E17" s="128"/>
    </row>
    <row r="18" spans="1:5" x14ac:dyDescent="0.2">
      <c r="A18" s="56" t="s">
        <v>724</v>
      </c>
      <c r="B18" s="56" t="s">
        <v>725</v>
      </c>
      <c r="C18" s="56" t="s">
        <v>726</v>
      </c>
      <c r="D18" s="56" t="s">
        <v>727</v>
      </c>
      <c r="E18" s="128"/>
    </row>
    <row r="19" spans="1:5" x14ac:dyDescent="0.2">
      <c r="A19" s="56" t="s">
        <v>728</v>
      </c>
      <c r="B19" s="56" t="s">
        <v>725</v>
      </c>
      <c r="C19" s="56" t="s">
        <v>726</v>
      </c>
      <c r="D19" s="56" t="s">
        <v>729</v>
      </c>
      <c r="E19" s="128"/>
    </row>
    <row r="20" spans="1:5" x14ac:dyDescent="0.2">
      <c r="A20" s="56" t="s">
        <v>730</v>
      </c>
      <c r="B20" s="56" t="s">
        <v>725</v>
      </c>
      <c r="C20" s="56" t="s">
        <v>726</v>
      </c>
      <c r="D20" s="56" t="s">
        <v>731</v>
      </c>
      <c r="E20" s="128"/>
    </row>
    <row r="21" spans="1:5" x14ac:dyDescent="0.2">
      <c r="A21" s="56" t="s">
        <v>732</v>
      </c>
      <c r="B21" s="56" t="s">
        <v>725</v>
      </c>
      <c r="C21" s="56" t="s">
        <v>726</v>
      </c>
      <c r="D21" s="56" t="s">
        <v>733</v>
      </c>
      <c r="E21" s="128"/>
    </row>
    <row r="22" spans="1:5" x14ac:dyDescent="0.2">
      <c r="A22" s="56" t="s">
        <v>734</v>
      </c>
      <c r="B22" s="56" t="s">
        <v>735</v>
      </c>
      <c r="C22" s="56" t="s">
        <v>726</v>
      </c>
      <c r="D22" s="56" t="s">
        <v>727</v>
      </c>
      <c r="E22" s="128"/>
    </row>
    <row r="23" spans="1:5" x14ac:dyDescent="0.2">
      <c r="A23" s="56" t="s">
        <v>736</v>
      </c>
      <c r="B23" s="56" t="s">
        <v>735</v>
      </c>
      <c r="C23" s="56" t="s">
        <v>726</v>
      </c>
      <c r="D23" s="56" t="s">
        <v>729</v>
      </c>
      <c r="E23" s="128"/>
    </row>
    <row r="24" spans="1:5" x14ac:dyDescent="0.2">
      <c r="A24" s="56" t="s">
        <v>737</v>
      </c>
      <c r="B24" s="56" t="s">
        <v>735</v>
      </c>
      <c r="C24" s="56" t="s">
        <v>726</v>
      </c>
      <c r="D24" s="56" t="s">
        <v>731</v>
      </c>
      <c r="E24" s="128"/>
    </row>
    <row r="25" spans="1:5" x14ac:dyDescent="0.2">
      <c r="A25" s="56" t="s">
        <v>738</v>
      </c>
      <c r="B25" s="56" t="s">
        <v>735</v>
      </c>
      <c r="C25" s="56" t="s">
        <v>726</v>
      </c>
      <c r="D25" s="56" t="s">
        <v>733</v>
      </c>
      <c r="E25" s="128"/>
    </row>
    <row r="26" spans="1:5" x14ac:dyDescent="0.2">
      <c r="A26" s="56" t="s">
        <v>739</v>
      </c>
      <c r="B26" s="56" t="s">
        <v>740</v>
      </c>
      <c r="C26" s="56" t="s">
        <v>726</v>
      </c>
      <c r="D26" s="56" t="s">
        <v>727</v>
      </c>
      <c r="E26" s="128"/>
    </row>
    <row r="27" spans="1:5" x14ac:dyDescent="0.2">
      <c r="A27" s="56" t="s">
        <v>741</v>
      </c>
      <c r="B27" s="56" t="s">
        <v>740</v>
      </c>
      <c r="C27" s="56" t="s">
        <v>726</v>
      </c>
      <c r="D27" s="56" t="s">
        <v>729</v>
      </c>
      <c r="E27" s="128"/>
    </row>
    <row r="28" spans="1:5" x14ac:dyDescent="0.2">
      <c r="A28" s="56" t="s">
        <v>742</v>
      </c>
      <c r="B28" s="56" t="s">
        <v>740</v>
      </c>
      <c r="C28" s="56" t="s">
        <v>726</v>
      </c>
      <c r="D28" s="56" t="s">
        <v>731</v>
      </c>
      <c r="E28" s="128"/>
    </row>
    <row r="29" spans="1:5" x14ac:dyDescent="0.2">
      <c r="A29" s="56" t="s">
        <v>743</v>
      </c>
      <c r="B29" s="56" t="s">
        <v>740</v>
      </c>
      <c r="C29" s="56" t="s">
        <v>726</v>
      </c>
      <c r="D29" s="56" t="s">
        <v>733</v>
      </c>
      <c r="E29" s="128"/>
    </row>
    <row r="30" spans="1:5" x14ac:dyDescent="0.2">
      <c r="A30" s="56" t="s">
        <v>744</v>
      </c>
      <c r="B30" s="56" t="s">
        <v>745</v>
      </c>
      <c r="C30" s="56" t="s">
        <v>726</v>
      </c>
      <c r="D30" s="56" t="s">
        <v>727</v>
      </c>
      <c r="E30" s="128"/>
    </row>
    <row r="31" spans="1:5" x14ac:dyDescent="0.2">
      <c r="A31" s="56" t="s">
        <v>746</v>
      </c>
      <c r="B31" s="56" t="s">
        <v>745</v>
      </c>
      <c r="C31" s="56" t="s">
        <v>726</v>
      </c>
      <c r="D31" s="56" t="s">
        <v>729</v>
      </c>
      <c r="E31" s="128"/>
    </row>
    <row r="32" spans="1:5" x14ac:dyDescent="0.2">
      <c r="A32" s="56" t="s">
        <v>747</v>
      </c>
      <c r="B32" s="56" t="s">
        <v>745</v>
      </c>
      <c r="C32" s="56" t="s">
        <v>726</v>
      </c>
      <c r="D32" s="56" t="s">
        <v>731</v>
      </c>
      <c r="E32" s="128"/>
    </row>
    <row r="33" spans="1:5" x14ac:dyDescent="0.2">
      <c r="A33" s="56" t="s">
        <v>748</v>
      </c>
      <c r="B33" s="56" t="s">
        <v>745</v>
      </c>
      <c r="C33" s="56" t="s">
        <v>726</v>
      </c>
      <c r="D33" s="56" t="s">
        <v>733</v>
      </c>
      <c r="E33" s="128"/>
    </row>
    <row r="34" spans="1:5" x14ac:dyDescent="0.2">
      <c r="A34" s="56" t="s">
        <v>749</v>
      </c>
      <c r="B34" s="56" t="s">
        <v>750</v>
      </c>
      <c r="C34" s="56" t="s">
        <v>726</v>
      </c>
      <c r="D34" s="56" t="s">
        <v>727</v>
      </c>
      <c r="E34" s="128"/>
    </row>
    <row r="35" spans="1:5" x14ac:dyDescent="0.2">
      <c r="A35" s="56" t="s">
        <v>751</v>
      </c>
      <c r="B35" s="56" t="s">
        <v>750</v>
      </c>
      <c r="C35" s="56" t="s">
        <v>726</v>
      </c>
      <c r="D35" s="56" t="s">
        <v>729</v>
      </c>
      <c r="E35" s="128"/>
    </row>
    <row r="36" spans="1:5" x14ac:dyDescent="0.2">
      <c r="A36" s="56" t="s">
        <v>752</v>
      </c>
      <c r="B36" s="56" t="s">
        <v>750</v>
      </c>
      <c r="C36" s="56" t="s">
        <v>726</v>
      </c>
      <c r="D36" s="56" t="s">
        <v>731</v>
      </c>
      <c r="E36" s="128"/>
    </row>
    <row r="37" spans="1:5" x14ac:dyDescent="0.2">
      <c r="A37" s="56" t="s">
        <v>753</v>
      </c>
      <c r="B37" s="56" t="s">
        <v>750</v>
      </c>
      <c r="C37" s="56" t="s">
        <v>726</v>
      </c>
      <c r="D37" s="56" t="s">
        <v>733</v>
      </c>
      <c r="E37" s="128"/>
    </row>
    <row r="38" spans="1:5" x14ac:dyDescent="0.2">
      <c r="A38" s="56" t="s">
        <v>754</v>
      </c>
      <c r="B38" s="56" t="s">
        <v>755</v>
      </c>
      <c r="C38" s="56" t="s">
        <v>726</v>
      </c>
      <c r="D38" s="56" t="s">
        <v>727</v>
      </c>
      <c r="E38" s="128"/>
    </row>
    <row r="39" spans="1:5" x14ac:dyDescent="0.2">
      <c r="A39" s="56" t="s">
        <v>756</v>
      </c>
      <c r="B39" s="56" t="s">
        <v>755</v>
      </c>
      <c r="C39" s="56" t="s">
        <v>726</v>
      </c>
      <c r="D39" s="56" t="s">
        <v>729</v>
      </c>
      <c r="E39" s="128"/>
    </row>
    <row r="40" spans="1:5" x14ac:dyDescent="0.2">
      <c r="A40" s="56" t="s">
        <v>757</v>
      </c>
      <c r="B40" s="56" t="s">
        <v>755</v>
      </c>
      <c r="C40" s="56" t="s">
        <v>726</v>
      </c>
      <c r="D40" s="56" t="s">
        <v>731</v>
      </c>
      <c r="E40" s="128"/>
    </row>
    <row r="41" spans="1:5" x14ac:dyDescent="0.2">
      <c r="A41" s="56" t="s">
        <v>758</v>
      </c>
      <c r="B41" s="56" t="s">
        <v>755</v>
      </c>
      <c r="C41" s="56" t="s">
        <v>726</v>
      </c>
      <c r="D41" s="56" t="s">
        <v>733</v>
      </c>
      <c r="E41" s="128"/>
    </row>
    <row r="42" spans="1:5" x14ac:dyDescent="0.2">
      <c r="A42" s="56" t="s">
        <v>759</v>
      </c>
      <c r="B42" s="56" t="s">
        <v>760</v>
      </c>
      <c r="C42" s="56" t="s">
        <v>726</v>
      </c>
      <c r="D42" s="56" t="s">
        <v>727</v>
      </c>
      <c r="E42" s="128"/>
    </row>
    <row r="43" spans="1:5" x14ac:dyDescent="0.2">
      <c r="A43" s="56" t="s">
        <v>761</v>
      </c>
      <c r="B43" s="56" t="s">
        <v>760</v>
      </c>
      <c r="C43" s="56" t="s">
        <v>726</v>
      </c>
      <c r="D43" s="56" t="s">
        <v>729</v>
      </c>
      <c r="E43" s="128"/>
    </row>
    <row r="44" spans="1:5" x14ac:dyDescent="0.2">
      <c r="A44" s="56" t="s">
        <v>762</v>
      </c>
      <c r="B44" s="56" t="s">
        <v>760</v>
      </c>
      <c r="C44" s="56" t="s">
        <v>726</v>
      </c>
      <c r="D44" s="56" t="s">
        <v>731</v>
      </c>
      <c r="E44" s="128"/>
    </row>
    <row r="45" spans="1:5" x14ac:dyDescent="0.2">
      <c r="A45" s="56" t="s">
        <v>763</v>
      </c>
      <c r="B45" s="56" t="s">
        <v>760</v>
      </c>
      <c r="C45" s="56" t="s">
        <v>726</v>
      </c>
      <c r="D45" s="56" t="s">
        <v>733</v>
      </c>
      <c r="E45" s="128"/>
    </row>
    <row r="46" spans="1:5" x14ac:dyDescent="0.2">
      <c r="A46" s="56" t="s">
        <v>764</v>
      </c>
      <c r="B46" s="56" t="s">
        <v>765</v>
      </c>
      <c r="C46" s="56" t="s">
        <v>726</v>
      </c>
      <c r="D46" s="56" t="s">
        <v>35</v>
      </c>
      <c r="E46" s="128"/>
    </row>
    <row r="47" spans="1:5" x14ac:dyDescent="0.2">
      <c r="A47" s="56" t="s">
        <v>766</v>
      </c>
      <c r="B47" s="56" t="s">
        <v>767</v>
      </c>
      <c r="C47" s="56" t="s">
        <v>768</v>
      </c>
      <c r="D47" s="56" t="s">
        <v>35</v>
      </c>
      <c r="E47" s="128"/>
    </row>
    <row r="48" spans="1:5" x14ac:dyDescent="0.2">
      <c r="A48" s="56" t="s">
        <v>769</v>
      </c>
      <c r="B48" s="56" t="s">
        <v>770</v>
      </c>
      <c r="C48" s="56" t="s">
        <v>726</v>
      </c>
      <c r="D48" s="56" t="s">
        <v>771</v>
      </c>
      <c r="E48" s="128"/>
    </row>
    <row r="49" spans="1:5" x14ac:dyDescent="0.2">
      <c r="A49" s="56" t="s">
        <v>772</v>
      </c>
      <c r="B49" s="56" t="s">
        <v>770</v>
      </c>
      <c r="C49" s="56" t="s">
        <v>726</v>
      </c>
      <c r="D49" s="56" t="s">
        <v>773</v>
      </c>
      <c r="E49" s="128"/>
    </row>
    <row r="50" spans="1:5" x14ac:dyDescent="0.2">
      <c r="A50" s="56" t="s">
        <v>774</v>
      </c>
      <c r="B50" s="56" t="s">
        <v>770</v>
      </c>
      <c r="C50" s="56" t="s">
        <v>726</v>
      </c>
      <c r="D50" s="56" t="s">
        <v>775</v>
      </c>
      <c r="E50" s="128"/>
    </row>
    <row r="51" spans="1:5" x14ac:dyDescent="0.2">
      <c r="A51" s="56" t="s">
        <v>776</v>
      </c>
      <c r="B51" s="56" t="s">
        <v>770</v>
      </c>
      <c r="C51" s="56" t="s">
        <v>726</v>
      </c>
      <c r="D51" s="56" t="s">
        <v>777</v>
      </c>
      <c r="E51" s="128"/>
    </row>
    <row r="52" spans="1:5" x14ac:dyDescent="0.2">
      <c r="A52" s="56" t="s">
        <v>778</v>
      </c>
      <c r="B52" s="56" t="s">
        <v>779</v>
      </c>
      <c r="C52" s="56" t="s">
        <v>726</v>
      </c>
      <c r="D52" s="56" t="s">
        <v>771</v>
      </c>
      <c r="E52" s="128"/>
    </row>
    <row r="53" spans="1:5" x14ac:dyDescent="0.2">
      <c r="A53" s="56" t="s">
        <v>780</v>
      </c>
      <c r="B53" s="56" t="s">
        <v>779</v>
      </c>
      <c r="C53" s="56" t="s">
        <v>726</v>
      </c>
      <c r="D53" s="56" t="s">
        <v>773</v>
      </c>
      <c r="E53" s="128"/>
    </row>
    <row r="54" spans="1:5" x14ac:dyDescent="0.2">
      <c r="A54" s="56" t="s">
        <v>781</v>
      </c>
      <c r="B54" s="56" t="s">
        <v>779</v>
      </c>
      <c r="C54" s="56" t="s">
        <v>726</v>
      </c>
      <c r="D54" s="56" t="s">
        <v>775</v>
      </c>
      <c r="E54" s="128"/>
    </row>
    <row r="55" spans="1:5" x14ac:dyDescent="0.2">
      <c r="A55" s="56" t="s">
        <v>782</v>
      </c>
      <c r="B55" s="56" t="s">
        <v>779</v>
      </c>
      <c r="C55" s="56" t="s">
        <v>726</v>
      </c>
      <c r="D55" s="56" t="s">
        <v>777</v>
      </c>
      <c r="E55" s="128"/>
    </row>
    <row r="56" spans="1:5" x14ac:dyDescent="0.2">
      <c r="A56" s="56" t="s">
        <v>783</v>
      </c>
      <c r="B56" s="56" t="s">
        <v>784</v>
      </c>
      <c r="C56" s="56" t="s">
        <v>726</v>
      </c>
      <c r="D56" s="56" t="s">
        <v>771</v>
      </c>
      <c r="E56" s="128"/>
    </row>
    <row r="57" spans="1:5" x14ac:dyDescent="0.2">
      <c r="A57" s="56" t="s">
        <v>785</v>
      </c>
      <c r="B57" s="56" t="s">
        <v>784</v>
      </c>
      <c r="C57" s="56" t="s">
        <v>726</v>
      </c>
      <c r="D57" s="56" t="s">
        <v>773</v>
      </c>
      <c r="E57" s="128"/>
    </row>
    <row r="58" spans="1:5" x14ac:dyDescent="0.2">
      <c r="A58" s="56" t="s">
        <v>786</v>
      </c>
      <c r="B58" s="56" t="s">
        <v>784</v>
      </c>
      <c r="C58" s="56" t="s">
        <v>726</v>
      </c>
      <c r="D58" s="56" t="s">
        <v>775</v>
      </c>
      <c r="E58" s="128"/>
    </row>
    <row r="59" spans="1:5" x14ac:dyDescent="0.2">
      <c r="A59" s="56" t="s">
        <v>787</v>
      </c>
      <c r="B59" s="56" t="s">
        <v>784</v>
      </c>
      <c r="C59" s="56" t="s">
        <v>726</v>
      </c>
      <c r="D59" s="56" t="s">
        <v>777</v>
      </c>
      <c r="E59" s="128"/>
    </row>
    <row r="60" spans="1:5" x14ac:dyDescent="0.2">
      <c r="A60" s="56" t="s">
        <v>788</v>
      </c>
      <c r="B60" s="56" t="s">
        <v>789</v>
      </c>
      <c r="C60" s="56" t="s">
        <v>726</v>
      </c>
      <c r="D60" s="56" t="s">
        <v>771</v>
      </c>
      <c r="E60" s="128"/>
    </row>
    <row r="61" spans="1:5" x14ac:dyDescent="0.2">
      <c r="A61" s="56" t="s">
        <v>790</v>
      </c>
      <c r="B61" s="56" t="s">
        <v>789</v>
      </c>
      <c r="C61" s="56" t="s">
        <v>726</v>
      </c>
      <c r="D61" s="56" t="s">
        <v>773</v>
      </c>
      <c r="E61" s="128"/>
    </row>
    <row r="62" spans="1:5" x14ac:dyDescent="0.2">
      <c r="A62" s="56" t="s">
        <v>791</v>
      </c>
      <c r="B62" s="56" t="s">
        <v>789</v>
      </c>
      <c r="C62" s="56" t="s">
        <v>726</v>
      </c>
      <c r="D62" s="56" t="s">
        <v>775</v>
      </c>
      <c r="E62" s="128"/>
    </row>
    <row r="63" spans="1:5" x14ac:dyDescent="0.2">
      <c r="A63" s="56" t="s">
        <v>792</v>
      </c>
      <c r="B63" s="56" t="s">
        <v>789</v>
      </c>
      <c r="C63" s="56" t="s">
        <v>726</v>
      </c>
      <c r="D63" s="56" t="s">
        <v>777</v>
      </c>
      <c r="E63" s="128"/>
    </row>
    <row r="64" spans="1:5" x14ac:dyDescent="0.2">
      <c r="A64" s="56" t="s">
        <v>793</v>
      </c>
      <c r="B64" s="56" t="s">
        <v>794</v>
      </c>
      <c r="C64" s="56" t="s">
        <v>726</v>
      </c>
      <c r="D64" s="56" t="s">
        <v>771</v>
      </c>
      <c r="E64" s="128"/>
    </row>
    <row r="65" spans="1:5" x14ac:dyDescent="0.2">
      <c r="A65" s="56" t="s">
        <v>795</v>
      </c>
      <c r="B65" s="56" t="s">
        <v>794</v>
      </c>
      <c r="C65" s="56" t="s">
        <v>726</v>
      </c>
      <c r="D65" s="56" t="s">
        <v>773</v>
      </c>
      <c r="E65" s="128"/>
    </row>
    <row r="66" spans="1:5" x14ac:dyDescent="0.2">
      <c r="A66" s="56" t="s">
        <v>796</v>
      </c>
      <c r="B66" s="56" t="s">
        <v>797</v>
      </c>
      <c r="C66" s="56" t="s">
        <v>726</v>
      </c>
      <c r="D66" s="56" t="s">
        <v>775</v>
      </c>
      <c r="E66" s="128"/>
    </row>
    <row r="67" spans="1:5" x14ac:dyDescent="0.2">
      <c r="A67" s="56" t="s">
        <v>798</v>
      </c>
      <c r="B67" s="56" t="s">
        <v>799</v>
      </c>
      <c r="C67" s="56" t="s">
        <v>726</v>
      </c>
      <c r="D67" s="56" t="s">
        <v>777</v>
      </c>
      <c r="E67" s="128"/>
    </row>
    <row r="68" spans="1:5" x14ac:dyDescent="0.2">
      <c r="A68" s="56" t="s">
        <v>800</v>
      </c>
      <c r="B68" s="56" t="s">
        <v>801</v>
      </c>
      <c r="C68" s="56" t="s">
        <v>726</v>
      </c>
      <c r="D68" s="56" t="s">
        <v>771</v>
      </c>
      <c r="E68" s="128"/>
    </row>
    <row r="69" spans="1:5" x14ac:dyDescent="0.2">
      <c r="A69" s="56" t="s">
        <v>802</v>
      </c>
      <c r="B69" s="56" t="s">
        <v>801</v>
      </c>
      <c r="C69" s="56" t="s">
        <v>726</v>
      </c>
      <c r="D69" s="56" t="s">
        <v>773</v>
      </c>
      <c r="E69" s="128"/>
    </row>
    <row r="70" spans="1:5" x14ac:dyDescent="0.2">
      <c r="A70" s="56" t="s">
        <v>803</v>
      </c>
      <c r="B70" s="56" t="s">
        <v>801</v>
      </c>
      <c r="C70" s="56" t="s">
        <v>726</v>
      </c>
      <c r="D70" s="56" t="s">
        <v>775</v>
      </c>
      <c r="E70" s="128"/>
    </row>
    <row r="71" spans="1:5" x14ac:dyDescent="0.2">
      <c r="A71" s="56" t="s">
        <v>804</v>
      </c>
      <c r="B71" s="56" t="s">
        <v>801</v>
      </c>
      <c r="C71" s="56" t="s">
        <v>726</v>
      </c>
      <c r="D71" s="56" t="s">
        <v>777</v>
      </c>
      <c r="E71" s="128"/>
    </row>
    <row r="72" spans="1:5" x14ac:dyDescent="0.2">
      <c r="A72" s="56" t="s">
        <v>805</v>
      </c>
      <c r="B72" s="56" t="s">
        <v>806</v>
      </c>
      <c r="C72" s="56" t="s">
        <v>726</v>
      </c>
      <c r="D72" s="56" t="s">
        <v>771</v>
      </c>
      <c r="E72" s="128"/>
    </row>
    <row r="73" spans="1:5" x14ac:dyDescent="0.2">
      <c r="A73" s="56" t="s">
        <v>807</v>
      </c>
      <c r="B73" s="56" t="s">
        <v>806</v>
      </c>
      <c r="C73" s="56" t="s">
        <v>726</v>
      </c>
      <c r="D73" s="56" t="s">
        <v>773</v>
      </c>
      <c r="E73" s="128"/>
    </row>
    <row r="74" spans="1:5" x14ac:dyDescent="0.2">
      <c r="A74" s="56" t="s">
        <v>808</v>
      </c>
      <c r="B74" s="56" t="s">
        <v>806</v>
      </c>
      <c r="C74" s="56" t="s">
        <v>726</v>
      </c>
      <c r="D74" s="56" t="s">
        <v>775</v>
      </c>
      <c r="E74" s="128"/>
    </row>
    <row r="75" spans="1:5" x14ac:dyDescent="0.2">
      <c r="A75" s="56" t="s">
        <v>809</v>
      </c>
      <c r="B75" s="56" t="s">
        <v>806</v>
      </c>
      <c r="C75" s="56" t="s">
        <v>726</v>
      </c>
      <c r="D75" s="56" t="s">
        <v>777</v>
      </c>
      <c r="E75" s="128"/>
    </row>
    <row r="76" spans="1:5" x14ac:dyDescent="0.2">
      <c r="A76" s="56" t="s">
        <v>810</v>
      </c>
      <c r="B76" s="56" t="s">
        <v>811</v>
      </c>
      <c r="C76" s="56" t="s">
        <v>726</v>
      </c>
      <c r="D76" s="56" t="s">
        <v>771</v>
      </c>
      <c r="E76" s="128"/>
    </row>
    <row r="77" spans="1:5" x14ac:dyDescent="0.2">
      <c r="A77" s="56" t="s">
        <v>812</v>
      </c>
      <c r="B77" s="56" t="s">
        <v>811</v>
      </c>
      <c r="C77" s="56" t="s">
        <v>726</v>
      </c>
      <c r="D77" s="56" t="s">
        <v>773</v>
      </c>
      <c r="E77" s="128"/>
    </row>
    <row r="78" spans="1:5" x14ac:dyDescent="0.2">
      <c r="A78" s="56" t="s">
        <v>813</v>
      </c>
      <c r="B78" s="56" t="s">
        <v>811</v>
      </c>
      <c r="C78" s="56" t="s">
        <v>726</v>
      </c>
      <c r="D78" s="56" t="s">
        <v>775</v>
      </c>
      <c r="E78" s="128"/>
    </row>
    <row r="79" spans="1:5" x14ac:dyDescent="0.2">
      <c r="A79" s="56" t="s">
        <v>814</v>
      </c>
      <c r="B79" s="56" t="s">
        <v>811</v>
      </c>
      <c r="C79" s="56" t="s">
        <v>726</v>
      </c>
      <c r="D79" s="56" t="s">
        <v>777</v>
      </c>
      <c r="E79" s="128"/>
    </row>
    <row r="80" spans="1:5" x14ac:dyDescent="0.2">
      <c r="A80" s="56" t="s">
        <v>815</v>
      </c>
      <c r="B80" s="56" t="s">
        <v>816</v>
      </c>
      <c r="C80" s="56" t="s">
        <v>726</v>
      </c>
      <c r="D80" s="56" t="s">
        <v>771</v>
      </c>
      <c r="E80" s="128"/>
    </row>
    <row r="81" spans="1:5" x14ac:dyDescent="0.2">
      <c r="A81" s="56" t="s">
        <v>817</v>
      </c>
      <c r="B81" s="56" t="s">
        <v>816</v>
      </c>
      <c r="C81" s="56" t="s">
        <v>726</v>
      </c>
      <c r="D81" s="56" t="s">
        <v>773</v>
      </c>
      <c r="E81" s="128"/>
    </row>
    <row r="82" spans="1:5" x14ac:dyDescent="0.2">
      <c r="A82" s="56" t="s">
        <v>818</v>
      </c>
      <c r="B82" s="56" t="s">
        <v>816</v>
      </c>
      <c r="C82" s="56" t="s">
        <v>726</v>
      </c>
      <c r="D82" s="56" t="s">
        <v>775</v>
      </c>
      <c r="E82" s="128"/>
    </row>
    <row r="83" spans="1:5" x14ac:dyDescent="0.2">
      <c r="A83" s="56" t="s">
        <v>819</v>
      </c>
      <c r="B83" s="56" t="s">
        <v>816</v>
      </c>
      <c r="C83" s="56" t="s">
        <v>726</v>
      </c>
      <c r="D83" s="56" t="s">
        <v>777</v>
      </c>
      <c r="E83" s="128"/>
    </row>
    <row r="84" spans="1:5" x14ac:dyDescent="0.2">
      <c r="A84" s="56" t="s">
        <v>820</v>
      </c>
      <c r="B84" s="56" t="s">
        <v>821</v>
      </c>
      <c r="C84" s="56" t="s">
        <v>726</v>
      </c>
      <c r="D84" s="56" t="s">
        <v>771</v>
      </c>
      <c r="E84" s="128"/>
    </row>
    <row r="85" spans="1:5" x14ac:dyDescent="0.2">
      <c r="A85" s="56" t="s">
        <v>822</v>
      </c>
      <c r="B85" s="56" t="s">
        <v>821</v>
      </c>
      <c r="C85" s="56" t="s">
        <v>726</v>
      </c>
      <c r="D85" s="56" t="s">
        <v>773</v>
      </c>
      <c r="E85" s="128"/>
    </row>
    <row r="86" spans="1:5" x14ac:dyDescent="0.2">
      <c r="A86" s="56" t="s">
        <v>823</v>
      </c>
      <c r="B86" s="56" t="s">
        <v>821</v>
      </c>
      <c r="C86" s="56" t="s">
        <v>726</v>
      </c>
      <c r="D86" s="56" t="s">
        <v>775</v>
      </c>
      <c r="E86" s="128"/>
    </row>
    <row r="87" spans="1:5" x14ac:dyDescent="0.2">
      <c r="A87" s="56" t="s">
        <v>824</v>
      </c>
      <c r="B87" s="56" t="s">
        <v>821</v>
      </c>
      <c r="C87" s="56" t="s">
        <v>726</v>
      </c>
      <c r="D87" s="56" t="s">
        <v>777</v>
      </c>
      <c r="E87" s="128"/>
    </row>
    <row r="88" spans="1:5" x14ac:dyDescent="0.2">
      <c r="A88" s="56" t="s">
        <v>825</v>
      </c>
      <c r="B88" s="56" t="s">
        <v>826</v>
      </c>
      <c r="C88" s="56" t="s">
        <v>706</v>
      </c>
      <c r="D88" s="56" t="s">
        <v>707</v>
      </c>
      <c r="E88" s="128"/>
    </row>
    <row r="89" spans="1:5" x14ac:dyDescent="0.2">
      <c r="A89" s="56" t="s">
        <v>827</v>
      </c>
      <c r="B89" s="56" t="s">
        <v>826</v>
      </c>
      <c r="C89" s="56" t="s">
        <v>706</v>
      </c>
      <c r="D89" s="56" t="s">
        <v>709</v>
      </c>
      <c r="E89" s="128"/>
    </row>
    <row r="90" spans="1:5" x14ac:dyDescent="0.2">
      <c r="A90" s="56" t="s">
        <v>828</v>
      </c>
      <c r="B90" s="56" t="s">
        <v>826</v>
      </c>
      <c r="C90" s="56" t="s">
        <v>706</v>
      </c>
      <c r="D90" s="56" t="s">
        <v>711</v>
      </c>
      <c r="E90" s="128"/>
    </row>
    <row r="91" spans="1:5" x14ac:dyDescent="0.2">
      <c r="A91" s="61" t="s">
        <v>829</v>
      </c>
      <c r="B91" s="61" t="s">
        <v>826</v>
      </c>
      <c r="C91" s="61" t="s">
        <v>706</v>
      </c>
      <c r="D91" s="61" t="s">
        <v>713</v>
      </c>
      <c r="E91" s="129"/>
    </row>
    <row r="92" spans="1:5" x14ac:dyDescent="0.2">
      <c r="A92" s="76" t="s">
        <v>230</v>
      </c>
      <c r="B92" s="77"/>
      <c r="C92" s="77"/>
      <c r="D92" s="77"/>
      <c r="E92" s="130"/>
    </row>
    <row r="94" spans="1:5" x14ac:dyDescent="0.2">
      <c r="A94" s="76" t="s">
        <v>830</v>
      </c>
      <c r="B94" s="77"/>
      <c r="C94" s="77"/>
      <c r="D94" s="77"/>
      <c r="E94" s="130"/>
    </row>
  </sheetData>
  <sheetProtection algorithmName="SHA-512" hashValue="XLSwTconoVLOu0dcFBbKCMU8zuBDFFQ5L7dcVCcBOKoZgjrj51HOyXk0pU0YIChxmqf8dRgHJDHnXvTtp+vIcA==" saltValue="CFUeILdjbh6cVbDpOTy2nw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&amp;LGemeente Montferland EA 2026                                &amp;ROpmaakdatum: 16-09-2026
Intexso - Plantageweg 23E - Leusden
+31 (33) 2778485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734A0-B699-4DC7-9503-40B0E74D0F30}">
  <dimension ref="A1:L11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D.8: ",tabeltype," regiewerk")</f>
        <v>Bijlage D.8: Invultabel regiewerk</v>
      </c>
    </row>
    <row r="3" spans="1:12" ht="38.25" x14ac:dyDescent="0.2">
      <c r="A3" s="44" t="s">
        <v>692</v>
      </c>
      <c r="B3" s="44" t="s">
        <v>7</v>
      </c>
      <c r="C3" s="44" t="s">
        <v>693</v>
      </c>
      <c r="D3" s="44" t="s">
        <v>92</v>
      </c>
      <c r="E3" s="44" t="s">
        <v>95</v>
      </c>
      <c r="F3" s="44" t="s">
        <v>694</v>
      </c>
      <c r="G3" s="44" t="s">
        <v>695</v>
      </c>
      <c r="H3" s="44" t="s">
        <v>696</v>
      </c>
      <c r="I3" s="44" t="s">
        <v>697</v>
      </c>
      <c r="J3" s="44" t="s">
        <v>698</v>
      </c>
      <c r="K3" s="44" t="s">
        <v>188</v>
      </c>
      <c r="L3" s="44" t="s">
        <v>677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97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51" t="s">
        <v>831</v>
      </c>
      <c r="B6" s="51" t="s">
        <v>16</v>
      </c>
      <c r="C6" s="52">
        <f>IF(ISBLANK(B6),0,IF(ISERROR(VALUE(B6)),VLOOKUP(B6,dagsoorttabel1,2,FALSE)*dagenperjaar1,VALUE(B6)))</f>
        <v>10</v>
      </c>
      <c r="D6" s="51" t="s">
        <v>832</v>
      </c>
      <c r="E6" s="51" t="s">
        <v>768</v>
      </c>
      <c r="F6" s="131">
        <v>20</v>
      </c>
      <c r="G6" s="132">
        <f>Tariefopbouw2</f>
        <v>0</v>
      </c>
      <c r="H6" s="133"/>
      <c r="I6" s="132">
        <f>G6</f>
        <v>0</v>
      </c>
      <c r="J6" s="55">
        <f>IF(ISBLANK(F6),0,F6)*ROUND(I6,2)</f>
        <v>0</v>
      </c>
      <c r="K6" s="55">
        <f>C6*J6</f>
        <v>0</v>
      </c>
      <c r="L6" s="55">
        <f>K6/12</f>
        <v>0</v>
      </c>
    </row>
    <row r="7" spans="1:12" x14ac:dyDescent="0.2">
      <c r="A7" s="56" t="s">
        <v>833</v>
      </c>
      <c r="B7" s="56" t="s">
        <v>16</v>
      </c>
      <c r="C7" s="57">
        <f>IF(ISBLANK(B7),0,IF(ISERROR(VALUE(B7)),VLOOKUP(B7,dagsoorttabel1,2,FALSE)*dagenperjaar1,VALUE(B7)))</f>
        <v>10</v>
      </c>
      <c r="D7" s="56" t="s">
        <v>834</v>
      </c>
      <c r="E7" s="56" t="s">
        <v>768</v>
      </c>
      <c r="F7" s="134">
        <v>4</v>
      </c>
      <c r="G7" s="135">
        <f>Tariefopbouw3</f>
        <v>0</v>
      </c>
      <c r="H7" s="136"/>
      <c r="I7" s="135">
        <f>G7</f>
        <v>0</v>
      </c>
      <c r="J7" s="60">
        <f>IF(ISBLANK(F7),0,F7)*ROUND(I7,2)</f>
        <v>0</v>
      </c>
      <c r="K7" s="60">
        <f>C7*J7</f>
        <v>0</v>
      </c>
      <c r="L7" s="60">
        <f>K7/12</f>
        <v>0</v>
      </c>
    </row>
    <row r="8" spans="1:12" x14ac:dyDescent="0.2">
      <c r="A8" s="61" t="s">
        <v>835</v>
      </c>
      <c r="B8" s="61" t="s">
        <v>16</v>
      </c>
      <c r="C8" s="62">
        <f>IF(ISBLANK(B8),0,IF(ISERROR(VALUE(B8)),VLOOKUP(B8,dagsoorttabel1,2,FALSE)*dagenperjaar1,VALUE(B8)))</f>
        <v>10</v>
      </c>
      <c r="D8" s="61" t="s">
        <v>836</v>
      </c>
      <c r="E8" s="61" t="s">
        <v>768</v>
      </c>
      <c r="F8" s="137">
        <v>1</v>
      </c>
      <c r="G8" s="138">
        <f>Tariefopbouw2</f>
        <v>0</v>
      </c>
      <c r="H8" s="139"/>
      <c r="I8" s="138">
        <f>G8</f>
        <v>0</v>
      </c>
      <c r="J8" s="65">
        <f>IF(ISBLANK(F8),0,F8)*ROUND(I8,2)</f>
        <v>0</v>
      </c>
      <c r="K8" s="65">
        <f>C8*J8</f>
        <v>0</v>
      </c>
      <c r="L8" s="65">
        <f>K8/12</f>
        <v>0</v>
      </c>
    </row>
    <row r="9" spans="1:12" x14ac:dyDescent="0.2">
      <c r="A9" s="76" t="s">
        <v>230</v>
      </c>
      <c r="B9" s="77"/>
      <c r="C9" s="77"/>
      <c r="D9" s="77"/>
      <c r="E9" s="77"/>
      <c r="F9" s="77"/>
      <c r="G9" s="77"/>
      <c r="H9" s="77"/>
      <c r="I9" s="77"/>
      <c r="J9" s="77"/>
      <c r="K9" s="79">
        <f>SUM(K6:K8)</f>
        <v>0</v>
      </c>
      <c r="L9" s="126">
        <f>K9/12</f>
        <v>0</v>
      </c>
    </row>
    <row r="11" spans="1:12" x14ac:dyDescent="0.2">
      <c r="A11" s="76" t="s">
        <v>837</v>
      </c>
      <c r="B11" s="77"/>
      <c r="C11" s="77"/>
      <c r="D11" s="77"/>
      <c r="E11" s="77"/>
      <c r="F11" s="77"/>
      <c r="G11" s="77"/>
      <c r="H11" s="77"/>
      <c r="I11" s="77"/>
      <c r="J11" s="77"/>
      <c r="K11" s="79">
        <f>prijsjaarregie1</f>
        <v>0</v>
      </c>
      <c r="L11" s="126">
        <f>K11/12</f>
        <v>0</v>
      </c>
    </row>
  </sheetData>
  <sheetProtection algorithmName="SHA-512" hashValue="wmYyy1ndBuVcPwML3BRqBe/MkFklGZkJkJ5QEHXHeiTFEwp9o4nSKi1xkONI5TI+KCX3699pwrCBmwsOQRrvNA==" saltValue="FcPqQGC7aZeIUjJQMK+JWw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&amp;LGemeente Montferland EA 2026                                &amp;ROpmaakdatum: 16-09-2026
Intexso - Plantageweg 23E - Leusden
+31 (33) 2778485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1D68B-F7BC-4983-B1EE-DD403BD69270}">
  <dimension ref="A1:L18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D.9: ",tabeltype," glas")</f>
        <v>Bijlage D.9: Invultabel glas</v>
      </c>
    </row>
    <row r="3" spans="1:12" ht="38.25" x14ac:dyDescent="0.2">
      <c r="A3" s="44" t="s">
        <v>692</v>
      </c>
      <c r="B3" s="44" t="s">
        <v>7</v>
      </c>
      <c r="C3" s="44" t="s">
        <v>693</v>
      </c>
      <c r="D3" s="44" t="s">
        <v>92</v>
      </c>
      <c r="E3" s="44" t="s">
        <v>95</v>
      </c>
      <c r="F3" s="44" t="s">
        <v>694</v>
      </c>
      <c r="G3" s="44" t="s">
        <v>695</v>
      </c>
      <c r="H3" s="44" t="s">
        <v>696</v>
      </c>
      <c r="I3" s="44" t="s">
        <v>697</v>
      </c>
      <c r="J3" s="44" t="s">
        <v>698</v>
      </c>
      <c r="K3" s="44" t="s">
        <v>188</v>
      </c>
      <c r="L3" s="44" t="s">
        <v>677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97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51" t="s">
        <v>838</v>
      </c>
      <c r="B6" s="51" t="s">
        <v>20</v>
      </c>
      <c r="C6" s="52">
        <f>IF(ISBLANK(B6),0,IF(ISERROR(VALUE(B6)),VLOOKUP(B6,dagsoorttabel1,2,FALSE)*dagenperjaar1,VALUE(B6)))</f>
        <v>2</v>
      </c>
      <c r="D6" s="51" t="s">
        <v>839</v>
      </c>
      <c r="E6" s="51" t="s">
        <v>726</v>
      </c>
      <c r="F6" s="131">
        <v>673</v>
      </c>
      <c r="G6" s="132">
        <f>Tariefopbouw4</f>
        <v>0</v>
      </c>
      <c r="H6" s="133"/>
      <c r="I6" s="127"/>
      <c r="J6" s="55">
        <f>IF(ISBLANK(F6),0,F6)*ROUND(I6,2)</f>
        <v>0</v>
      </c>
      <c r="K6" s="55">
        <f>C6*J6</f>
        <v>0</v>
      </c>
      <c r="L6" s="55">
        <f>K6/12</f>
        <v>0</v>
      </c>
    </row>
    <row r="7" spans="1:12" x14ac:dyDescent="0.2">
      <c r="A7" s="56" t="s">
        <v>838</v>
      </c>
      <c r="B7" s="56" t="s">
        <v>18</v>
      </c>
      <c r="C7" s="57">
        <f>IF(ISBLANK(B7),0,IF(ISERROR(VALUE(B7)),VLOOKUP(B7,dagsoorttabel1,2,FALSE)*dagenperjaar1,VALUE(B7)))</f>
        <v>4</v>
      </c>
      <c r="D7" s="56" t="s">
        <v>839</v>
      </c>
      <c r="E7" s="56" t="s">
        <v>726</v>
      </c>
      <c r="F7" s="134">
        <v>99.11999999999999</v>
      </c>
      <c r="G7" s="135">
        <f>Tariefopbouw4</f>
        <v>0</v>
      </c>
      <c r="H7" s="136"/>
      <c r="I7" s="128"/>
      <c r="J7" s="60">
        <f>IF(ISBLANK(F7),0,F7)*ROUND(I7,2)</f>
        <v>0</v>
      </c>
      <c r="K7" s="60">
        <f>C7*J7</f>
        <v>0</v>
      </c>
      <c r="L7" s="60">
        <f>K7/12</f>
        <v>0</v>
      </c>
    </row>
    <row r="8" spans="1:12" x14ac:dyDescent="0.2">
      <c r="A8" s="56" t="s">
        <v>840</v>
      </c>
      <c r="B8" s="56" t="s">
        <v>20</v>
      </c>
      <c r="C8" s="57">
        <f>IF(ISBLANK(B8),0,IF(ISERROR(VALUE(B8)),VLOOKUP(B8,dagsoorttabel1,2,FALSE)*dagenperjaar1,VALUE(B8)))</f>
        <v>2</v>
      </c>
      <c r="D8" s="56" t="s">
        <v>841</v>
      </c>
      <c r="E8" s="56" t="s">
        <v>726</v>
      </c>
      <c r="F8" s="134">
        <v>74</v>
      </c>
      <c r="G8" s="135">
        <f>Tariefopbouw4</f>
        <v>0</v>
      </c>
      <c r="H8" s="136"/>
      <c r="I8" s="128"/>
      <c r="J8" s="60">
        <f>IF(ISBLANK(F8),0,F8)*ROUND(I8,2)</f>
        <v>0</v>
      </c>
      <c r="K8" s="60">
        <f>C8*J8</f>
        <v>0</v>
      </c>
      <c r="L8" s="60">
        <f>K8/12</f>
        <v>0</v>
      </c>
    </row>
    <row r="9" spans="1:12" x14ac:dyDescent="0.2">
      <c r="A9" s="56" t="s">
        <v>842</v>
      </c>
      <c r="B9" s="56" t="s">
        <v>20</v>
      </c>
      <c r="C9" s="57">
        <f>IF(ISBLANK(B9),0,IF(ISERROR(VALUE(B9)),VLOOKUP(B9,dagsoorttabel1,2,FALSE)*dagenperjaar1,VALUE(B9)))</f>
        <v>2</v>
      </c>
      <c r="D9" s="56" t="s">
        <v>843</v>
      </c>
      <c r="E9" s="56" t="s">
        <v>726</v>
      </c>
      <c r="F9" s="134">
        <v>324.39999999999998</v>
      </c>
      <c r="G9" s="135">
        <f>Tariefopbouw4</f>
        <v>0</v>
      </c>
      <c r="H9" s="136"/>
      <c r="I9" s="128"/>
      <c r="J9" s="60">
        <f>IF(ISBLANK(F9),0,F9)*ROUND(I9,2)</f>
        <v>0</v>
      </c>
      <c r="K9" s="60">
        <f>C9*J9</f>
        <v>0</v>
      </c>
      <c r="L9" s="60">
        <f>K9/12</f>
        <v>0</v>
      </c>
    </row>
    <row r="10" spans="1:12" x14ac:dyDescent="0.2">
      <c r="A10" s="56" t="s">
        <v>844</v>
      </c>
      <c r="B10" s="56" t="s">
        <v>20</v>
      </c>
      <c r="C10" s="57">
        <f>IF(ISBLANK(B10),0,IF(ISERROR(VALUE(B10)),VLOOKUP(B10,dagsoorttabel1,2,FALSE)*dagenperjaar1,VALUE(B10)))</f>
        <v>2</v>
      </c>
      <c r="D10" s="56" t="s">
        <v>845</v>
      </c>
      <c r="E10" s="56" t="s">
        <v>726</v>
      </c>
      <c r="F10" s="134">
        <v>232.2</v>
      </c>
      <c r="G10" s="135">
        <f>Tariefopbouw4</f>
        <v>0</v>
      </c>
      <c r="H10" s="136"/>
      <c r="I10" s="128"/>
      <c r="J10" s="60">
        <f>IF(ISBLANK(F10),0,F10)*ROUND(I10,2)</f>
        <v>0</v>
      </c>
      <c r="K10" s="60">
        <f>C10*J10</f>
        <v>0</v>
      </c>
      <c r="L10" s="60">
        <f>K10/12</f>
        <v>0</v>
      </c>
    </row>
    <row r="11" spans="1:12" x14ac:dyDescent="0.2">
      <c r="A11" s="56" t="s">
        <v>846</v>
      </c>
      <c r="B11" s="56" t="s">
        <v>20</v>
      </c>
      <c r="C11" s="57">
        <f>IF(ISBLANK(B11),0,IF(ISERROR(VALUE(B11)),VLOOKUP(B11,dagsoorttabel1,2,FALSE)*dagenperjaar1,VALUE(B11)))</f>
        <v>2</v>
      </c>
      <c r="D11" s="56" t="s">
        <v>847</v>
      </c>
      <c r="E11" s="56" t="s">
        <v>726</v>
      </c>
      <c r="F11" s="134">
        <v>25</v>
      </c>
      <c r="G11" s="135">
        <f>Tariefopbouw4</f>
        <v>0</v>
      </c>
      <c r="H11" s="136"/>
      <c r="I11" s="128"/>
      <c r="J11" s="60">
        <f>IF(ISBLANK(F11),0,F11)*ROUND(I11,2)</f>
        <v>0</v>
      </c>
      <c r="K11" s="60">
        <f>C11*J11</f>
        <v>0</v>
      </c>
      <c r="L11" s="60">
        <f>K11/12</f>
        <v>0</v>
      </c>
    </row>
    <row r="12" spans="1:12" x14ac:dyDescent="0.2">
      <c r="A12" s="56" t="s">
        <v>848</v>
      </c>
      <c r="B12" s="56" t="s">
        <v>20</v>
      </c>
      <c r="C12" s="57">
        <f>IF(ISBLANK(B12),0,IF(ISERROR(VALUE(B12)),VLOOKUP(B12,dagsoorttabel1,2,FALSE)*dagenperjaar1,VALUE(B12)))</f>
        <v>2</v>
      </c>
      <c r="D12" s="56" t="s">
        <v>849</v>
      </c>
      <c r="E12" s="56" t="s">
        <v>726</v>
      </c>
      <c r="F12" s="134">
        <v>25</v>
      </c>
      <c r="G12" s="135">
        <f>Tariefopbouw4</f>
        <v>0</v>
      </c>
      <c r="H12" s="136"/>
      <c r="I12" s="128"/>
      <c r="J12" s="60">
        <f>IF(ISBLANK(F12),0,F12)*ROUND(I12,2)</f>
        <v>0</v>
      </c>
      <c r="K12" s="60">
        <f>C12*J12</f>
        <v>0</v>
      </c>
      <c r="L12" s="60">
        <f>K12/12</f>
        <v>0</v>
      </c>
    </row>
    <row r="13" spans="1:12" x14ac:dyDescent="0.2">
      <c r="A13" s="56" t="s">
        <v>850</v>
      </c>
      <c r="B13" s="56" t="s">
        <v>21</v>
      </c>
      <c r="C13" s="57">
        <f>IF(ISBLANK(B13),0,IF(ISERROR(VALUE(B13)),VLOOKUP(B13,dagsoorttabel1,2,FALSE)*dagenperjaar1,VALUE(B13)))</f>
        <v>1</v>
      </c>
      <c r="D13" s="56" t="s">
        <v>851</v>
      </c>
      <c r="E13" s="56" t="s">
        <v>726</v>
      </c>
      <c r="F13" s="134">
        <v>50</v>
      </c>
      <c r="G13" s="135">
        <f>Tariefopbouw4</f>
        <v>0</v>
      </c>
      <c r="H13" s="136"/>
      <c r="I13" s="128"/>
      <c r="J13" s="60">
        <f>IF(ISBLANK(F13),0,F13)*ROUND(I13,2)</f>
        <v>0</v>
      </c>
      <c r="K13" s="60">
        <f>C13*J13</f>
        <v>0</v>
      </c>
      <c r="L13" s="60">
        <f>K13/12</f>
        <v>0</v>
      </c>
    </row>
    <row r="14" spans="1:12" x14ac:dyDescent="0.2">
      <c r="A14" s="56" t="s">
        <v>852</v>
      </c>
      <c r="B14" s="56" t="s">
        <v>21</v>
      </c>
      <c r="C14" s="57">
        <f>IF(ISBLANK(B14),0,IF(ISERROR(VALUE(B14)),VLOOKUP(B14,dagsoorttabel1,2,FALSE)*dagenperjaar1,VALUE(B14)))</f>
        <v>1</v>
      </c>
      <c r="D14" s="56" t="s">
        <v>853</v>
      </c>
      <c r="E14" s="56" t="s">
        <v>854</v>
      </c>
      <c r="F14" s="134">
        <v>1</v>
      </c>
      <c r="G14" s="135">
        <f>Tariefopbouw4</f>
        <v>0</v>
      </c>
      <c r="H14" s="136"/>
      <c r="I14" s="128"/>
      <c r="J14" s="60">
        <f>IF(ISBLANK(F14),1,F14)*ROUND(I14,2)</f>
        <v>0</v>
      </c>
      <c r="K14" s="60">
        <f>C14*J14</f>
        <v>0</v>
      </c>
      <c r="L14" s="60">
        <f>K14/12</f>
        <v>0</v>
      </c>
    </row>
    <row r="15" spans="1:12" x14ac:dyDescent="0.2">
      <c r="A15" s="61" t="s">
        <v>855</v>
      </c>
      <c r="B15" s="61" t="s">
        <v>21</v>
      </c>
      <c r="C15" s="62">
        <f>IF(ISBLANK(B15),0,IF(ISERROR(VALUE(B15)),VLOOKUP(B15,dagsoorttabel1,2,FALSE)*dagenperjaar1,VALUE(B15)))</f>
        <v>1</v>
      </c>
      <c r="D15" s="61" t="s">
        <v>856</v>
      </c>
      <c r="E15" s="61" t="s">
        <v>854</v>
      </c>
      <c r="F15" s="137">
        <v>1</v>
      </c>
      <c r="G15" s="138">
        <f>Tariefopbouw4</f>
        <v>0</v>
      </c>
      <c r="H15" s="139"/>
      <c r="I15" s="129"/>
      <c r="J15" s="65">
        <f>IF(ISBLANK(F15),1,F15)*ROUND(I15,2)</f>
        <v>0</v>
      </c>
      <c r="K15" s="65">
        <f>C15*J15</f>
        <v>0</v>
      </c>
      <c r="L15" s="65">
        <f>K15/12</f>
        <v>0</v>
      </c>
    </row>
    <row r="16" spans="1:12" x14ac:dyDescent="0.2">
      <c r="A16" s="76" t="s">
        <v>230</v>
      </c>
      <c r="B16" s="77"/>
      <c r="C16" s="77"/>
      <c r="D16" s="77"/>
      <c r="E16" s="77"/>
      <c r="F16" s="77"/>
      <c r="G16" s="77"/>
      <c r="H16" s="77"/>
      <c r="I16" s="77"/>
      <c r="J16" s="77"/>
      <c r="K16" s="79">
        <f>SUM(K6:K15)</f>
        <v>0</v>
      </c>
      <c r="L16" s="126">
        <f>K16/12</f>
        <v>0</v>
      </c>
    </row>
    <row r="18" spans="1:12" x14ac:dyDescent="0.2">
      <c r="A18" s="76" t="s">
        <v>857</v>
      </c>
      <c r="B18" s="77"/>
      <c r="C18" s="77"/>
      <c r="D18" s="77"/>
      <c r="E18" s="77"/>
      <c r="F18" s="77"/>
      <c r="G18" s="77"/>
      <c r="H18" s="77"/>
      <c r="I18" s="77"/>
      <c r="J18" s="77"/>
      <c r="K18" s="79">
        <f>prijsjaarglas1</f>
        <v>0</v>
      </c>
      <c r="L18" s="126">
        <f>K18/12</f>
        <v>0</v>
      </c>
    </row>
  </sheetData>
  <sheetProtection algorithmName="SHA-512" hashValue="CrcSU4w/4EtydhkGCRLG7DZT/S2zcaQbrbomBGCBSHR/CG2INVajWOwnjw27hlZC/xB8Fw3cdlT00H9B/hGnCw==" saltValue="S6QWV6ww6Eo6m7dvwK6E8g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&amp;LGemeente Montferland EA 2026                                &amp;ROpmaakdatum: 16-09-2026
Intexso - Plantageweg 23E - Leusden
+31 (33) 2778485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DB9D7-E694-4B77-814C-B0D0253B8B80}">
  <dimension ref="A1:M19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11.625" customWidth="1"/>
    <col min="5" max="5" width="50.625" customWidth="1"/>
    <col min="6" max="7" width="14.625" customWidth="1"/>
    <col min="8" max="10" width="11.625" customWidth="1"/>
    <col min="11" max="11" width="12.625" customWidth="1"/>
    <col min="12" max="12" width="14.625" customWidth="1"/>
    <col min="13" max="13" width="13.625" customWidth="1"/>
  </cols>
  <sheetData>
    <row r="1" spans="1:13" x14ac:dyDescent="0.2">
      <c r="A1" s="1" t="str">
        <f>CONCATENATE("Bijlage D.10: ",tabeltype," glas per locatie")</f>
        <v>Bijlage D.10: Invultabel glas per locatie</v>
      </c>
    </row>
    <row r="3" spans="1:13" ht="38.25" x14ac:dyDescent="0.2">
      <c r="A3" s="44" t="s">
        <v>692</v>
      </c>
      <c r="B3" s="44" t="s">
        <v>7</v>
      </c>
      <c r="C3" s="44" t="s">
        <v>693</v>
      </c>
      <c r="D3" s="44" t="s">
        <v>653</v>
      </c>
      <c r="E3" s="44" t="s">
        <v>92</v>
      </c>
      <c r="F3" s="44" t="s">
        <v>95</v>
      </c>
      <c r="G3" s="44" t="s">
        <v>694</v>
      </c>
      <c r="H3" s="44" t="s">
        <v>695</v>
      </c>
      <c r="I3" s="44" t="s">
        <v>696</v>
      </c>
      <c r="J3" s="44" t="s">
        <v>697</v>
      </c>
      <c r="K3" s="44" t="s">
        <v>698</v>
      </c>
      <c r="L3" s="44" t="s">
        <v>188</v>
      </c>
      <c r="M3" s="44" t="s">
        <v>677</v>
      </c>
    </row>
    <row r="5" spans="1:13" x14ac:dyDescent="0.2">
      <c r="A5" s="140" t="s">
        <v>242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130"/>
    </row>
    <row r="6" spans="1:13" x14ac:dyDescent="0.2">
      <c r="A6" s="51" t="s">
        <v>838</v>
      </c>
      <c r="B6" s="51" t="s">
        <v>20</v>
      </c>
      <c r="C6" s="52">
        <f>IF(ISBLANK(B6),0,IF(ISERROR(VALUE(B6)),VLOOKUP(B6,dagsoorttabel1,2,FALSE)*dagenperjaar1,VALUE(B6)))</f>
        <v>2</v>
      </c>
      <c r="D6" s="51" t="s">
        <v>663</v>
      </c>
      <c r="E6" s="51" t="s">
        <v>839</v>
      </c>
      <c r="F6" s="51" t="s">
        <v>726</v>
      </c>
      <c r="G6" s="131">
        <v>673</v>
      </c>
      <c r="H6" s="132">
        <f>Glas!G6</f>
        <v>0</v>
      </c>
      <c r="I6" s="133"/>
      <c r="J6" s="132">
        <f>Glas!I6</f>
        <v>0</v>
      </c>
      <c r="K6" s="55">
        <f>IF(ISBLANK(G6),0,G6)*ROUND(J6,2)</f>
        <v>0</v>
      </c>
      <c r="L6" s="55">
        <f>C6*K6</f>
        <v>0</v>
      </c>
      <c r="M6" s="55">
        <f>L6/12</f>
        <v>0</v>
      </c>
    </row>
    <row r="7" spans="1:13" x14ac:dyDescent="0.2">
      <c r="A7" s="56" t="s">
        <v>844</v>
      </c>
      <c r="B7" s="56" t="s">
        <v>20</v>
      </c>
      <c r="C7" s="57">
        <f>IF(ISBLANK(B7),0,IF(ISERROR(VALUE(B7)),VLOOKUP(B7,dagsoorttabel1,2,FALSE)*dagenperjaar1,VALUE(B7)))</f>
        <v>2</v>
      </c>
      <c r="D7" s="56" t="s">
        <v>663</v>
      </c>
      <c r="E7" s="56" t="s">
        <v>845</v>
      </c>
      <c r="F7" s="56" t="s">
        <v>726</v>
      </c>
      <c r="G7" s="134">
        <v>232.2</v>
      </c>
      <c r="H7" s="135">
        <f>Glas!G10</f>
        <v>0</v>
      </c>
      <c r="I7" s="136"/>
      <c r="J7" s="135">
        <f>Glas!I10</f>
        <v>0</v>
      </c>
      <c r="K7" s="60">
        <f>IF(ISBLANK(G7),0,G7)*ROUND(J7,2)</f>
        <v>0</v>
      </c>
      <c r="L7" s="60">
        <f>C7*K7</f>
        <v>0</v>
      </c>
      <c r="M7" s="60">
        <f>L7/12</f>
        <v>0</v>
      </c>
    </row>
    <row r="8" spans="1:13" x14ac:dyDescent="0.2">
      <c r="A8" s="56" t="s">
        <v>852</v>
      </c>
      <c r="B8" s="56" t="s">
        <v>21</v>
      </c>
      <c r="C8" s="57">
        <f>IF(ISBLANK(B8),0,IF(ISERROR(VALUE(B8)),VLOOKUP(B8,dagsoorttabel1,2,FALSE)*dagenperjaar1,VALUE(B8)))</f>
        <v>1</v>
      </c>
      <c r="D8" s="56" t="s">
        <v>663</v>
      </c>
      <c r="E8" s="56" t="s">
        <v>853</v>
      </c>
      <c r="F8" s="56" t="s">
        <v>854</v>
      </c>
      <c r="G8" s="134">
        <v>1</v>
      </c>
      <c r="H8" s="135">
        <f>Glas!G14</f>
        <v>0</v>
      </c>
      <c r="I8" s="136"/>
      <c r="J8" s="135">
        <f>Glas!I14</f>
        <v>0</v>
      </c>
      <c r="K8" s="60">
        <f>IF(ISBLANK(G8),1,G8)*ROUND(J8,2)</f>
        <v>0</v>
      </c>
      <c r="L8" s="60">
        <f>C8*K8</f>
        <v>0</v>
      </c>
      <c r="M8" s="60">
        <f>L8/12</f>
        <v>0</v>
      </c>
    </row>
    <row r="9" spans="1:13" x14ac:dyDescent="0.2">
      <c r="A9" s="61" t="s">
        <v>855</v>
      </c>
      <c r="B9" s="61" t="s">
        <v>21</v>
      </c>
      <c r="C9" s="62">
        <f>IF(ISBLANK(B9),0,IF(ISERROR(VALUE(B9)),VLOOKUP(B9,dagsoorttabel1,2,FALSE)*dagenperjaar1,VALUE(B9)))</f>
        <v>1</v>
      </c>
      <c r="D9" s="61" t="s">
        <v>663</v>
      </c>
      <c r="E9" s="61" t="s">
        <v>856</v>
      </c>
      <c r="F9" s="61" t="s">
        <v>854</v>
      </c>
      <c r="G9" s="137">
        <v>1</v>
      </c>
      <c r="H9" s="138">
        <f>Glas!G15</f>
        <v>0</v>
      </c>
      <c r="I9" s="139"/>
      <c r="J9" s="138">
        <f>Glas!I15</f>
        <v>0</v>
      </c>
      <c r="K9" s="65">
        <f>IF(ISBLANK(G9),1,G9)*ROUND(J9,2)</f>
        <v>0</v>
      </c>
      <c r="L9" s="65">
        <f>C9*K9</f>
        <v>0</v>
      </c>
      <c r="M9" s="65">
        <f>L9/12</f>
        <v>0</v>
      </c>
    </row>
    <row r="10" spans="1:13" x14ac:dyDescent="0.2">
      <c r="A10" s="141" t="s">
        <v>858</v>
      </c>
      <c r="B10" s="77"/>
      <c r="C10" s="77"/>
      <c r="D10" s="77"/>
      <c r="E10" s="77"/>
      <c r="F10" s="77"/>
      <c r="G10" s="77"/>
      <c r="H10" s="77"/>
      <c r="I10" s="77"/>
      <c r="J10" s="77"/>
      <c r="K10" s="79">
        <f>SUM(K6:K9)</f>
        <v>0</v>
      </c>
      <c r="L10" s="79">
        <f>SUM(L6:L9)</f>
        <v>0</v>
      </c>
      <c r="M10" s="126">
        <f>L10/12</f>
        <v>0</v>
      </c>
    </row>
    <row r="12" spans="1:13" x14ac:dyDescent="0.2">
      <c r="A12" s="140" t="s">
        <v>587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130"/>
    </row>
    <row r="13" spans="1:13" x14ac:dyDescent="0.2">
      <c r="A13" s="51" t="s">
        <v>840</v>
      </c>
      <c r="B13" s="51" t="s">
        <v>20</v>
      </c>
      <c r="C13" s="52">
        <f>IF(ISBLANK(B13),0,IF(ISERROR(VALUE(B13)),VLOOKUP(B13,dagsoorttabel1,2,FALSE)*dagenperjaar1,VALUE(B13)))</f>
        <v>2</v>
      </c>
      <c r="D13" s="51" t="s">
        <v>663</v>
      </c>
      <c r="E13" s="51" t="s">
        <v>841</v>
      </c>
      <c r="F13" s="51" t="s">
        <v>726</v>
      </c>
      <c r="G13" s="131">
        <v>74</v>
      </c>
      <c r="H13" s="132">
        <f>Glas!G8</f>
        <v>0</v>
      </c>
      <c r="I13" s="133"/>
      <c r="J13" s="132">
        <f>Glas!I8</f>
        <v>0</v>
      </c>
      <c r="K13" s="55">
        <f>IF(ISBLANK(G13),0,G13)*ROUND(J13,2)</f>
        <v>0</v>
      </c>
      <c r="L13" s="55">
        <f>C13*K13</f>
        <v>0</v>
      </c>
      <c r="M13" s="55">
        <f>L13/12</f>
        <v>0</v>
      </c>
    </row>
    <row r="14" spans="1:13" x14ac:dyDescent="0.2">
      <c r="A14" s="61" t="s">
        <v>842</v>
      </c>
      <c r="B14" s="61" t="s">
        <v>20</v>
      </c>
      <c r="C14" s="62">
        <f>IF(ISBLANK(B14),0,IF(ISERROR(VALUE(B14)),VLOOKUP(B14,dagsoorttabel1,2,FALSE)*dagenperjaar1,VALUE(B14)))</f>
        <v>2</v>
      </c>
      <c r="D14" s="61" t="s">
        <v>663</v>
      </c>
      <c r="E14" s="61" t="s">
        <v>843</v>
      </c>
      <c r="F14" s="61" t="s">
        <v>726</v>
      </c>
      <c r="G14" s="137">
        <v>324.39999999999998</v>
      </c>
      <c r="H14" s="138">
        <f>Glas!G9</f>
        <v>0</v>
      </c>
      <c r="I14" s="139"/>
      <c r="J14" s="138">
        <f>Glas!I9</f>
        <v>0</v>
      </c>
      <c r="K14" s="65">
        <f>IF(ISBLANK(G14),0,G14)*ROUND(J14,2)</f>
        <v>0</v>
      </c>
      <c r="L14" s="65">
        <f>C14*K14</f>
        <v>0</v>
      </c>
      <c r="M14" s="65">
        <f>L14/12</f>
        <v>0</v>
      </c>
    </row>
    <row r="15" spans="1:13" x14ac:dyDescent="0.2">
      <c r="A15" s="141" t="s">
        <v>859</v>
      </c>
      <c r="B15" s="77"/>
      <c r="C15" s="77"/>
      <c r="D15" s="77"/>
      <c r="E15" s="77"/>
      <c r="F15" s="77"/>
      <c r="G15" s="77"/>
      <c r="H15" s="77"/>
      <c r="I15" s="77"/>
      <c r="J15" s="77"/>
      <c r="K15" s="79">
        <f>SUM(K13:K14)</f>
        <v>0</v>
      </c>
      <c r="L15" s="79">
        <f>SUM(L13:L14)</f>
        <v>0</v>
      </c>
      <c r="M15" s="126">
        <f>L15/12</f>
        <v>0</v>
      </c>
    </row>
    <row r="17" spans="1:13" x14ac:dyDescent="0.2">
      <c r="A17" s="140" t="s">
        <v>626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130"/>
    </row>
    <row r="18" spans="1:13" x14ac:dyDescent="0.2">
      <c r="A18" s="119" t="s">
        <v>838</v>
      </c>
      <c r="B18" s="119" t="s">
        <v>18</v>
      </c>
      <c r="C18" s="120">
        <f>IF(ISBLANK(B18),0,IF(ISERROR(VALUE(B18)),VLOOKUP(B18,dagsoorttabel1,2,FALSE)*dagenperjaar1,VALUE(B18)))</f>
        <v>4</v>
      </c>
      <c r="D18" s="119" t="s">
        <v>663</v>
      </c>
      <c r="E18" s="119" t="s">
        <v>839</v>
      </c>
      <c r="F18" s="119" t="s">
        <v>726</v>
      </c>
      <c r="G18" s="121">
        <v>99.11999999999999</v>
      </c>
      <c r="H18" s="122">
        <f>Glas!G7</f>
        <v>0</v>
      </c>
      <c r="I18" s="142"/>
      <c r="J18" s="122">
        <f>Glas!I7</f>
        <v>0</v>
      </c>
      <c r="K18" s="125">
        <f>IF(ISBLANK(G18),0,G18)*ROUND(J18,2)</f>
        <v>0</v>
      </c>
      <c r="L18" s="125">
        <f>C18*K18</f>
        <v>0</v>
      </c>
      <c r="M18" s="125">
        <f>L18/12</f>
        <v>0</v>
      </c>
    </row>
    <row r="19" spans="1:13" x14ac:dyDescent="0.2">
      <c r="A19" s="141" t="s">
        <v>860</v>
      </c>
      <c r="B19" s="77"/>
      <c r="C19" s="77"/>
      <c r="D19" s="77"/>
      <c r="E19" s="77"/>
      <c r="F19" s="77"/>
      <c r="G19" s="77"/>
      <c r="H19" s="77"/>
      <c r="I19" s="77"/>
      <c r="J19" s="77"/>
      <c r="K19" s="79">
        <f>SUM(K18:K18)</f>
        <v>0</v>
      </c>
      <c r="L19" s="79">
        <f>SUM(L18:L18)</f>
        <v>0</v>
      </c>
      <c r="M19" s="126">
        <f>L19/12</f>
        <v>0</v>
      </c>
    </row>
  </sheetData>
  <sheetProtection algorithmName="SHA-512" hashValue="K+GvqDt8lzh/7iwz4jWoH2f7qKwK/Ve1h/MLy4pUcjN3wVrCX90PRhIj68BM5RHSiLdoOtRP3LXxnQD2mUc54w==" saltValue="9GDoL6cR61X3sjV/2WooZw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&amp;LGemeente Montferland EA 2026                                &amp;ROpmaakdatum: 16-09-2026
Intexso - Plantageweg 23E - Leusden
+31 (33) 2778485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E1B90-82D3-4558-9532-240CFF452B56}">
  <dimension ref="A1:E9"/>
  <sheetViews>
    <sheetView workbookViewId="0">
      <selection activeCell="D18" sqref="D18"/>
    </sheetView>
  </sheetViews>
  <sheetFormatPr defaultRowHeight="12.75" x14ac:dyDescent="0.2"/>
  <cols>
    <col min="1" max="1" width="30.625" customWidth="1"/>
    <col min="2" max="5" width="20.625" customWidth="1"/>
  </cols>
  <sheetData>
    <row r="1" spans="1:5" x14ac:dyDescent="0.2">
      <c r="A1" s="1" t="str">
        <f>CONCATENATE("Bijlage D.11: ",tabeltype," totaalblad schoonmaakwerk")</f>
        <v>Bijlage D.11: Invultabel totaalblad schoonmaakwerk</v>
      </c>
    </row>
    <row r="3" spans="1:5" ht="25.5" x14ac:dyDescent="0.2">
      <c r="A3" s="44" t="s">
        <v>861</v>
      </c>
      <c r="B3" s="44" t="s">
        <v>862</v>
      </c>
      <c r="C3" s="44" t="s">
        <v>863</v>
      </c>
      <c r="D3" s="44" t="s">
        <v>864</v>
      </c>
      <c r="E3" s="44" t="s">
        <v>865</v>
      </c>
    </row>
    <row r="4" spans="1:5" x14ac:dyDescent="0.2">
      <c r="A4" s="143" t="s">
        <v>866</v>
      </c>
      <c r="B4" s="66">
        <f>urenjaartotaaloverzicht</f>
        <v>0</v>
      </c>
      <c r="C4" s="66">
        <f>urenjaartotaaloverzichthf</f>
        <v>0</v>
      </c>
      <c r="D4" s="55">
        <f>prijsjaartotaaloverzicht</f>
        <v>0</v>
      </c>
      <c r="E4" s="55">
        <f>D4*1.21</f>
        <v>0</v>
      </c>
    </row>
    <row r="5" spans="1:5" x14ac:dyDescent="0.2">
      <c r="A5" s="144" t="s">
        <v>867</v>
      </c>
      <c r="B5" s="145"/>
      <c r="C5" s="145"/>
      <c r="D5" s="60">
        <f>prijsjaaradditioneel</f>
        <v>0</v>
      </c>
      <c r="E5" s="60">
        <f>D5*1.21</f>
        <v>0</v>
      </c>
    </row>
    <row r="6" spans="1:5" x14ac:dyDescent="0.2">
      <c r="A6" s="144" t="s">
        <v>868</v>
      </c>
      <c r="B6" s="145"/>
      <c r="C6" s="145"/>
      <c r="D6" s="60">
        <f>prijsjaarregie</f>
        <v>0</v>
      </c>
      <c r="E6" s="60">
        <f>D6*1.21</f>
        <v>0</v>
      </c>
    </row>
    <row r="7" spans="1:5" x14ac:dyDescent="0.2">
      <c r="A7" s="146" t="s">
        <v>869</v>
      </c>
      <c r="B7" s="147"/>
      <c r="C7" s="147"/>
      <c r="D7" s="65">
        <f>prijsjaarglas</f>
        <v>0</v>
      </c>
      <c r="E7" s="65">
        <f>D7*1.21</f>
        <v>0</v>
      </c>
    </row>
    <row r="9" spans="1:5" x14ac:dyDescent="0.2">
      <c r="A9" s="44" t="s">
        <v>870</v>
      </c>
      <c r="B9" s="78">
        <f>SUM(B4:B7)</f>
        <v>0</v>
      </c>
      <c r="C9" s="78">
        <f>SUM(C4:C7)</f>
        <v>0</v>
      </c>
      <c r="D9" s="79">
        <f>SUM(D4:D7)</f>
        <v>0</v>
      </c>
      <c r="E9" s="79">
        <f>D9*1.21</f>
        <v>0</v>
      </c>
    </row>
  </sheetData>
  <sheetProtection algorithmName="SHA-512" hashValue="/Xw2sXuReZcigIVN3KNS+MaMPCXvgTQe0InDB8MGgDwnvIiVfdTfOsj266nc0glWRnh4DsjSI048ACC07cDKFQ==" saltValue="k2C5R8L+NYAI20jEDHJXtw==" spinCount="100000" sheet="1" objects="1" scenarios="1" autoFilter="0"/>
  <pageMargins left="0.7" right="0.7" top="0.75" bottom="0.75" header="0.3" footer="0.3"/>
  <pageSetup paperSize="9" scale="70" orientation="landscape" horizontalDpi="4294967295" verticalDpi="4294967295" r:id="rId1"/>
  <headerFooter>
    <oddFooter>&amp;LGemeente Montferland EA 2026                                &amp;ROpmaakdatum: 16-09-2026
Intexso - Plantageweg 23E - Leusden
+31 (33) 2778485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595AD6D3C3E041BB31B0797DB6A1B2" ma:contentTypeVersion="3" ma:contentTypeDescription="Een nieuw document maken." ma:contentTypeScope="" ma:versionID="529110452caac8cae46c30e3fca3f32c">
  <xsd:schema xmlns:xsd="http://www.w3.org/2001/XMLSchema" xmlns:xs="http://www.w3.org/2001/XMLSchema" xmlns:p="http://schemas.microsoft.com/office/2006/metadata/properties" xmlns:ns2="17810dba-923c-406c-9802-8990c314b038" targetNamespace="http://schemas.microsoft.com/office/2006/metadata/properties" ma:root="true" ma:fieldsID="e88b45c2803ca322e0d44ae858076a95" ns2:_="">
    <xsd:import namespace="17810dba-923c-406c-9802-8990c314b0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810dba-923c-406c-9802-8990c314b0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B675AE9-7F96-418D-980B-C96C85A735BF}"/>
</file>

<file path=customXml/itemProps2.xml><?xml version="1.0" encoding="utf-8"?>
<ds:datastoreItem xmlns:ds="http://schemas.openxmlformats.org/officeDocument/2006/customXml" ds:itemID="{31E80AE5-C7E3-4614-A4C2-026B95663B51}"/>
</file>

<file path=customXml/itemProps3.xml><?xml version="1.0" encoding="utf-8"?>
<ds:datastoreItem xmlns:ds="http://schemas.openxmlformats.org/officeDocument/2006/customXml" ds:itemID="{2E7C31B0-3A7F-4D2D-93AA-2B11FD7592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14</vt:i4>
      </vt:variant>
      <vt:variant>
        <vt:lpstr>Benoemde bereiken</vt:lpstr>
      </vt:variant>
      <vt:variant>
        <vt:i4>443</vt:i4>
      </vt:variant>
    </vt:vector>
  </HeadingPairs>
  <TitlesOfParts>
    <vt:vector size="457" baseType="lpstr">
      <vt:lpstr>Omreken</vt:lpstr>
      <vt:lpstr>Tariefopbouw</vt:lpstr>
      <vt:lpstr>Categorienormen</vt:lpstr>
      <vt:lpstr>Regulier werk</vt:lpstr>
      <vt:lpstr>Ruimten werkdag</vt:lpstr>
      <vt:lpstr>Objectinformatie</vt:lpstr>
      <vt:lpstr>Objecten</vt:lpstr>
      <vt:lpstr>Totaalblad Objecten</vt:lpstr>
      <vt:lpstr>Additioneel werk</vt:lpstr>
      <vt:lpstr>Afroep incidenteel</vt:lpstr>
      <vt:lpstr>Regiewerk</vt:lpstr>
      <vt:lpstr>Glas</vt:lpstr>
      <vt:lpstr>Glas per locatie</vt:lpstr>
      <vt:lpstr>Totaal</vt:lpstr>
      <vt:lpstr>'Additioneel werk'!Afdruktitels</vt:lpstr>
      <vt:lpstr>'Afroep incidenteel'!Afdruktitels</vt:lpstr>
      <vt:lpstr>Categorienormen!Afdruktitels</vt:lpstr>
      <vt:lpstr>Glas!Afdruktitels</vt:lpstr>
      <vt:lpstr>'Glas per locatie'!Afdruktitels</vt:lpstr>
      <vt:lpstr>Objecten!Afdruktitels</vt:lpstr>
      <vt:lpstr>Objectinformatie!Afdruktitels</vt:lpstr>
      <vt:lpstr>Regiewerk!Afdruktitels</vt:lpstr>
      <vt:lpstr>'Regulier werk'!Afdruktitels</vt:lpstr>
      <vt:lpstr>'Ruimten werkdag'!Afdruktitels</vt:lpstr>
      <vt:lpstr>Tariefopbouw!Afdruktitels</vt:lpstr>
      <vt:lpstr>Totaal!Afdruktitels</vt:lpstr>
      <vt:lpstr>'Totaalblad Objecten'!Afdruktitels</vt:lpstr>
      <vt:lpstr>catdw_1_BKHB_1</vt:lpstr>
      <vt:lpstr>catdw_1_BKHV_51</vt:lpstr>
      <vt:lpstr>catdw_1_BKZB_1</vt:lpstr>
      <vt:lpstr>catdw_1_BKZV_51</vt:lpstr>
      <vt:lpstr>catdw_1_BRHB_1</vt:lpstr>
      <vt:lpstr>catdw_1_BRHV_51</vt:lpstr>
      <vt:lpstr>catdw_1_BRZB_1</vt:lpstr>
      <vt:lpstr>catdw_1_BRZV_51</vt:lpstr>
      <vt:lpstr>catdw_1_BVHB_1</vt:lpstr>
      <vt:lpstr>catdw_1_BVHB_51</vt:lpstr>
      <vt:lpstr>catdw_1_BVZB_1</vt:lpstr>
      <vt:lpstr>catdw_1_BVZV_51</vt:lpstr>
      <vt:lpstr>catdw_1_LOHB_1</vt:lpstr>
      <vt:lpstr>catdw_1_LOHV_51</vt:lpstr>
      <vt:lpstr>catdw_1_RKHB_1</vt:lpstr>
      <vt:lpstr>catdw_1_RKHV_51</vt:lpstr>
      <vt:lpstr>catdw_1_RPHB_1</vt:lpstr>
      <vt:lpstr>catdw_1_RPHV_51</vt:lpstr>
      <vt:lpstr>catdw_1_RRHB_1</vt:lpstr>
      <vt:lpstr>catdw_1_RRHV_51</vt:lpstr>
      <vt:lpstr>catdw_1_SDHB_1</vt:lpstr>
      <vt:lpstr>catdw_1_SDHV_51</vt:lpstr>
      <vt:lpstr>catdw_1_SKHB_1</vt:lpstr>
      <vt:lpstr>catdw_1_SKHV_51</vt:lpstr>
      <vt:lpstr>catdw_1_STHB_1</vt:lpstr>
      <vt:lpstr>catdw_1_STHV_51</vt:lpstr>
      <vt:lpstr>catdw_1_VAHB_1</vt:lpstr>
      <vt:lpstr>catdw_1_VAHV_51</vt:lpstr>
      <vt:lpstr>catdw_1_VAZB_1</vt:lpstr>
      <vt:lpstr>catdw_1_VAZV_51</vt:lpstr>
      <vt:lpstr>catdw_1_VEHB_1</vt:lpstr>
      <vt:lpstr>catdw_1_VEHV_51</vt:lpstr>
      <vt:lpstr>catdw_1_VEZB_1</vt:lpstr>
      <vt:lpstr>catdw_1_VEZV_51</vt:lpstr>
      <vt:lpstr>catdw_1_VLHB_1</vt:lpstr>
      <vt:lpstr>catdw_1_VLHV_51</vt:lpstr>
      <vt:lpstr>catdw_1_VOHB_1</vt:lpstr>
      <vt:lpstr>catdw_1_VOHV_51</vt:lpstr>
      <vt:lpstr>catdw_1_VTHB_1</vt:lpstr>
      <vt:lpstr>catdw_1_VTHV_51</vt:lpstr>
      <vt:lpstr>catfd_1_BKHB_1</vt:lpstr>
      <vt:lpstr>catfd_1_BKHV_51</vt:lpstr>
      <vt:lpstr>catfd_1_BKZB_1</vt:lpstr>
      <vt:lpstr>catfd_1_BKZV_51</vt:lpstr>
      <vt:lpstr>catfd_1_BRHB_1</vt:lpstr>
      <vt:lpstr>catfd_1_BRHV_51</vt:lpstr>
      <vt:lpstr>catfd_1_BRZB_1</vt:lpstr>
      <vt:lpstr>catfd_1_BRZV_51</vt:lpstr>
      <vt:lpstr>catfd_1_BVHB_1</vt:lpstr>
      <vt:lpstr>catfd_1_BVHB_51</vt:lpstr>
      <vt:lpstr>catfd_1_BVZB_1</vt:lpstr>
      <vt:lpstr>catfd_1_BVZV_51</vt:lpstr>
      <vt:lpstr>catfd_1_LOHB_1</vt:lpstr>
      <vt:lpstr>catfd_1_LOHV_51</vt:lpstr>
      <vt:lpstr>catfd_1_RKHB_1</vt:lpstr>
      <vt:lpstr>catfd_1_RKHV_51</vt:lpstr>
      <vt:lpstr>catfd_1_RPHB_1</vt:lpstr>
      <vt:lpstr>catfd_1_RPHV_51</vt:lpstr>
      <vt:lpstr>catfd_1_RRHB_1</vt:lpstr>
      <vt:lpstr>catfd_1_RRHV_51</vt:lpstr>
      <vt:lpstr>catfd_1_SDHB_1</vt:lpstr>
      <vt:lpstr>catfd_1_SDHV_51</vt:lpstr>
      <vt:lpstr>catfd_1_SKHB_1</vt:lpstr>
      <vt:lpstr>catfd_1_SKHV_51</vt:lpstr>
      <vt:lpstr>catfd_1_STHB_1</vt:lpstr>
      <vt:lpstr>catfd_1_STHV_51</vt:lpstr>
      <vt:lpstr>catfd_1_VAHB_1</vt:lpstr>
      <vt:lpstr>catfd_1_VAHV_51</vt:lpstr>
      <vt:lpstr>catfd_1_VAZB_1</vt:lpstr>
      <vt:lpstr>catfd_1_VAZV_51</vt:lpstr>
      <vt:lpstr>catfd_1_VEHB_1</vt:lpstr>
      <vt:lpstr>catfd_1_VEHV_51</vt:lpstr>
      <vt:lpstr>catfd_1_VEZB_1</vt:lpstr>
      <vt:lpstr>catfd_1_VEZV_51</vt:lpstr>
      <vt:lpstr>catfd_1_VLHB_1</vt:lpstr>
      <vt:lpstr>catfd_1_VLHV_51</vt:lpstr>
      <vt:lpstr>catfd_1_VOHB_1</vt:lpstr>
      <vt:lpstr>catfd_1_VOHV_51</vt:lpstr>
      <vt:lpstr>catfd_1_VTHB_1</vt:lpstr>
      <vt:lpstr>catfd_1_VTHV_51</vt:lpstr>
      <vt:lpstr>catpn_1_BKHB_1</vt:lpstr>
      <vt:lpstr>catpn_1_BKHV_51</vt:lpstr>
      <vt:lpstr>catpn_1_BKZB_1</vt:lpstr>
      <vt:lpstr>catpn_1_BKZV_51</vt:lpstr>
      <vt:lpstr>catpn_1_BRHB_1</vt:lpstr>
      <vt:lpstr>catpn_1_BRHV_51</vt:lpstr>
      <vt:lpstr>catpn_1_BRZB_1</vt:lpstr>
      <vt:lpstr>catpn_1_BRZV_51</vt:lpstr>
      <vt:lpstr>catpn_1_BVHB_1</vt:lpstr>
      <vt:lpstr>catpn_1_BVHB_51</vt:lpstr>
      <vt:lpstr>catpn_1_BVZB_1</vt:lpstr>
      <vt:lpstr>catpn_1_BVZV_51</vt:lpstr>
      <vt:lpstr>catpn_1_LOHB_1</vt:lpstr>
      <vt:lpstr>catpn_1_LOHV_51</vt:lpstr>
      <vt:lpstr>catpn_1_RKHB_1</vt:lpstr>
      <vt:lpstr>catpn_1_RKHV_51</vt:lpstr>
      <vt:lpstr>catpn_1_RPHB_1</vt:lpstr>
      <vt:lpstr>catpn_1_RPHV_51</vt:lpstr>
      <vt:lpstr>catpn_1_RRHB_1</vt:lpstr>
      <vt:lpstr>catpn_1_RRHV_51</vt:lpstr>
      <vt:lpstr>catpn_1_SDHB_1</vt:lpstr>
      <vt:lpstr>catpn_1_SDHV_51</vt:lpstr>
      <vt:lpstr>catpn_1_SKHB_1</vt:lpstr>
      <vt:lpstr>catpn_1_SKHV_51</vt:lpstr>
      <vt:lpstr>catpn_1_STHB_1</vt:lpstr>
      <vt:lpstr>catpn_1_STHV_51</vt:lpstr>
      <vt:lpstr>catpn_1_VAHB_1</vt:lpstr>
      <vt:lpstr>catpn_1_VAHV_51</vt:lpstr>
      <vt:lpstr>catpn_1_VAZB_1</vt:lpstr>
      <vt:lpstr>catpn_1_VAZV_51</vt:lpstr>
      <vt:lpstr>catpn_1_VEHB_1</vt:lpstr>
      <vt:lpstr>catpn_1_VEHV_51</vt:lpstr>
      <vt:lpstr>catpn_1_VEZB_1</vt:lpstr>
      <vt:lpstr>catpn_1_VEZV_51</vt:lpstr>
      <vt:lpstr>catpn_1_VLHB_1</vt:lpstr>
      <vt:lpstr>catpn_1_VLHV_51</vt:lpstr>
      <vt:lpstr>catpn_1_VOHB_1</vt:lpstr>
      <vt:lpstr>catpn_1_VOHV_51</vt:lpstr>
      <vt:lpstr>catpn_1_VTHB_1</vt:lpstr>
      <vt:lpstr>catpn_1_VTHV_51</vt:lpstr>
      <vt:lpstr>cattf_1_BKHB_1</vt:lpstr>
      <vt:lpstr>cattf_1_BKHV_51</vt:lpstr>
      <vt:lpstr>cattf_1_BKZB_1</vt:lpstr>
      <vt:lpstr>cattf_1_BKZV_51</vt:lpstr>
      <vt:lpstr>cattf_1_BRHB_1</vt:lpstr>
      <vt:lpstr>cattf_1_BRHV_51</vt:lpstr>
      <vt:lpstr>cattf_1_BRZB_1</vt:lpstr>
      <vt:lpstr>cattf_1_BRZV_51</vt:lpstr>
      <vt:lpstr>cattf_1_BVHB_1</vt:lpstr>
      <vt:lpstr>cattf_1_BVHB_51</vt:lpstr>
      <vt:lpstr>cattf_1_BVZB_1</vt:lpstr>
      <vt:lpstr>cattf_1_BVZV_51</vt:lpstr>
      <vt:lpstr>cattf_1_LOHB_1</vt:lpstr>
      <vt:lpstr>cattf_1_LOHV_51</vt:lpstr>
      <vt:lpstr>cattf_1_RKHB_1</vt:lpstr>
      <vt:lpstr>cattf_1_RKHV_51</vt:lpstr>
      <vt:lpstr>cattf_1_RPHB_1</vt:lpstr>
      <vt:lpstr>cattf_1_RPHV_51</vt:lpstr>
      <vt:lpstr>cattf_1_RRHB_1</vt:lpstr>
      <vt:lpstr>cattf_1_RRHV_51</vt:lpstr>
      <vt:lpstr>cattf_1_SDHB_1</vt:lpstr>
      <vt:lpstr>cattf_1_SDHV_51</vt:lpstr>
      <vt:lpstr>cattf_1_SKHB_1</vt:lpstr>
      <vt:lpstr>cattf_1_SKHV_51</vt:lpstr>
      <vt:lpstr>cattf_1_STHB_1</vt:lpstr>
      <vt:lpstr>cattf_1_STHV_51</vt:lpstr>
      <vt:lpstr>cattf_1_VAHB_1</vt:lpstr>
      <vt:lpstr>cattf_1_VAHV_51</vt:lpstr>
      <vt:lpstr>cattf_1_VAZB_1</vt:lpstr>
      <vt:lpstr>cattf_1_VAZV_51</vt:lpstr>
      <vt:lpstr>cattf_1_VEHB_1</vt:lpstr>
      <vt:lpstr>cattf_1_VEHV_51</vt:lpstr>
      <vt:lpstr>cattf_1_VEZB_1</vt:lpstr>
      <vt:lpstr>cattf_1_VEZV_51</vt:lpstr>
      <vt:lpstr>cattf_1_VLHB_1</vt:lpstr>
      <vt:lpstr>cattf_1_VLHV_51</vt:lpstr>
      <vt:lpstr>cattf_1_VOHB_1</vt:lpstr>
      <vt:lpstr>cattf_1_VOHV_51</vt:lpstr>
      <vt:lpstr>cattf_1_VTHB_1</vt:lpstr>
      <vt:lpstr>cattf_1_VTHV_51</vt:lpstr>
      <vt:lpstr>dagenperjaar1</vt:lpstr>
      <vt:lpstr>dagenperweek1</vt:lpstr>
      <vt:lpstr>dagsoorttabel1</vt:lpstr>
      <vt:lpstr>dagwerk11</vt:lpstr>
      <vt:lpstr>dagwerk12</vt:lpstr>
      <vt:lpstr>dagwerk13</vt:lpstr>
      <vt:lpstr>dagwerk14</vt:lpstr>
      <vt:lpstr>dagwerk15</vt:lpstr>
      <vt:lpstr>dagwerk16</vt:lpstr>
      <vt:lpstr>dagwerk17</vt:lpstr>
      <vt:lpstr>dagwerk18</vt:lpstr>
      <vt:lpstr>dagwerk19</vt:lpstr>
      <vt:lpstr>dagwerk20</vt:lpstr>
      <vt:lpstr>dagwerk21</vt:lpstr>
      <vt:lpstr>dagwerk22</vt:lpstr>
      <vt:lpstr>dagwerk23</vt:lpstr>
      <vt:lpstr>dagwerk24</vt:lpstr>
      <vt:lpstr>dagwerk25</vt:lpstr>
      <vt:lpstr>dagwerk26</vt:lpstr>
      <vt:lpstr>dagwerk27</vt:lpstr>
      <vt:lpstr>dagwerk28</vt:lpstr>
      <vt:lpstr>dagwerk29</vt:lpstr>
      <vt:lpstr>dagwerk30</vt:lpstr>
      <vt:lpstr>dagwerk31</vt:lpstr>
      <vt:lpstr>dagwerktabel1</vt:lpstr>
      <vt:lpstr>gemuurtarief1</vt:lpstr>
      <vt:lpstr>kengetaltabel1</vt:lpstr>
      <vt:lpstr>object1_gemuurtarief1</vt:lpstr>
      <vt:lpstr>object1_opptabel1</vt:lpstr>
      <vt:lpstr>object1_prijsdag1</vt:lpstr>
      <vt:lpstr>object1_prijsjaar1</vt:lpstr>
      <vt:lpstr>object1_urendag1</vt:lpstr>
      <vt:lpstr>object1_urendaghf1</vt:lpstr>
      <vt:lpstr>object1_urenjaar1</vt:lpstr>
      <vt:lpstr>object2_gemuurtarief1</vt:lpstr>
      <vt:lpstr>object2_opptabel1</vt:lpstr>
      <vt:lpstr>object2_prijsdag1</vt:lpstr>
      <vt:lpstr>object2_prijsjaar1</vt:lpstr>
      <vt:lpstr>object2_urendag1</vt:lpstr>
      <vt:lpstr>object2_urendaghf1</vt:lpstr>
      <vt:lpstr>object2_urenjaar1</vt:lpstr>
      <vt:lpstr>object3_gemuurtarief1</vt:lpstr>
      <vt:lpstr>object3_opptabel1</vt:lpstr>
      <vt:lpstr>object3_prijsdag1</vt:lpstr>
      <vt:lpstr>object3_prijsjaar1</vt:lpstr>
      <vt:lpstr>object3_urendag1</vt:lpstr>
      <vt:lpstr>object3_urendaghf1</vt:lpstr>
      <vt:lpstr>object3_urenjaar1</vt:lpstr>
      <vt:lpstr>objectprijs1_1</vt:lpstr>
      <vt:lpstr>objectprijs2_1</vt:lpstr>
      <vt:lpstr>objectprijs3_1</vt:lpstr>
      <vt:lpstr>objecturen1_1</vt:lpstr>
      <vt:lpstr>objecturen2_1</vt:lpstr>
      <vt:lpstr>objecturen3_1</vt:lpstr>
      <vt:lpstr>objecturenhf1_1</vt:lpstr>
      <vt:lpstr>objecturenhf2_1</vt:lpstr>
      <vt:lpstr>objecturenhf3_1</vt:lpstr>
      <vt:lpstr>prijsdag1</vt:lpstr>
      <vt:lpstr>prijsjaar</vt:lpstr>
      <vt:lpstr>prijsjaar1</vt:lpstr>
      <vt:lpstr>prijsjaaradditioneel</vt:lpstr>
      <vt:lpstr>prijsjaaradditioneel1</vt:lpstr>
      <vt:lpstr>prijsjaarglas</vt:lpstr>
      <vt:lpstr>prijsjaarglas1</vt:lpstr>
      <vt:lpstr>prijsjaarregie</vt:lpstr>
      <vt:lpstr>prijsjaarregie1</vt:lpstr>
      <vt:lpstr>prijsjaartotaal</vt:lpstr>
      <vt:lpstr>prijsjaartotaal1</vt:lpstr>
      <vt:lpstr>prijsjaartotaaloverzicht</vt:lpstr>
      <vt:lpstr>prijsmaandtotaal1</vt:lpstr>
      <vt:lpstr>prodnorm0</vt:lpstr>
      <vt:lpstr>prodnorm1</vt:lpstr>
      <vt:lpstr>prodnorm10</vt:lpstr>
      <vt:lpstr>prodnorm11</vt:lpstr>
      <vt:lpstr>prodnorm12</vt:lpstr>
      <vt:lpstr>prodnorm13</vt:lpstr>
      <vt:lpstr>prodnorm14</vt:lpstr>
      <vt:lpstr>prodnorm15</vt:lpstr>
      <vt:lpstr>prodnorm16</vt:lpstr>
      <vt:lpstr>prodnorm17</vt:lpstr>
      <vt:lpstr>prodnorm18</vt:lpstr>
      <vt:lpstr>prodnorm19</vt:lpstr>
      <vt:lpstr>prodnorm2</vt:lpstr>
      <vt:lpstr>prodnorm20</vt:lpstr>
      <vt:lpstr>prodnorm21</vt:lpstr>
      <vt:lpstr>prodnorm22</vt:lpstr>
      <vt:lpstr>prodnorm23</vt:lpstr>
      <vt:lpstr>prodnorm24</vt:lpstr>
      <vt:lpstr>prodnorm25</vt:lpstr>
      <vt:lpstr>prodnorm26</vt:lpstr>
      <vt:lpstr>prodnorm27</vt:lpstr>
      <vt:lpstr>prodnorm28</vt:lpstr>
      <vt:lpstr>prodnorm29</vt:lpstr>
      <vt:lpstr>prodnorm3</vt:lpstr>
      <vt:lpstr>prodnorm30</vt:lpstr>
      <vt:lpstr>prodnorm31</vt:lpstr>
      <vt:lpstr>prodnorm5</vt:lpstr>
      <vt:lpstr>prodnorm7</vt:lpstr>
      <vt:lpstr>prodnorm8</vt:lpstr>
      <vt:lpstr>prodnorm9</vt:lpstr>
      <vt:lpstr>taakfreqtabel1</vt:lpstr>
      <vt:lpstr>tabeltype</vt:lpstr>
      <vt:lpstr>Tariefopbouw1</vt:lpstr>
      <vt:lpstr>Tariefopbouw2</vt:lpstr>
      <vt:lpstr>Tariefopbouw3</vt:lpstr>
      <vt:lpstr>Tariefopbouw4</vt:lpstr>
      <vt:lpstr>Tariefopbouw5</vt:lpstr>
      <vt:lpstr>Tariefopbouw6</vt:lpstr>
      <vt:lpstr>Tariefopbouw7</vt:lpstr>
      <vt:lpstr>TariefOpbouwBasisloon1</vt:lpstr>
      <vt:lpstr>TariefOpbouwBasisloon2</vt:lpstr>
      <vt:lpstr>TariefOpbouwBasisloon3</vt:lpstr>
      <vt:lpstr>TariefOpbouwBasisloon4</vt:lpstr>
      <vt:lpstr>TariefOpbouwBasisloon5</vt:lpstr>
      <vt:lpstr>TariefOpbouwBasisloon6</vt:lpstr>
      <vt:lpstr>TariefOpbouwBasisloon7</vt:lpstr>
      <vt:lpstr>TariefOpbouwBasisloon8</vt:lpstr>
      <vt:lpstr>TariefOpbouwDirecteKosten1</vt:lpstr>
      <vt:lpstr>TariefOpbouwDirecteKosten2</vt:lpstr>
      <vt:lpstr>TariefOpbouwDirecteKosten3</vt:lpstr>
      <vt:lpstr>TariefOpbouwDirecteKosten4</vt:lpstr>
      <vt:lpstr>TariefOpbouwDirecteKosten5</vt:lpstr>
      <vt:lpstr>TariefOpbouwDirecteKosten6</vt:lpstr>
      <vt:lpstr>TariefOpbouwDirecteKosten7</vt:lpstr>
      <vt:lpstr>TariefOpbouwDirecteKosten8</vt:lpstr>
      <vt:lpstr>TariefOpbouwErvaring1</vt:lpstr>
      <vt:lpstr>TariefOpbouwErvaring2</vt:lpstr>
      <vt:lpstr>TariefOpbouwErvaring3</vt:lpstr>
      <vt:lpstr>TariefOpbouwErvaring4</vt:lpstr>
      <vt:lpstr>TariefOpbouwErvaring5</vt:lpstr>
      <vt:lpstr>TariefOpbouwErvaring6</vt:lpstr>
      <vt:lpstr>TariefOpbouwErvaring7</vt:lpstr>
      <vt:lpstr>TariefOpbouwErvaring8</vt:lpstr>
      <vt:lpstr>TariefOpbouwIndirecteKosten1</vt:lpstr>
      <vt:lpstr>TariefOpbouwIndirecteKosten2</vt:lpstr>
      <vt:lpstr>TariefOpbouwIndirecteKosten3</vt:lpstr>
      <vt:lpstr>TariefOpbouwIndirecteKosten4</vt:lpstr>
      <vt:lpstr>TariefOpbouwIndirecteKosten5</vt:lpstr>
      <vt:lpstr>TariefOpbouwIndirecteKosten6</vt:lpstr>
      <vt:lpstr>TariefOpbouwIndirecteKosten7</vt:lpstr>
      <vt:lpstr>TariefOpbouwIndirecteKosten8</vt:lpstr>
      <vt:lpstr>TariefOpbouwNaam1</vt:lpstr>
      <vt:lpstr>TariefOpbouwNaam2</vt:lpstr>
      <vt:lpstr>TariefOpbouwNaam3</vt:lpstr>
      <vt:lpstr>TariefOpbouwNaam4</vt:lpstr>
      <vt:lpstr>TariefOpbouwNaam5</vt:lpstr>
      <vt:lpstr>TariefOpbouwNaam6</vt:lpstr>
      <vt:lpstr>TariefOpbouwNaam7</vt:lpstr>
      <vt:lpstr>TariefOpbouwNaam8</vt:lpstr>
      <vt:lpstr>TariefOpbouwRisicoWinst1</vt:lpstr>
      <vt:lpstr>TariefOpbouwRisicoWinst2</vt:lpstr>
      <vt:lpstr>TariefOpbouwRisicoWinst3</vt:lpstr>
      <vt:lpstr>TariefOpbouwRisicoWinst4</vt:lpstr>
      <vt:lpstr>TariefOpbouwRisicoWinst5</vt:lpstr>
      <vt:lpstr>TariefOpbouwRisicoWinst6</vt:lpstr>
      <vt:lpstr>TariefOpbouwRisicoWinst7</vt:lpstr>
      <vt:lpstr>TariefOpbouwRisicoWinst8</vt:lpstr>
      <vt:lpstr>TariefOpbouwRisicoWinstPercentage1</vt:lpstr>
      <vt:lpstr>TariefOpbouwRisicoWinstPercentage2</vt:lpstr>
      <vt:lpstr>TariefOpbouwRisicoWinstPercentage3</vt:lpstr>
      <vt:lpstr>TariefOpbouwRisicoWinstPercentage4</vt:lpstr>
      <vt:lpstr>TariefOpbouwRisicoWinstPercentage5</vt:lpstr>
      <vt:lpstr>TariefOpbouwRisicoWinstPercentage6</vt:lpstr>
      <vt:lpstr>TariefOpbouwRisicoWinstPercentage7</vt:lpstr>
      <vt:lpstr>TariefOpbouwRisicoWinstPercentage8</vt:lpstr>
      <vt:lpstr>TariefOpbouwTarief1</vt:lpstr>
      <vt:lpstr>TariefOpbouwTarief1DN</vt:lpstr>
      <vt:lpstr>TariefOpbouwTarief1W</vt:lpstr>
      <vt:lpstr>TariefOpbouwTarief1X</vt:lpstr>
      <vt:lpstr>TariefOpbouwTarief2</vt:lpstr>
      <vt:lpstr>TariefOpbouwTarief2DN</vt:lpstr>
      <vt:lpstr>TariefOpbouwTarief2W</vt:lpstr>
      <vt:lpstr>TariefOpbouwTarief2X</vt:lpstr>
      <vt:lpstr>TariefOpbouwTarief3</vt:lpstr>
      <vt:lpstr>TariefOpbouwTarief3DN</vt:lpstr>
      <vt:lpstr>TariefOpbouwTarief3W</vt:lpstr>
      <vt:lpstr>TariefOpbouwTarief3X</vt:lpstr>
      <vt:lpstr>TariefOpbouwTarief4</vt:lpstr>
      <vt:lpstr>TariefOpbouwTarief4DN</vt:lpstr>
      <vt:lpstr>TariefOpbouwTarief4W</vt:lpstr>
      <vt:lpstr>TariefOpbouwTarief4X</vt:lpstr>
      <vt:lpstr>TariefOpbouwTarief5</vt:lpstr>
      <vt:lpstr>TariefOpbouwTarief5DN</vt:lpstr>
      <vt:lpstr>TariefOpbouwTarief5W</vt:lpstr>
      <vt:lpstr>TariefOpbouwTarief5X</vt:lpstr>
      <vt:lpstr>TariefOpbouwTarief6</vt:lpstr>
      <vt:lpstr>TariefOpbouwTarief6DN</vt:lpstr>
      <vt:lpstr>TariefOpbouwTarief6W</vt:lpstr>
      <vt:lpstr>TariefOpbouwTarief6X</vt:lpstr>
      <vt:lpstr>TariefOpbouwTarief7</vt:lpstr>
      <vt:lpstr>TariefOpbouwTarief7DN</vt:lpstr>
      <vt:lpstr>TariefOpbouwTarief7W</vt:lpstr>
      <vt:lpstr>TariefOpbouwTarief7X</vt:lpstr>
      <vt:lpstr>TariefOpbouwTarief8</vt:lpstr>
      <vt:lpstr>TariefOpbouwTarief8DN</vt:lpstr>
      <vt:lpstr>TariefOpbouwTarief8W</vt:lpstr>
      <vt:lpstr>TariefOpbouwTarief8X</vt:lpstr>
      <vt:lpstr>TariefOpbouwTotaalLoonkosten1</vt:lpstr>
      <vt:lpstr>TariefOpbouwTotaalLoonkosten2</vt:lpstr>
      <vt:lpstr>TariefOpbouwTotaalLoonkosten3</vt:lpstr>
      <vt:lpstr>TariefOpbouwTotaalLoonkosten4</vt:lpstr>
      <vt:lpstr>TariefOpbouwTotaalLoonkosten5</vt:lpstr>
      <vt:lpstr>TariefOpbouwTotaalLoonkosten6</vt:lpstr>
      <vt:lpstr>TariefOpbouwTotaalLoonkosten7</vt:lpstr>
      <vt:lpstr>TariefOpbouwTotaalLoonkosten8</vt:lpstr>
      <vt:lpstr>TariefOpbouwUurloon1</vt:lpstr>
      <vt:lpstr>TariefOpbouwUurloon2</vt:lpstr>
      <vt:lpstr>TariefOpbouwUurloon3</vt:lpstr>
      <vt:lpstr>TariefOpbouwUurloon4</vt:lpstr>
      <vt:lpstr>TariefOpbouwUurloon5</vt:lpstr>
      <vt:lpstr>TariefOpbouwUurloon6</vt:lpstr>
      <vt:lpstr>TariefOpbouwUurloon7</vt:lpstr>
      <vt:lpstr>TariefOpbouwUurloon8</vt:lpstr>
      <vt:lpstr>TariefOpbouwUurloonkosten1</vt:lpstr>
      <vt:lpstr>TariefOpbouwUurloonkosten2</vt:lpstr>
      <vt:lpstr>TariefOpbouwUurloonkosten3</vt:lpstr>
      <vt:lpstr>TariefOpbouwUurloonkosten4</vt:lpstr>
      <vt:lpstr>TariefOpbouwUurloonkosten5</vt:lpstr>
      <vt:lpstr>TariefOpbouwUurloonkosten6</vt:lpstr>
      <vt:lpstr>TariefOpbouwUurloonkosten7</vt:lpstr>
      <vt:lpstr>TariefOpbouwUurloonkosten8</vt:lpstr>
      <vt:lpstr>tarieftabel1</vt:lpstr>
      <vt:lpstr>TariefUitvoering1</vt:lpstr>
      <vt:lpstr>TariefUitvoering2</vt:lpstr>
      <vt:lpstr>TariefUitvoering3</vt:lpstr>
      <vt:lpstr>TariefUitvoering4</vt:lpstr>
      <vt:lpstr>TariefUitvoering5</vt:lpstr>
      <vt:lpstr>TariefUitvoering6</vt:lpstr>
      <vt:lpstr>TariefUitvoering7</vt:lpstr>
      <vt:lpstr>urendag1</vt:lpstr>
      <vt:lpstr>urenjaar</vt:lpstr>
      <vt:lpstr>urenjaar1</vt:lpstr>
      <vt:lpstr>urenjaartotaal</vt:lpstr>
      <vt:lpstr>urenjaartotaal1</vt:lpstr>
      <vt:lpstr>urenjaartotaalhf</vt:lpstr>
      <vt:lpstr>urenjaartotaalhf1</vt:lpstr>
      <vt:lpstr>urenjaartotaaloverzicht</vt:lpstr>
      <vt:lpstr>urenjaartotaaloverzichthf</vt:lpstr>
      <vt:lpstr>uurfactortabel1</vt:lpstr>
      <vt:lpstr>uurtarief0</vt:lpstr>
      <vt:lpstr>uurtarief1</vt:lpstr>
      <vt:lpstr>uurtarief10</vt:lpstr>
      <vt:lpstr>uurtarief11</vt:lpstr>
      <vt:lpstr>uurtarief12</vt:lpstr>
      <vt:lpstr>uurtarief13</vt:lpstr>
      <vt:lpstr>uurtarief14</vt:lpstr>
      <vt:lpstr>uurtarief15</vt:lpstr>
      <vt:lpstr>uurtarief16</vt:lpstr>
      <vt:lpstr>uurtarief17</vt:lpstr>
      <vt:lpstr>uurtarief18</vt:lpstr>
      <vt:lpstr>uurtarief19</vt:lpstr>
      <vt:lpstr>uurtarief2</vt:lpstr>
      <vt:lpstr>uurtarief20</vt:lpstr>
      <vt:lpstr>uurtarief21</vt:lpstr>
      <vt:lpstr>uurtarief22</vt:lpstr>
      <vt:lpstr>uurtarief23</vt:lpstr>
      <vt:lpstr>uurtarief24</vt:lpstr>
      <vt:lpstr>uurtarief25</vt:lpstr>
      <vt:lpstr>uurtarief26</vt:lpstr>
      <vt:lpstr>uurtarief27</vt:lpstr>
      <vt:lpstr>uurtarief28</vt:lpstr>
      <vt:lpstr>uurtarief29</vt:lpstr>
      <vt:lpstr>uurtarief3</vt:lpstr>
      <vt:lpstr>uurtarief30</vt:lpstr>
      <vt:lpstr>uurtarief31</vt:lpstr>
      <vt:lpstr>uurtarief5</vt:lpstr>
      <vt:lpstr>uurtarief7</vt:lpstr>
      <vt:lpstr>uurtarief8</vt:lpstr>
      <vt:lpstr>uurtarief9</vt:lpstr>
      <vt:lpstr>vu_variant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2026-09-16T06:56:07Z</dcterms:created>
  <dcterms:modified xsi:type="dcterms:W3CDTF">2026-09-16T06:58:41Z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0x01010026595AD6D3C3E041BB31B0797DB6A1B2</vt:lpwstr>
  </property>
</Properties>
</file>