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ef6\Downloads\"/>
    </mc:Choice>
  </mc:AlternateContent>
  <xr:revisionPtr revIDLastSave="0" documentId="13_ncr:1_{89312B28-0275-4C33-8540-CE05DF606EAA}" xr6:coauthVersionLast="47" xr6:coauthVersionMax="47" xr10:uidLastSave="{00000000-0000-0000-0000-000000000000}"/>
  <bookViews>
    <workbookView xWindow="-110" yWindow="-110" windowWidth="38620" windowHeight="21100" xr2:uid="{00000000-000D-0000-FFFF-FFFF00000000}"/>
  </bookViews>
  <sheets>
    <sheet name="Inschrijver" sheetId="8" r:id="rId1"/>
    <sheet name="Toelichting" sheetId="1" r:id="rId2"/>
    <sheet name="Prijsinvulblad"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7" l="1"/>
  <c r="G29" i="7"/>
  <c r="G31" i="7"/>
  <c r="G30" i="7"/>
  <c r="I96" i="7" a="1"/>
  <c r="I96" i="7" s="1"/>
  <c r="B14" i="8" s="1"/>
  <c r="I95" i="7"/>
  <c r="H79" i="7"/>
  <c r="H80" i="7"/>
  <c r="H81" i="7"/>
  <c r="H82" i="7"/>
  <c r="H83" i="7"/>
  <c r="H78" i="7"/>
  <c r="H77" i="7"/>
  <c r="H69" i="7"/>
  <c r="H70" i="7"/>
  <c r="H64" i="7"/>
  <c r="H65" i="7"/>
  <c r="H66" i="7"/>
  <c r="H67" i="7"/>
  <c r="H68" i="7"/>
  <c r="H63" i="7"/>
  <c r="H50" i="7"/>
  <c r="H51" i="7"/>
  <c r="H52" i="7"/>
  <c r="H53" i="7"/>
  <c r="H54" i="7"/>
  <c r="H55" i="7"/>
  <c r="H49" i="7"/>
  <c r="H48" i="7"/>
  <c r="B16" i="8"/>
  <c r="B13" i="8"/>
  <c r="A1" i="7"/>
  <c r="A1" i="1"/>
  <c r="B10" i="8" l="1"/>
  <c r="B12" i="8" l="1"/>
  <c r="B11" i="8"/>
  <c r="B107" i="7"/>
  <c r="D83" i="7"/>
  <c r="F80" i="7"/>
  <c r="D77" i="7"/>
  <c r="F77" i="7" s="1"/>
  <c r="D70" i="7"/>
  <c r="F70" i="7" s="1"/>
  <c r="B70" i="7"/>
  <c r="A70" i="7"/>
  <c r="D69" i="7"/>
  <c r="F69" i="7" s="1"/>
  <c r="B69" i="7"/>
  <c r="A69" i="7"/>
  <c r="D68" i="7"/>
  <c r="F68" i="7" s="1"/>
  <c r="B68" i="7"/>
  <c r="A68" i="7"/>
  <c r="D67" i="7"/>
  <c r="F67" i="7" s="1"/>
  <c r="B67" i="7"/>
  <c r="A67" i="7"/>
  <c r="D66" i="7"/>
  <c r="F66" i="7" s="1"/>
  <c r="B66" i="7"/>
  <c r="A66" i="7"/>
  <c r="D65" i="7"/>
  <c r="F65" i="7" s="1"/>
  <c r="B65" i="7"/>
  <c r="A65" i="7"/>
  <c r="D64" i="7"/>
  <c r="F64" i="7" s="1"/>
  <c r="B64" i="7"/>
  <c r="A64" i="7"/>
  <c r="D63" i="7"/>
  <c r="F63" i="7" s="1"/>
  <c r="B63" i="7"/>
  <c r="A63" i="7"/>
  <c r="A55" i="7"/>
  <c r="A54" i="7"/>
  <c r="A53" i="7"/>
  <c r="A52" i="7"/>
  <c r="A51" i="7"/>
  <c r="A50" i="7"/>
  <c r="A49" i="7"/>
  <c r="A48" i="7"/>
  <c r="C20" i="7"/>
  <c r="B15" i="7"/>
  <c r="C14" i="7"/>
  <c r="C55" i="7" s="1"/>
  <c r="C13" i="7"/>
  <c r="C54" i="7" s="1"/>
  <c r="C12" i="7"/>
  <c r="C53" i="7" s="1"/>
  <c r="G53" i="7" s="1"/>
  <c r="C11" i="7"/>
  <c r="C52" i="7" s="1"/>
  <c r="C10" i="7"/>
  <c r="C51" i="7" s="1"/>
  <c r="C9" i="7"/>
  <c r="C8" i="7"/>
  <c r="C49" i="7" s="1"/>
  <c r="C7" i="7"/>
  <c r="D82" i="7" s="1"/>
  <c r="D81" i="7" l="1"/>
  <c r="F81" i="7" s="1"/>
  <c r="E7" i="7"/>
  <c r="D78" i="7"/>
  <c r="F78" i="7" s="1"/>
  <c r="C48" i="7"/>
  <c r="F48" i="7" s="1"/>
  <c r="D12" i="7"/>
  <c r="D8" i="7"/>
  <c r="E8" i="7"/>
  <c r="C64" i="7" s="1"/>
  <c r="D79" i="7"/>
  <c r="F79" i="7" s="1"/>
  <c r="C15" i="7"/>
  <c r="E12" i="7"/>
  <c r="C68" i="7" s="1"/>
  <c r="G68" i="7" s="1"/>
  <c r="C50" i="7"/>
  <c r="E13" i="7"/>
  <c r="C69" i="7" s="1"/>
  <c r="D13" i="7"/>
  <c r="D9" i="7"/>
  <c r="F53" i="7"/>
  <c r="E9" i="7"/>
  <c r="C65" i="7" s="1"/>
  <c r="D14" i="7"/>
  <c r="E14" i="7"/>
  <c r="C70" i="7" s="1"/>
  <c r="D10" i="7"/>
  <c r="E10" i="7"/>
  <c r="C66" i="7" s="1"/>
  <c r="D11" i="7"/>
  <c r="E11" i="7"/>
  <c r="C67" i="7" s="1"/>
  <c r="D7" i="7"/>
  <c r="F82" i="7"/>
  <c r="F84" i="7" l="1"/>
  <c r="F12" i="7"/>
  <c r="F8" i="7"/>
  <c r="G69" i="7"/>
  <c r="G67" i="7"/>
  <c r="G64" i="7"/>
  <c r="G66" i="7"/>
  <c r="F10" i="7"/>
  <c r="G70" i="7"/>
  <c r="G65" i="7"/>
  <c r="E15" i="7"/>
  <c r="C63" i="7"/>
  <c r="G63" i="7" s="1"/>
  <c r="F14" i="7"/>
  <c r="F50" i="7"/>
  <c r="G50" i="7"/>
  <c r="F7" i="7"/>
  <c r="D15" i="7"/>
  <c r="G49" i="7"/>
  <c r="F49" i="7"/>
  <c r="G52" i="7"/>
  <c r="F52" i="7"/>
  <c r="G51" i="7"/>
  <c r="F51" i="7"/>
  <c r="G54" i="7"/>
  <c r="F54" i="7"/>
  <c r="F13" i="7"/>
  <c r="G55" i="7"/>
  <c r="F55" i="7"/>
  <c r="F9" i="7"/>
  <c r="F11" i="7"/>
  <c r="G81" i="7" l="1"/>
  <c r="G82" i="7"/>
  <c r="G71" i="7"/>
  <c r="C104" i="7" s="1"/>
  <c r="F15" i="7"/>
  <c r="G77" i="7"/>
  <c r="G78" i="7"/>
  <c r="G83" i="7"/>
  <c r="G80" i="7"/>
  <c r="G79" i="7"/>
  <c r="G48" i="7"/>
  <c r="G57" i="7" s="1"/>
  <c r="G84" i="7" l="1"/>
  <c r="F85" i="7"/>
  <c r="F86" i="7" s="1"/>
  <c r="C103" i="7" s="1"/>
  <c r="F56" i="7"/>
  <c r="C102" i="7" s="1"/>
  <c r="F57" i="7"/>
  <c r="D103" i="7" l="1"/>
  <c r="E103" i="7" s="1"/>
  <c r="D95" i="7"/>
  <c r="D94" i="7"/>
  <c r="D92" i="7"/>
  <c r="I91" i="7" a="1"/>
  <c r="I91" i="7" s="1"/>
  <c r="D93" i="7"/>
  <c r="D96" i="7"/>
  <c r="G56" i="7"/>
  <c r="I92" i="7" l="1"/>
  <c r="I94" i="7" s="1"/>
  <c r="I93" i="7" l="1"/>
  <c r="C94" i="7"/>
  <c r="E94" i="7" s="1"/>
  <c r="C93" i="7"/>
  <c r="E93" i="7" s="1"/>
  <c r="C92" i="7"/>
  <c r="E92" i="7" s="1"/>
  <c r="C95" i="7"/>
  <c r="E95" i="7" s="1"/>
  <c r="C96" i="7"/>
  <c r="E96" i="7" s="1"/>
  <c r="C105" i="7" l="1"/>
  <c r="C106" i="7" s="1"/>
  <c r="D105" i="7" l="1"/>
  <c r="D104" i="7" l="1"/>
  <c r="D102" i="7"/>
  <c r="C107" i="7" l="1"/>
  <c r="E107" i="7" l="1"/>
  <c r="B15" i="8" s="1"/>
  <c r="B8"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<sst xmlns="http://schemas.openxmlformats.org/spreadsheetml/2006/main" count="238" uniqueCount="217">
  <si>
    <t>Prijsinvulblad | Werkplekapparatuur &amp; Aanvullende Dienstverlening | Coöperatie KIEN</t>
  </si>
  <si>
    <t>Naam aanbesteding</t>
  </si>
  <si>
    <t>Werkplekapparatuur &amp; Aanvullende Dienstverlening</t>
  </si>
  <si>
    <t>Naam Inschrijvende Entiteit</t>
  </si>
  <si>
    <t>[NAAM INSCHRIJVENDE PARTIJ]</t>
  </si>
  <si>
    <t>Naam contactpersoon Inschrijver</t>
  </si>
  <si>
    <t>[NAAM CONTACTPERSOON INSCHRIJVER</t>
  </si>
  <si>
    <t>Datum</t>
  </si>
  <si>
    <t>[DATUM]</t>
  </si>
  <si>
    <t>STATUS INSCHRIJVING | Als minstens één geldigheidscontrole op "ONGELDIG" uitkomt, resulteert dit in een directe knock-out</t>
  </si>
  <si>
    <t>Geldigheidscontrole | Leverancierscontinuïteitsmarge | Aanbesteding</t>
  </si>
  <si>
    <t>Geldigheidscontrole | Bulkkorting | Aanbesteding</t>
  </si>
  <si>
    <t>Geldigheidscontrole | Dienstverleningskosten | Aanbesteding</t>
  </si>
  <si>
    <t>Geldigheidscontrole | Coöperatieve Volumebonus | Oplopende Bonuspercentages | Aanbesteding</t>
  </si>
  <si>
    <t>Geldigheidscontrole | Coöperatieve Volumebonus | Geen negatieve percentages | Aanbesteding</t>
  </si>
  <si>
    <t>Geldigheidscontrole | Dienstverlenings-cap | Geen 0 of negatief percentage (proportionaliteit) | Aanbesteding</t>
  </si>
  <si>
    <t>Geldigheidscontrole | Dienstverlenings-cap | Overschrijden Dienstverlenings-cap | Aanbesteding</t>
  </si>
  <si>
    <t>Onderdeel</t>
  </si>
  <si>
    <t>Toelichting</t>
  </si>
  <si>
    <r>
      <t xml:space="preserve">Prijsinvulblad </t>
    </r>
    <r>
      <rPr>
        <b/>
        <i/>
        <sz val="11"/>
        <rFont val="Calibri"/>
        <family val="2"/>
        <scheme val="minor"/>
      </rPr>
      <t>Werkplekapparatuur &amp; Aanvullende Dienstverlening</t>
    </r>
  </si>
  <si>
    <t>Dit Prijsinvulblad maakt onderdeel uit van de aanbestedingsdocumenten voor de aanbesteding Werkplekapparatuur &amp; Aanvullende Dienstverlening van Coöperatie KIEN. Het formulier wordt gebruikt voor de beoordeling van het onderdeel Prijs.</t>
  </si>
  <si>
    <t>Doel van dit document</t>
  </si>
  <si>
    <t>Dit document heeft als doel om de prijsinschrijvingen van Inschrijvers op een gelijke, transparante en controleerbare wijze met elkaar te vergelijken. De opgenomen aantallen, verhoudingen, bulkorders en omzetdrempels zijn indicatief en worden uitsluitend gebruikt voor beoordelingsdoeleinden, tenzij in het Beschrijvend Document uitdrukkelijk anders is bepaald.</t>
  </si>
  <si>
    <t>Status van het Prijsinvulblad</t>
  </si>
  <si>
    <t>Het Prijsinvulblad is een Aanbestedingsdocument. De door de Inschrijver ingevulde prijscomponenten maken na gunning onderdeel uit van de contractuele afspraken, voor zover deze door KIEN zijn aanvaard en niet strijdig zijn met het Beschrijvend Document, de Raamovereenkomst of overige aanbestedingsdocumenten.</t>
  </si>
  <si>
    <t>Beschrijvend Document is leidend</t>
  </si>
  <si>
    <t>Het Beschrijvend Document is leidend voor de uitleg van de Opdracht, scope, Productcatalogus, prijsmechaniek, indexering, contractuele voorwaarden, werkafspraken, uitvoering en wijzigingsruimte. Bij tegenstrijdigheid tussen dit Prijsinvulblad en het Beschrijvend Document prevaleert het Beschrijvend Document, tenzij in de rangorde van documenten uitdrukkelijk anders is bepaald.</t>
  </si>
  <si>
    <t>Opbouw van dit document</t>
  </si>
  <si>
    <t>Het Prijsinvulblad rekent met de volgende onderdelen: productcategorieën, KIEN-referentieprijzen, Leverancierscontinuïteitsmarge, bulkkorting, dienstverleningskosten, dienstverlenings-cap, Coöperatieve Volumebonus en de Gebruikte Prijs voor Prijsinschrijving.</t>
  </si>
  <si>
    <t>Invulinstructie</t>
  </si>
  <si>
    <r>
      <t xml:space="preserve">De Inschrijver vult uitsluitend de daarvoor bestemde </t>
    </r>
    <r>
      <rPr>
        <u/>
        <sz val="11"/>
        <color theme="1"/>
        <rFont val="Calibri (Corps)"/>
      </rPr>
      <t>gele</t>
    </r>
    <r>
      <rPr>
        <sz val="11"/>
        <color theme="1"/>
        <rFont val="Calibri (Corps)"/>
      </rPr>
      <t xml:space="preserve"> </t>
    </r>
    <r>
      <rPr>
        <sz val="11"/>
        <color theme="1"/>
        <rFont val="Calibri"/>
        <family val="2"/>
        <scheme val="minor"/>
      </rPr>
      <t>invulvelden in. Velden met formules, controles of automatisch berekende waarden mogen niet worden gewijzigd. Het wijzigen, verwijderen of overschrijven van formules, beveiligingen, controles of vaste uitgangspunten kan leiden tot ongeldigheid van de inschrijving.</t>
    </r>
  </si>
  <si>
    <t>Eenheden en bedragen</t>
  </si>
  <si>
    <t>Alle bedragen in dit Prijsinvulblad zijn exclusief btw, tenzij uitdrukkelijk anders vermeld. Percentages worden ingevuld als percentage of decimaal conform de opmaak van het betreffende invulveld.</t>
  </si>
  <si>
    <t>Indicatieve aantallen</t>
  </si>
  <si>
    <t>De opgenomen aantallen en verhoudingen zijn indicatief en bedoeld om een representatieve prijsvergelijking mogelijk te maken. Aan deze aantallen kunnen geen rechten worden ontleend. KIEN en haar Leden hebben geen afnameverplichting, minimumafname of omzetgarantie.</t>
  </si>
  <si>
    <t>Bulk-units</t>
  </si>
  <si>
    <t>Bulk-units maken onderdeel uit van het totale indicatieve aantal units. Bulk-units komen dus niet bovenop het totale aantal units. Hiermee wordt dubbeltelling voorkomen.</t>
  </si>
  <si>
    <t>Productcategorieën</t>
  </si>
  <si>
    <t>De productcategorieën sluiten aan op de in het Beschrijvend Document opgenomen Productcatalogus en scope van de Opdracht. De productcategorieën worden gebruikt voor de prijsvergelijking en voor de toepassing van de Leverancierscontinuiteitsmarge en bulkkorting.</t>
  </si>
  <si>
    <t>KIEN-referentieprijzen</t>
  </si>
  <si>
    <t>KIEN werkt met KIEN-referentieprijzen per productcategorie. Deze referentieprijzen worden uitsluitend gebruikt om alle Inschrijvers met dezelfde basisprijzen te laten rekenen. De KIEN-referentieprijzen zijn geen verklaring van de daadwerkelijke inkoopprijzen van de Inschrijver.</t>
  </si>
  <si>
    <t>Leverancierscontinuiteitsmarge</t>
  </si>
  <si>
    <t>De Inschrijver vult per productcategorie een Leverancierscontinuiteitsmarge per unit in. Deze marge is een opslag bovenop de KIEN-referentieprijs en is bedoeld om een realistische en duurzame prijsopbouw mogelijk te maken. De Leverancierscontinuiteitsmarge geldt gedurende de looptijd van de Overeenkomst, inclusief eventuele verlengingen, tenzij het Beschrijvend Document uitdrukkelijk anders bepaalt.</t>
  </si>
  <si>
    <t>Geen negatieve marge</t>
  </si>
  <si>
    <t>De Leverancierscontinuiteitsmarge mag niet negatief zijn en mag niet nihil zijn indien het Prijsinvulblad een minimumwaarde voorschrijft. Indien een controlemelding aangeeft dat de marge niet voldoet, kan dit leiden tot ongeldigheid van de prijsinschrijving.</t>
  </si>
  <si>
    <t>Bulkkorting</t>
  </si>
  <si>
    <t>De Inschrijver kan per productcategorie een bulkkorting invullen. De bulkkorting geldt uitsluitend indien de in het Prijsinvulblad opgenomen bulkorderdrempel wordt bereikt of overschreden, en wordt toegepast conform de werkwijze uit het Beschrijvend Document.</t>
  </si>
  <si>
    <t>Bulkorderdrempel</t>
  </si>
  <si>
    <t>De bulkorderdrempel bedraagt het aantal units zoals opgenomen in het Prijsinvulblad. Indien meerdere productcategorieën in één bestelling worden gecombineerd, geldt de bulkkorting uitsluitend voor de categorieën waarvoor de bulkorderdrempel wordt bereikt, tenzij het Beschrijvend Document voor specifieke categorieën een geaggregeerde toepassing toestaat.</t>
  </si>
  <si>
    <t>Dienstverleningskosten</t>
  </si>
  <si>
    <t>De Inschrijver vult de gevraagde dienstverleningskosten in voor de in dit Prijsinvulblad opgenomen dienstverleningscategorieën. Deze kosten hebben betrekking op de aanvullende dienstverlening zoals beschreven in het Beschrijvend Document, waaronder onder meer basisdienstverlening per device, aanvullende dienstverlening, reparatie-strippenkaarten, end-of-life ophaal- en wipe-service, bulkverpakking en voorraadbeheer voor de ijzeren voorraad.</t>
  </si>
  <si>
    <t>Geen negatieve dienstverleningskosten</t>
  </si>
  <si>
    <t>Dienstverleningskosten mogen niet negatief zijn. Negatieve bedragen, negatieve percentages of constructies die ertoe leiden dat een dienstverleningscomponent nihil of negatief wordt terwijl het formulier dit uitsluit, zijn niet toegestaan.</t>
  </si>
  <si>
    <t>Dienstverlenings-cap</t>
  </si>
  <si>
    <t>Voor de prijsinschrijving geldt een dienstverlenings-cap zoals opgenomen in het Prijsinvulblad en gemotiveerd in het Beschrijvend Document. De cap ziet op de dienstverleningskosten inclusief Leverancierscontinuiteitsmarge, voor zover het Prijsinvulblad en het Beschrijvend Document dit bepalen. Overschrijding van de definitieve dienstverlenings-cap volgens het Prijsinvulblad leidt tot uitsluiting van de inschrijving.</t>
  </si>
  <si>
    <t>Functie van de dienstverlenings-cap</t>
  </si>
  <si>
    <t>De dienstverlenings-cap is opgenomen om disproportionele of strategisch verschoven dienstverleningskosten te voorkomen, de vergelijkbaarheid van inschrijvingen te waarborgen en de inzet van publieke onderwijsmiddelen doelmatig te houden.</t>
  </si>
  <si>
    <t>Toepassing cap na gunning</t>
  </si>
  <si>
    <t>De dienstverlenings-cap wordt gebruikt voor de beoordeling en geldigheid van de prijsinschrijving. Na gunning gelden de door de Inschrijver aangeboden en door KIEN aanvaarde prijscomponenten overeenkomstig het Beschrijvend Document, het Prijsinvulblad en de Raamovereenkomst.</t>
  </si>
  <si>
    <t>Coöperatieve Volumebonus</t>
  </si>
  <si>
    <t>De Inschrijver kan bonuspercentages invullen voor de Coöperatieve Volumebonus. De omzetdrempels worden door KIEN vastgesteld. De bonuspercentages gelden gedurende de looptijd van de Overeenkomst, inclusief eventuele verlengingen, tenzij het Beschrijvend Document uitdrukkelijk anders bepaalt.</t>
  </si>
  <si>
    <t>Werking Coöperatieve Volumebonus bij beoordeling</t>
  </si>
  <si>
    <t>Voor de prijsbeoordeling wordt de Coöperatieve Volumebonus indicatief berekend en in mindering gebracht op de Gebruikte Prijs voor Prijsinschrijving, conform de berekening in dit Prijsinvulblad.</t>
  </si>
  <si>
    <t>Werking Coöperatieve Volumebonus tijdens uitvoering</t>
  </si>
  <si>
    <t>Tijdens de uitvoering werkt de Coöperatieve Volumebonus als jaarlijkse retrospectieve creditregeling over de gerealiseerde omzet uit geaccordeerde orders onder de Overeenkomst, exclusief btw en na aftrek van retouren, creditnota’s, correcties en overige schriftelijk overeengekomen verrekeningen. De gedetailleerde toepassing volgt uit het Beschrijvend Document.</t>
  </si>
  <si>
    <t>Geen afnamegarantie door volumebonus</t>
  </si>
  <si>
    <t>De Coöperatieve Volumebonus creëert geen afnameverplichting, minimumafname, minimumomzet of omzetgarantie voor KIEN of haar Leden. De regeling is uitsluitend bedoeld om schaalvoordelen bij daadwerkelijke gezamenlijke afname zichtbaar te maken.</t>
  </si>
  <si>
    <t>Bonuspercentages</t>
  </si>
  <si>
    <t>Bonuspercentages mogen niet negatief zijn. Indien het Prijsinvulblad voorschrijft dat bonuspercentages gelijkblijvend of oplopend moeten zijn per hogere omzetdrempel, moet de Inschrijver daaraan voldoen. Een foutmelding op dit onderdeel kan leiden tot ongeldigheid van de prijsinschrijving.</t>
  </si>
  <si>
    <t>Productcatalogus</t>
  </si>
  <si>
    <t>De Productcatalogus wordt tijdens de uitvoering ingericht en beheerd overeenkomstig het Beschrijvend Document. De Productcatalogus kan gedurende de looptijd worden geactualiseerd binnen de scope, productcategorieën, minimumeisen en prijsmechaniek van de aanbestedingsdocumenten.</t>
  </si>
  <si>
    <t>Actualisatie Productcatalogus</t>
  </si>
  <si>
    <t>Bij vervanging of actualisatie van producten binnen een productcategorie blijven de in het Prijsinvulblad aangeboden Leverancierscontinuïteitsmarge, bulkkorting, dienstverleningskosten en overige prijsafspraken van toepassing, tenzij het Beschrijvend Document uitdrukkelijk in een andere objectieve en vooraf bepaalde regel voorziet.</t>
  </si>
  <si>
    <t>Nieuwe productcategorieën</t>
  </si>
  <si>
    <t>Het toevoegen van nieuwe productcategorieën is uitsluitend toegestaan voor zover deze categorieën binnen de scope en prijsmechaniek van de aanbestedingsdocumenten zijn voorzien. Wijzigingen mogen niet leiden tot wijziging van de aard of scope van de Opdracht, minimumeisen, gunningscriteria, maximale financiële omvang of andere aanbestedingsrechtelijk wezenlijke onderdelen.</t>
  </si>
  <si>
    <t>Accessoires en bundels</t>
  </si>
  <si>
    <t>Accessoires, productbundels en accessoirebundels zijn niet afzonderlijk in alle prijscomponenten opgenomen. Deze worden gedurende de looptijd aangeboden via de overeengekomen catalogus- en prijsmechanisme, overeenkomstig het Beschrijvend Document. Het Beschrijvend Document blijft hierin leidend.</t>
  </si>
  <si>
    <t>IJzeren voorraad</t>
  </si>
  <si>
    <t>Voor de ijzeren voorraad wordt gerekend met de in het Prijsinvulblad opgenomen aantallen, productcategorieën en berekeningswijze. Deze berekening dient voor beoordelingsdoeleinden en voor de contractuele prijsafspraken voor zover deze door KIEN worden aanvaard. De feitelijke inrichting en afbouw van de ijzeren voorraad verlopen overeenkomstig het Beschrijvend Document.</t>
  </si>
  <si>
    <t>Gebruikte Prijs voor Prijsinschrijving</t>
  </si>
  <si>
    <t>De Gebruikte Prijs voor Prijsinschrijving wordt automatisch berekend in dit Prijsinvulblad. Deze prijs wordt gebruikt voor de beoordeling van het gunningscriterium Prijs. De analysewaarden in het formulier worden alleen gebruikt voor plausibiliteit, controle en verificatie.</t>
  </si>
  <si>
    <t>Analysewaarden</t>
  </si>
  <si>
    <t>Analysewaarden, controlewaarden en tussenberekeningen vormen geen zelfstandige gunningscriteria, tenzij het Beschrijvend Document dit uitdrukkelijk bepaalt. KIEN kan deze waarden gebruiken om de plausibiliteit, volledigheid en consistentie van de prijsinschrijving te controleren.</t>
  </si>
  <si>
    <t>Controlemeldingen</t>
  </si>
  <si>
    <t>Controlemeldingen in het Prijsinvulblad zijn bedoeld om de Inschrijver en KIEN te wijzen op mogelijke fouten, ongeldige waarden of overschrijding van knock-outcriteria. Een controlemelding moet door de Inschrijver vóór indiening worden opgelost, tenzij uit het Beschrijvend Document volgt dat de betreffende melding niet tot ongeldigheid leidt.</t>
  </si>
  <si>
    <t>Ongeldige of manipulatieve inschrijving</t>
  </si>
  <si>
    <t>Een prijsinschrijving mag niet manipulatief, irreëel, niet-marktconform of intern tegenstrijdig zijn. Indien KIEN constateert dat de prijsinschrijving niet plausibel, niet volledig, niet controleerbaar of manipulatief is, kan KIEN de Inschrijver om toelichting vragen of de inschrijving terzijde leggen, voor zover dit juridisch is toegestaan.</t>
  </si>
  <si>
    <t>Wijzigen van het formulier</t>
  </si>
  <si>
    <t>Het is niet toegestaan om de structuur, formules, beveiliging, verborgen cellen, vaste uitgangspunten, tabbladen, verwijzingen of controlemechanismen van het Prijsinvulblad te wijzigen. Alleen de daarvoor bestemde invulvelden mogen worden ingevuld.</t>
  </si>
  <si>
    <t>Indienen</t>
  </si>
  <si>
    <t>De Inschrijver dient het volledig ingevulde Prijsinvulblad in op de wijze en vóór de termijn zoals opgenomen in het Beschrijvend Document en TenderNed.</t>
  </si>
  <si>
    <t>Vragen</t>
  </si>
  <si>
    <t>Vragen over dit Prijsinvulblad, de berekeningswijze, de prijsmechaniek of de toepassing van onderdelen van dit formulier kunnen uitsluitend worden gesteld via de vragenronde(s) zoals beschreven in het Beschrijvend Document.</t>
  </si>
  <si>
    <t>Parameter</t>
  </si>
  <si>
    <t>Waarde</t>
  </si>
  <si>
    <t>Eenheid</t>
  </si>
  <si>
    <t>Indicatief totaal aantal units gedurende de looptijd (incl. verlenging)</t>
  </si>
  <si>
    <t>units</t>
  </si>
  <si>
    <t>Totaal aantal devices voor beoordelingsdoeleinden</t>
  </si>
  <si>
    <t>Categorie</t>
  </si>
  <si>
    <t>Verhouding t.o.v. totaal aantal units</t>
  </si>
  <si>
    <t>Totaal aantal units</t>
  </si>
  <si>
    <t>Reguliere units</t>
  </si>
  <si>
    <t xml:space="preserve">Bulk units </t>
  </si>
  <si>
    <t>Controle totaal</t>
  </si>
  <si>
    <t>Chromebooks / Google Books | Non-touch</t>
  </si>
  <si>
    <t>Chromebooks / Google Books | Touch</t>
  </si>
  <si>
    <t>Workstations</t>
  </si>
  <si>
    <t>Laptop | Medium-end | 14-inch</t>
  </si>
  <si>
    <t>Laptop | Medium-end | 16-inch</t>
  </si>
  <si>
    <t>Laptop | High-end (special)</t>
  </si>
  <si>
    <t>Monitoren</t>
  </si>
  <si>
    <t>Smartphones</t>
  </si>
  <si>
    <t>Totaal</t>
  </si>
  <si>
    <r>
      <t xml:space="preserve">Verhouding </t>
    </r>
    <r>
      <rPr>
        <b/>
        <sz val="11"/>
        <color theme="1"/>
        <rFont val="Calibri"/>
        <family val="2"/>
        <scheme val="minor"/>
      </rPr>
      <t>Reguliere</t>
    </r>
    <r>
      <rPr>
        <sz val="11"/>
        <color theme="1"/>
        <rFont val="Calibri"/>
        <family val="2"/>
        <scheme val="minor"/>
      </rPr>
      <t xml:space="preserve"> units t.o.v. totaal</t>
    </r>
  </si>
  <si>
    <r>
      <t xml:space="preserve">Dit zijn de percentages die gebruikt worden om het </t>
    </r>
    <r>
      <rPr>
        <i/>
        <sz val="11"/>
        <color theme="1"/>
        <rFont val="Calibri"/>
        <family val="2"/>
        <scheme val="minor"/>
      </rPr>
      <t>indicatieve</t>
    </r>
    <r>
      <rPr>
        <sz val="11"/>
        <color theme="1"/>
        <rFont val="Calibri"/>
        <family val="2"/>
        <scheme val="minor"/>
      </rPr>
      <t xml:space="preserve"> aantal units aan te geven, in de hierboven weergegeven tabel.</t>
    </r>
  </si>
  <si>
    <r>
      <t xml:space="preserve">Verhouding </t>
    </r>
    <r>
      <rPr>
        <b/>
        <sz val="11"/>
        <color theme="1"/>
        <rFont val="Calibri"/>
        <family val="2"/>
        <scheme val="minor"/>
      </rPr>
      <t>Bulk</t>
    </r>
    <r>
      <rPr>
        <sz val="11"/>
        <color theme="1"/>
        <rFont val="Calibri"/>
        <family val="2"/>
        <scheme val="minor"/>
      </rPr>
      <t xml:space="preserve"> units t.o.v. totaal</t>
    </r>
  </si>
  <si>
    <r>
      <rPr>
        <b/>
        <sz val="11"/>
        <color theme="1"/>
        <rFont val="Calibri"/>
        <family val="2"/>
        <scheme val="minor"/>
      </rPr>
      <t>Bulkorderdrempel</t>
    </r>
    <r>
      <rPr>
        <sz val="11"/>
        <color theme="1"/>
        <rFont val="Calibri"/>
        <family val="2"/>
        <scheme val="minor"/>
      </rPr>
      <t xml:space="preserve"> (voor bulkorder-korting)</t>
    </r>
  </si>
  <si>
    <t>units per bulkorder</t>
  </si>
  <si>
    <t>Vanaf dit aantal units geldt de bulkorder-korting. Korting geldt voor een uitvraag van een Bestellende Entiteit en bij eventuele mogelijke geaggregeerde uitvragen.</t>
  </si>
  <si>
    <t>Indicatief aantal bulkorders gedurende de looptijd</t>
  </si>
  <si>
    <t>orders (verwachte minimum van 1,5 per jaar)</t>
  </si>
  <si>
    <t>Alleen voor analyse / dienstverlening indien van toepassing</t>
  </si>
  <si>
    <t>Indicatieve minimumaantal units voor ijzeren voorraad van deze productcategorie</t>
  </si>
  <si>
    <r>
      <t xml:space="preserve">Totale waarde voor ijzeren voorraad: Laptop | Medium-end | 14-inch. Wordt automatisch ingevuld nadat Inschrijver </t>
    </r>
    <r>
      <rPr>
        <b/>
        <sz val="11"/>
        <color theme="1"/>
        <rFont val="Calibri"/>
        <family val="2"/>
        <scheme val="minor"/>
      </rPr>
      <t>Leverancierscontinuïteitsmarge</t>
    </r>
    <r>
      <rPr>
        <sz val="11"/>
        <color theme="1"/>
        <rFont val="Calibri"/>
        <family val="2"/>
        <scheme val="minor"/>
      </rPr>
      <t xml:space="preserve"> per unit toegevoegd heeft.</t>
    </r>
  </si>
  <si>
    <r>
      <t xml:space="preserve">Totale waarde voor ijzeren voorraad: Laptop | Medium-end | 16-inch. Wordt automatisch ingevuld nadat Inschrijver </t>
    </r>
    <r>
      <rPr>
        <b/>
        <sz val="11"/>
        <color theme="1"/>
        <rFont val="Calibri"/>
        <family val="2"/>
        <scheme val="minor"/>
      </rPr>
      <t>Leverancierscontinuïteitsmarge</t>
    </r>
    <r>
      <rPr>
        <sz val="11"/>
        <color theme="1"/>
        <rFont val="Calibri"/>
        <family val="2"/>
        <scheme val="minor"/>
      </rPr>
      <t xml:space="preserve"> per unit toegevoegd heeft.</t>
    </r>
  </si>
  <si>
    <t>Limiet voor totale Dienstverleningskosten t.o.v. totale indicatieve contractwaarde in prijsinvulblad</t>
  </si>
  <si>
    <r>
      <t xml:space="preserve">Dit percentage is de cap voor de Dienstverleningskosten t.o.v. de </t>
    </r>
    <r>
      <rPr>
        <b/>
        <sz val="11"/>
        <color theme="1"/>
        <rFont val="Calibri"/>
        <family val="2"/>
        <scheme val="minor"/>
      </rPr>
      <t>indicatieve contractwaarde vóór het toepassen van kortingen</t>
    </r>
    <r>
      <rPr>
        <sz val="11"/>
        <color theme="1"/>
        <rFont val="Calibri"/>
        <family val="2"/>
        <scheme val="minor"/>
      </rPr>
      <t xml:space="preserve"> uit het prijsinvulblad. Om een gelijk speelveld en concurrentie te garanderen, is deze cap geplaatst. </t>
    </r>
    <r>
      <rPr>
        <b/>
        <sz val="11"/>
        <color theme="1"/>
        <rFont val="Calibri"/>
        <family val="2"/>
        <scheme val="minor"/>
      </rPr>
      <t>Wordt de cap overschreden? Dan resulteert dit in een automatische knock-out.</t>
    </r>
  </si>
  <si>
    <t>Aantal kwartalen in dit contract (incl. optionele verlengingen)</t>
  </si>
  <si>
    <r>
      <t>Aantal kwartalen (</t>
    </r>
    <r>
      <rPr>
        <u/>
        <sz val="11"/>
        <color theme="1"/>
        <rFont val="Calibri"/>
        <family val="2"/>
        <scheme val="minor"/>
      </rPr>
      <t>incl</t>
    </r>
    <r>
      <rPr>
        <sz val="11"/>
        <color theme="1"/>
        <rFont val="Calibri"/>
        <family val="2"/>
        <scheme val="minor"/>
      </rPr>
      <t xml:space="preserve">. optionele verlengingen, </t>
    </r>
    <r>
      <rPr>
        <u/>
        <sz val="11"/>
        <color theme="1"/>
        <rFont val="Calibri"/>
        <family val="2"/>
        <scheme val="minor"/>
      </rPr>
      <t>excl</t>
    </r>
    <r>
      <rPr>
        <sz val="11"/>
        <color theme="1"/>
        <rFont val="Calibri"/>
        <family val="2"/>
        <scheme val="minor"/>
      </rPr>
      <t>. Transitietermijn)</t>
    </r>
  </si>
  <si>
    <t>Catalogus: Leverancierscontinuïteitsmarge</t>
  </si>
  <si>
    <t>Minimumspecificaties</t>
  </si>
  <si>
    <t>Indicatieve totaal aantal units</t>
  </si>
  <si>
    <t>KIEN referentieprijs per unit (EUR excl BTW)</t>
  </si>
  <si>
    <t>Leverancierscontinuïteitsmarge per unit, per categorie, in EUR voor leverancier</t>
  </si>
  <si>
    <r>
      <t xml:space="preserve">Indicatieve omzet met </t>
    </r>
    <r>
      <rPr>
        <b/>
        <sz val="11"/>
        <rFont val="Calibri"/>
        <family val="2"/>
      </rPr>
      <t>Leverancierscontinuïteitsmarge</t>
    </r>
  </si>
  <si>
    <t>Totale Leverancierscontinuïteitsmarge per categorie in EUR</t>
  </si>
  <si>
    <t>Controle</t>
  </si>
  <si>
    <t>Google Workspace licentie (inclusief), Intel Core N of Mediatek (voor beide types: laatste generatie), 8GB RAM, 11-inch, 64GB SSD, minimum accuduur 10 uur, minstens 1x USB-C, WIFI 6</t>
  </si>
  <si>
    <t>Windows 11 Home, Intel i5, 16GB RAM, 512GB SSD, TPM 2.0, minstens 1x USB-A 3.1, minstens 1x USB Type-C 3.1, minimaal CAT 6 (ethernet-aansluiting)</t>
  </si>
  <si>
    <t>Windows 11 Home, Intel i5, 16GB RAM, 512GB SSD, TPM 2.0, minimum accuduur 8 uur, minstens 1x USB-C 3.1, webcam minimaal 720P (Infrarood-enabled), Biometrische login via Windows Hello mogelijk (gezichtsherkenning en vingerafdrukscanner), WIFI 6E, Bluetooth 5</t>
  </si>
  <si>
    <t>Windows 11 Home, Intel i7, 32GB RAM, 512GB SSD, TPM 2.0, minimum accuduur 8 uur, minstens 1x USB-C 3.1, webcam minimaal 720P (Infrarood-enabled), Biometrische login via Windows Hello mogelijk (gezichtsherkenning en vingerafdrukscanner), WIFI 6E, Bluetooth 5</t>
  </si>
  <si>
    <t>Minstens 24-inch, Full HD 1080P, minstens 1x Displayport, minstens 2x HDMI-poorten, minstens 1x USB-C, hoogte verstelbaar</t>
  </si>
  <si>
    <t>Nieuwste Android Enterprise-versie, 5-inch scherm of groter, 128GB opslag, minstens 5 jaar beveiligingsupdates, minstens 4 jaar OS-updates</t>
  </si>
  <si>
    <r>
      <t xml:space="preserve">Totaal reguliere afname </t>
    </r>
    <r>
      <rPr>
        <b/>
        <u/>
        <sz val="11"/>
        <color theme="1"/>
        <rFont val="Calibri"/>
        <family val="2"/>
        <scheme val="minor"/>
      </rPr>
      <t>zonder</t>
    </r>
    <r>
      <rPr>
        <b/>
        <sz val="11"/>
        <color theme="1"/>
        <rFont val="Calibri"/>
        <family val="2"/>
        <scheme val="minor"/>
      </rPr>
      <t xml:space="preserve"> marge</t>
    </r>
  </si>
  <si>
    <t>Totaal reguliere afname inclusief marge</t>
  </si>
  <si>
    <t>Catalogus: Bulkkorting</t>
  </si>
  <si>
    <t>Indicatieve bulk units</t>
  </si>
  <si>
    <t>Netto reguliere prijs per unit na Basismarge (EUR excl BTW)</t>
  </si>
  <si>
    <t>Bulkkorting voor orders boven bulk-orderdrempel (procenten)</t>
  </si>
  <si>
    <t>Bulkprijs per unit na aanvullende korting (EUR excl BTW)</t>
  </si>
  <si>
    <t>Totale indicatieve bulkkorting</t>
  </si>
  <si>
    <t>Totale Bulkkorting</t>
  </si>
  <si>
    <t>Onderdeel dienstverlening</t>
  </si>
  <si>
    <t>Waaronder</t>
  </si>
  <si>
    <t>Tariefmodel</t>
  </si>
  <si>
    <t>Aantal</t>
  </si>
  <si>
    <t>Bedrag (EUR ex. BTW)</t>
  </si>
  <si>
    <t>Subtotaal</t>
  </si>
  <si>
    <t>Verhouding dienstverlening t.o.v. totaal</t>
  </si>
  <si>
    <t>Basisdienstverlening per device</t>
  </si>
  <si>
    <t>• Asset Tag sticker aanbrengen
• CMDB-rapportage (import-file volgens CSV)
• Image/registratie via MDM-/UEM-systeem
• Facturatiemethode, en andere zaken conform BD</t>
  </si>
  <si>
    <t>Per device</t>
  </si>
  <si>
    <t>Aanvullende dienstverlening per device | Microsoft Ecosysteem</t>
  </si>
  <si>
    <t>• Intune Provisioning;
• Hashen.</t>
  </si>
  <si>
    <t>Per device op afroep</t>
  </si>
  <si>
    <t>Aanvullende dienstverlening per device | Google Ecosysteem</t>
  </si>
  <si>
    <t>• Inschrijven Google Workspace.</t>
  </si>
  <si>
    <t>Strippenkaart voor reparaties buiten de device-garantie voor laptops</t>
  </si>
  <si>
    <t>• Voorrijkosten;
• Werkkosten voor analyse en voorbereidingswerkzaamheden (incl. salariskosten);
• Apparaat- en reparatieanalyse (pre-reparatie);
• Werkkosten voor reparatie (exclusief materiaalkosten).</t>
  </si>
  <si>
    <r>
      <t xml:space="preserve">Strippenkaart voor 250 reparaties. </t>
    </r>
    <r>
      <rPr>
        <b/>
        <sz val="11"/>
        <color theme="1"/>
        <rFont val="Calibri"/>
        <family val="2"/>
        <scheme val="minor"/>
      </rPr>
      <t>Prijs per strippenkaart</t>
    </r>
    <r>
      <rPr>
        <sz val="11"/>
        <color theme="1"/>
        <rFont val="Calibri"/>
        <family val="2"/>
        <scheme val="minor"/>
      </rPr>
      <t xml:space="preserve"> keer het aantal voor de hele looptijd (indicatief/prognose).
</t>
    </r>
    <r>
      <rPr>
        <u/>
        <sz val="11"/>
        <color theme="1"/>
        <rFont val="Calibri"/>
        <family val="2"/>
        <scheme val="minor"/>
      </rPr>
      <t>Één strip staat gelijk aan één volledige reparatieronde voor één device, of een traject waarbij de Opdrachtgever zelf besluit de ronde niet volledig af te maken.</t>
    </r>
  </si>
  <si>
    <t>End-of-life ophaal- en wipe-service</t>
  </si>
  <si>
    <t>• (Disposal) Ophaal- en wipe-service, met een certificaatbevestiging over het veilig verwijderen van alle data-dragers (SSD, etc.);
• Aanvullende bijdrage om devices op te halen op het moment dat devices hun end-of-life hebben bereikt.</t>
  </si>
  <si>
    <t>Bulkverpakking &amp; Verpakkingsophaalservice</t>
  </si>
  <si>
    <t>• Gebruik van bulkverpakkingen;
• Ophalen van overtollig verpakkingsmateriaal.</t>
  </si>
  <si>
    <t>Voorraadbeheer en Faciliteit voor ijzeren voorraad</t>
  </si>
  <si>
    <r>
      <t xml:space="preserve">Faciliteit vanuit de leverancier om een vaste voorraad te faciliteren voor specifieke devices, in ruil voor een percentage van de device-waarde. Er wordt </t>
    </r>
    <r>
      <rPr>
        <b/>
        <sz val="11"/>
        <color theme="1"/>
        <rFont val="Calibri"/>
        <family val="2"/>
        <scheme val="minor"/>
      </rPr>
      <t>betaald per kwartaal</t>
    </r>
    <r>
      <rPr>
        <sz val="11"/>
        <color theme="1"/>
        <rFont val="Calibri"/>
        <family val="2"/>
        <scheme val="minor"/>
      </rPr>
      <t xml:space="preserve"> over een percentage van de opgeslagen waarde bij de leverancier.</t>
    </r>
  </si>
  <si>
    <t>Vast percentage over de waarde van de *ijzeren* voorraad. Wordt betaald per kwartaal, en in deze berekening doorgetrokken over de gehele looptijd.</t>
  </si>
  <si>
    <t>Totale dienstverleningskosten (exclusief Basismarge)</t>
  </si>
  <si>
    <t>Totale Leverancierscontinuïteitsmarge in EUR voor leverancier gedurende de gehele looptijd</t>
  </si>
  <si>
    <t>Totale dienstverleningskosten incl. Leverancierscontinuïteitsmarge onderhevig aan Dienstverlenings-cap</t>
  </si>
  <si>
    <r>
      <rPr>
        <b/>
        <i/>
        <sz val="11"/>
        <color rgb="FFFFFFFF"/>
        <rFont val="Calibri"/>
        <family val="2"/>
      </rPr>
      <t>Coöperatieve Volumebonus</t>
    </r>
    <r>
      <rPr>
        <b/>
        <sz val="11"/>
        <color rgb="FFFFFFFF"/>
        <rFont val="Calibri"/>
        <family val="2"/>
      </rPr>
      <t xml:space="preserve"> (retrospectieve creditregeling over voorgaande kalenderjaar)</t>
    </r>
  </si>
  <si>
    <r>
      <rPr>
        <b/>
        <i/>
        <sz val="11"/>
        <color rgb="FFFFFFFF"/>
        <rFont val="Calibri"/>
        <family val="2"/>
      </rPr>
      <t>Coöperatieve Volumebonus</t>
    </r>
    <r>
      <rPr>
        <b/>
        <sz val="11"/>
        <color rgb="FFFFFFFF"/>
        <rFont val="Calibri"/>
        <family val="2"/>
      </rPr>
      <t xml:space="preserve"> | Indicatoren</t>
    </r>
  </si>
  <si>
    <t>Toelichting / Controle</t>
  </si>
  <si>
    <t>Geldende Jaarlijkse Omzetdrempels (EUR excl. BTW) Gedurende de Looptijd van de Overeenkomst.</t>
  </si>
  <si>
    <r>
      <t xml:space="preserve">Bonuspercentage
</t>
    </r>
    <r>
      <rPr>
        <sz val="11"/>
        <rFont val="Calibri"/>
        <family val="2"/>
      </rPr>
      <t>Voeg hieronder oplopende/progressieve bonuspercentages toe per omzetdrempel</t>
    </r>
  </si>
  <si>
    <t>Toepasbaar bij door KIEN bepaalde jaaromzet?</t>
  </si>
  <si>
    <t>Indicatieve jaaromzet volgens Prijsinschrijving van Inschrijver</t>
  </si>
  <si>
    <t>Indicatieve bonus bij staffel</t>
  </si>
  <si>
    <t>Indicatieve jaaromzet (bruto)</t>
  </si>
  <si>
    <r>
      <t xml:space="preserve">Gerealiseerde of indicatieve jaaromzet vóór toepassing van de </t>
    </r>
    <r>
      <rPr>
        <i/>
        <sz val="11"/>
        <color theme="1"/>
        <rFont val="Calibri"/>
        <family val="2"/>
        <scheme val="minor"/>
      </rPr>
      <t>Coöperatieve Volumebonus</t>
    </r>
    <r>
      <rPr>
        <sz val="11"/>
        <color theme="1"/>
        <rFont val="Calibri"/>
        <family val="2"/>
        <scheme val="minor"/>
      </rPr>
      <t>. Berekend op basis van bruto indicatieve contractwaarde gedeeld door looptijd in jaren.</t>
    </r>
  </si>
  <si>
    <r>
      <t xml:space="preserve">KIEN stelt de omzetdrempels vast. Inschrijver vult </t>
    </r>
    <r>
      <rPr>
        <b/>
        <u/>
        <sz val="11"/>
        <color theme="1"/>
        <rFont val="Calibri"/>
        <family val="2"/>
        <scheme val="minor"/>
      </rPr>
      <t>alleen</t>
    </r>
    <r>
      <rPr>
        <sz val="11"/>
        <color theme="1"/>
        <rFont val="Calibri"/>
        <family val="2"/>
        <scheme val="minor"/>
      </rPr>
      <t xml:space="preserve"> het bonuspercentage in. De Omzetdrempels en de bonuspercentages gelden gedurende de volledige looptijd.</t>
    </r>
  </si>
  <si>
    <t>Geselecteerd bonuspercentage</t>
  </si>
  <si>
    <t>Hoogste staffel waarvoor de indicatieve jaaromzet ten minste de drempel haalt.</t>
  </si>
  <si>
    <r>
      <t xml:space="preserve">Indicatieve </t>
    </r>
    <r>
      <rPr>
        <i/>
        <sz val="11"/>
        <rFont val="Calibri"/>
        <family val="2"/>
      </rPr>
      <t>Coöperatieve Volumebonus</t>
    </r>
    <r>
      <rPr>
        <sz val="11"/>
        <rFont val="Calibri"/>
        <family val="2"/>
      </rPr>
      <t xml:space="preserve"> in een periode van </t>
    </r>
    <r>
      <rPr>
        <u/>
        <sz val="11"/>
        <rFont val="Calibri"/>
        <family val="2"/>
      </rPr>
      <t>één jaar</t>
    </r>
  </si>
  <si>
    <t>Indicatieve bonus/credit.</t>
  </si>
  <si>
    <r>
      <t xml:space="preserve">Indicatieve </t>
    </r>
    <r>
      <rPr>
        <i/>
        <sz val="11"/>
        <rFont val="Calibri"/>
        <family val="2"/>
      </rPr>
      <t>Coöperatieve Volumebonus</t>
    </r>
    <r>
      <rPr>
        <sz val="11"/>
        <rFont val="Calibri"/>
        <family val="2"/>
      </rPr>
      <t xml:space="preserve"> over de </t>
    </r>
    <r>
      <rPr>
        <u/>
        <sz val="11"/>
        <rFont val="Calibri"/>
        <family val="2"/>
      </rPr>
      <t>volledige looptijd</t>
    </r>
  </si>
  <si>
    <t>Indicatieve bonus/credit; wordt in mindering gebracht op voordat de definitieve Prijs voor de prijsinschrijving wordt berekend.</t>
  </si>
  <si>
    <t>Controle oplopende bonuspercentages</t>
  </si>
  <si>
    <t>Bonuspercentages moeten oplopend of gelijkblijvend zijn per hogere omzetdrempel.</t>
  </si>
  <si>
    <t>Controle geen negatieve bonuspercentages</t>
  </si>
  <si>
    <t>Bonuspercentages mogen geen negatieve percentages zijn.</t>
  </si>
  <si>
    <t>Indicatieve contractwaarde</t>
  </si>
  <si>
    <t>Component</t>
  </si>
  <si>
    <t>Bedrag (EUR excl BTW)</t>
  </si>
  <si>
    <t>Verhouding bedrag t.o.v. totaalbedrag</t>
  </si>
  <si>
    <r>
      <t xml:space="preserve">Totale indicatieve afname werkplekken </t>
    </r>
    <r>
      <rPr>
        <u/>
        <sz val="11"/>
        <color theme="1"/>
        <rFont val="Calibri"/>
        <family val="2"/>
        <scheme val="minor"/>
      </rPr>
      <t>Excl.</t>
    </r>
    <r>
      <rPr>
        <sz val="11"/>
        <color theme="1"/>
        <rFont val="Calibri"/>
        <family val="2"/>
        <scheme val="minor"/>
      </rPr>
      <t xml:space="preserve"> Leverancierscontinuïteitsmarge</t>
    </r>
  </si>
  <si>
    <r>
      <t xml:space="preserve">Dienstverleningskosten </t>
    </r>
    <r>
      <rPr>
        <u/>
        <sz val="11"/>
        <color theme="1"/>
        <rFont val="Calibri"/>
        <family val="2"/>
        <scheme val="minor"/>
      </rPr>
      <t>Incl.</t>
    </r>
    <r>
      <rPr>
        <sz val="11"/>
        <color theme="1"/>
        <rFont val="Calibri"/>
        <family val="2"/>
        <scheme val="minor"/>
      </rPr>
      <t xml:space="preserve"> Leverancierscontinuïteitsmarge</t>
    </r>
  </si>
  <si>
    <t>Toepassing Bulkkorting</t>
  </si>
  <si>
    <r>
      <t xml:space="preserve">Gebruikte </t>
    </r>
    <r>
      <rPr>
        <b/>
        <u/>
        <sz val="12"/>
        <color theme="1"/>
        <rFont val="Calibri"/>
        <family val="2"/>
        <scheme val="minor"/>
      </rPr>
      <t>Prijs</t>
    </r>
    <r>
      <rPr>
        <b/>
        <sz val="12"/>
        <color theme="1"/>
        <rFont val="Calibri"/>
        <family val="2"/>
        <scheme val="minor"/>
      </rPr>
      <t xml:space="preserve"> voor Prijsinschrijving</t>
    </r>
  </si>
  <si>
    <t>Indicatieve Contractwaarde wordt gebruikt als Prijs voor Prijsinschrijving.</t>
  </si>
  <si>
    <r>
      <t xml:space="preserve">Dienstverleningskosten-cap </t>
    </r>
    <r>
      <rPr>
        <b/>
        <i/>
        <u/>
        <sz val="12"/>
        <color theme="1"/>
        <rFont val="Calibri"/>
        <family val="2"/>
        <scheme val="minor"/>
      </rPr>
      <t>na toepassen van kortingen</t>
    </r>
  </si>
  <si>
    <t>Dienstverleningskosten-cap o.b.v. verhouding dienstverleningskosten (inclusief Leverancierscontinuïteitsmarge) t.o.v. het totaalbedrag min het percentage aan kortingen.</t>
  </si>
  <si>
    <t>Minimumaantal units: Laptop | Medium-end | 14-inch (uit Productcatalogus) onder IJzeren voorraad bij leverancier</t>
  </si>
  <si>
    <t>Minimumaantal units: Laptop | Medium-end | 16-inch (uit Productcatalogus) onder IJzeren voorraad bij leverancier</t>
  </si>
  <si>
    <t>Minimumaantal units: Workstations (uit Productcatalogus) onder IJzeren voorraad bij leverancier</t>
  </si>
  <si>
    <r>
      <t xml:space="preserve">Totale waarde voor ijzeren voorraad: Workstations. Wordt automatisch ingevuld nadat Inschrijver </t>
    </r>
    <r>
      <rPr>
        <b/>
        <sz val="11"/>
        <color theme="1"/>
        <rFont val="Calibri"/>
        <family val="2"/>
        <scheme val="minor"/>
      </rPr>
      <t>Leverancierscontinuïteitsmarge</t>
    </r>
    <r>
      <rPr>
        <sz val="11"/>
        <color theme="1"/>
        <rFont val="Calibri"/>
        <family val="2"/>
        <scheme val="minor"/>
      </rPr>
      <t xml:space="preserve"> per unit toegevoegd heeft.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</si>
</sst>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 #,##0.00_)_ ;_ * \(#,##0.00\)_ ;_ * &quot;-&quot;??_)_ ;_ @_ "/>
    <numFmt numFmtId="165" formatCode="0.0"/>
    <numFmt numFmtId="166" formatCode="0.0%"/>
    <numFmt numFmtId="167" formatCode="\€\ #,##0"/>
    <numFmt numFmtId="168" formatCode="0.000%"/>
  </numFmts>
  <fonts count="32">
    <font>
      <sz val="11"/>
      <color theme="1"/>
      <name val="Calibri"/>
      <family val="2"/>
      <scheme val="minor"/>
    </font>
    <font>
      <b/>
      <sz val="11"/>
      <color rgb="FFFFFFFF"/>
      <name val="Calibri"/>
      <family val="2"/>
    </font>
    <font>
      <b/>
      <sz val="11"/>
      <name val="Calibri"/>
      <family val="2"/>
    </font>
    <font>
      <sz val="11"/>
      <color theme="1"/>
      <name val="Calibri"/>
      <family val="2"/>
      <scheme val="minor"/>
    </font>
    <font>
      <b/>
      <sz val="11"/>
      <color theme="1"/>
      <name val="Calibri"/>
      <family val="2"/>
      <scheme val="minor"/>
    </font>
    <font>
      <b/>
      <sz val="11"/>
      <name val="Calibri"/>
      <family val="2"/>
      <scheme val="minor"/>
    </font>
    <font>
      <b/>
      <sz val="12"/>
      <color rgb="FFFFFFFF"/>
      <name val="Calibri"/>
      <family val="2"/>
      <scheme val="minor"/>
    </font>
    <font>
      <sz val="12"/>
      <color theme="1"/>
      <name val="Calibri"/>
      <family val="2"/>
      <scheme val="minor"/>
    </font>
    <font>
      <sz val="11"/>
      <name val="Calibri"/>
      <family val="2"/>
    </font>
    <font>
      <i/>
      <sz val="11"/>
      <color theme="1"/>
      <name val="Calibri"/>
      <family val="2"/>
      <scheme val="minor"/>
    </font>
    <font>
      <b/>
      <sz val="12"/>
      <color theme="1"/>
      <name val="Calibri"/>
      <family val="2"/>
      <scheme val="minor"/>
    </font>
    <font>
      <u/>
      <sz val="11"/>
      <color theme="1"/>
      <name val="Calibri"/>
      <family val="2"/>
      <scheme val="minor"/>
    </font>
    <font>
      <b/>
      <sz val="12"/>
      <color rgb="FFFFFFFF"/>
      <name val="Calibri"/>
      <family val="2"/>
    </font>
    <font>
      <sz val="11"/>
      <color theme="1" tint="0.499984740745262"/>
      <name val="Calibri"/>
      <family val="2"/>
      <scheme val="minor"/>
    </font>
    <font>
      <b/>
      <i/>
      <sz val="11"/>
      <color rgb="FFFFFFFF"/>
      <name val="Calibri"/>
      <family val="2"/>
    </font>
    <font>
      <b/>
      <u/>
      <sz val="11"/>
      <color theme="1"/>
      <name val="Calibri"/>
      <family val="2"/>
      <scheme val="minor"/>
    </font>
    <font>
      <i/>
      <sz val="11"/>
      <name val="Calibri"/>
      <family val="2"/>
    </font>
    <font>
      <u/>
      <sz val="11"/>
      <name val="Calibri"/>
      <family val="2"/>
    </font>
    <font>
      <sz val="11"/>
      <color theme="1" tint="0.499984740745262"/>
      <name val="Calibri"/>
      <family val="2"/>
    </font>
    <font>
      <b/>
      <i/>
      <u/>
      <sz val="12"/>
      <color theme="1"/>
      <name val="Calibri"/>
      <family val="2"/>
      <scheme val="minor"/>
    </font>
    <font>
      <b/>
      <u/>
      <sz val="12"/>
      <color theme="1"/>
      <name val="Calibri"/>
      <family val="2"/>
      <scheme val="minor"/>
    </font>
    <font>
      <u/>
      <sz val="11"/>
      <color theme="1"/>
      <name val="Calibri (Corps)"/>
    </font>
    <font>
      <sz val="11"/>
      <color theme="1"/>
      <name val="Calibri (Corps)"/>
    </font>
    <font>
      <b/>
      <i/>
      <sz val="11"/>
      <name val="Calibri"/>
      <family val="2"/>
      <scheme val="minor"/>
    </font>
    <font>
      <b/>
      <sz val="12"/>
      <name val="Calibri (Corps)"/>
    </font>
    <font>
      <i/>
      <sz val="12"/>
      <color theme="1"/>
      <name val="Calibri (Corps)"/>
    </font>
    <font>
      <sz val="12"/>
      <color theme="1"/>
      <name val="Calibri (Corps)"/>
    </font>
    <font>
      <b/>
      <sz val="12"/>
      <color theme="1"/>
      <name val="Calibri (Corps)"/>
    </font>
    <font>
      <b/>
      <sz val="11"/>
      <color rgb="FFC00000"/>
      <name val="Calibri"/>
      <family val="2"/>
    </font>
    <font>
      <b/>
      <sz val="11"/>
      <color theme="1"/>
      <name val="Calibri"/>
      <family val="2"/>
    </font>
    <font>
      <b/>
      <sz val="11"/>
      <name val="Calibri"/>
    </font>
    <font>
      <b/>
      <sz val="20"/>
      <color theme="1"/>
      <name val="Calibri"/>
      <family val="2"/>
      <scheme val="minor"/>
    </font>
  </fonts>
  <fills count="18">
    <fill>
      <patternFill patternType="none"/>
    </fill>
    <fill>
      <patternFill patternType="gray125"/>
    </fill>
    <fill>
      <patternFill patternType="solid">
        <fgColor rgb="FFFFF2CC"/>
      </patternFill>
    </fill>
    <fill>
      <patternFill patternType="solid">
        <fgColor rgb="FFE2F0D9"/>
      </patternFill>
    </fill>
    <fill>
      <patternFill patternType="solid">
        <fgColor theme="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2CC"/>
        <bgColor indexed="64"/>
      </patternFill>
    </fill>
    <fill>
      <patternFill patternType="solid">
        <fgColor rgb="FFE2F0D9"/>
        <bgColor indexed="64"/>
      </patternFill>
    </fill>
    <fill>
      <patternFill patternType="solid">
        <fgColor rgb="FFDAEEF3"/>
        <bgColor indexed="64"/>
      </patternFill>
    </fill>
    <fill>
      <patternFill patternType="solid">
        <fgColor rgb="FFD9EAF7"/>
        <bgColor indexed="64"/>
      </patternFill>
    </fill>
    <fill>
      <patternFill patternType="solid">
        <fgColor rgb="FF1F4E78"/>
      </patternFill>
    </fill>
    <fill>
      <patternFill patternType="solid">
        <fgColor rgb="FFDCE6F1"/>
        <bgColor indexed="64"/>
      </patternFill>
    </fill>
    <fill>
      <patternFill patternType="solid">
        <fgColor rgb="FFD9EAF7"/>
        <bgColor rgb="FF000000"/>
      </patternFill>
    </fill>
    <fill>
      <patternFill patternType="solid">
        <fgColor theme="0" tint="-0.499984740745262"/>
        <bgColor indexed="64"/>
      </patternFill>
    </fill>
    <fill>
      <patternFill patternType="solid">
        <fgColor theme="0"/>
        <bgColor indexed="64"/>
      </patternFill>
    </fill>
    <fill>
      <patternFill patternType="solid">
        <fgColor theme="9" tint="0.39997558519241921"/>
        <bgColor indexed="64"/>
      </patternFill>
    </fill>
  </fills>
  <borders count="65">
    <border>
      <left/>
      <right/>
      <top/>
      <bottom/>
      <diagonal/>
    </border>
    <border>
      <left style="thin">
        <color rgb="FF999999"/>
      </left>
      <right style="thin">
        <color rgb="FF999999"/>
      </right>
      <top style="thin">
        <color rgb="FF999999"/>
      </top>
      <bottom/>
      <diagonal/>
    </border>
    <border>
      <left style="thin">
        <color rgb="FF999999"/>
      </left>
      <right style="thin">
        <color rgb="FF999999"/>
      </right>
      <top/>
      <bottom style="thin">
        <color rgb="FF99999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999999"/>
      </left>
      <right style="thin">
        <color rgb="FF99999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rgb="FFBFBFBF"/>
      </right>
      <top style="medium">
        <color indexed="64"/>
      </top>
      <bottom style="medium">
        <color indexed="64"/>
      </bottom>
      <diagonal/>
    </border>
    <border>
      <left style="thin">
        <color rgb="FFBFBFBF"/>
      </left>
      <right style="thin">
        <color rgb="FFBFBFBF"/>
      </right>
      <top style="medium">
        <color indexed="64"/>
      </top>
      <bottom style="medium">
        <color indexed="64"/>
      </bottom>
      <diagonal/>
    </border>
    <border>
      <left style="thin">
        <color rgb="FFBFBFBF"/>
      </left>
      <right style="medium">
        <color indexed="64"/>
      </right>
      <top style="medium">
        <color indexed="64"/>
      </top>
      <bottom style="medium">
        <color indexed="64"/>
      </bottom>
      <diagonal/>
    </border>
    <border>
      <left style="medium">
        <color indexed="64"/>
      </left>
      <right style="thin">
        <color rgb="FFBFBFBF"/>
      </right>
      <top style="medium">
        <color indexed="64"/>
      </top>
      <bottom/>
      <diagonal/>
    </border>
    <border>
      <left style="thin">
        <color rgb="FFBFBFBF"/>
      </left>
      <right style="thin">
        <color rgb="FFBFBFBF"/>
      </right>
      <top style="medium">
        <color indexed="64"/>
      </top>
      <bottom/>
      <diagonal/>
    </border>
    <border>
      <left style="thin">
        <color rgb="FFBFBFBF"/>
      </left>
      <right style="medium">
        <color indexed="64"/>
      </right>
      <top style="medium">
        <color indexed="64"/>
      </top>
      <bottom/>
      <diagonal/>
    </border>
    <border>
      <left/>
      <right style="thin">
        <color rgb="FFBFBFBF"/>
      </right>
      <top style="thin">
        <color rgb="FFBFBFBF"/>
      </top>
      <bottom style="thin">
        <color rgb="FFBFBFBF"/>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999999"/>
      </right>
      <top style="medium">
        <color indexed="64"/>
      </top>
      <bottom/>
      <diagonal/>
    </border>
    <border>
      <left style="thin">
        <color rgb="FF999999"/>
      </left>
      <right style="medium">
        <color indexed="64"/>
      </right>
      <top style="medium">
        <color indexed="64"/>
      </top>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indexed="64"/>
      </left>
      <right/>
      <top/>
      <bottom style="thin">
        <color indexed="64"/>
      </bottom>
      <diagonal/>
    </border>
  </borders>
  <cellStyleXfs count="4">
    <xf numFmtId="0" fontId="0" fillId="0" borderId="0"/>
    <xf numFmtId="4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cellStyleXfs>
  <cellXfs count="266">
    <xf numFmtId="0" fontId="0" fillId="0" borderId="0" xfId="0"/>
    <xf numFmtId="0" fontId="0" fillId="4" borderId="0" xfId="0" applyFill="1"/>
    <xf numFmtId="0" fontId="0" fillId="0" borderId="7" xfId="0" applyBorder="1"/>
    <xf numFmtId="0" fontId="0" fillId="0" borderId="9" xfId="0" applyBorder="1"/>
    <xf numFmtId="0" fontId="0" fillId="0" borderId="10" xfId="0" applyBorder="1"/>
    <xf numFmtId="1" fontId="0" fillId="3" borderId="8" xfId="0" applyNumberFormat="1" applyFill="1" applyBorder="1"/>
    <xf numFmtId="0" fontId="0" fillId="0" borderId="21" xfId="0" applyBorder="1"/>
    <xf numFmtId="1" fontId="0" fillId="3" borderId="23" xfId="0" applyNumberFormat="1" applyFill="1" applyBorder="1"/>
    <xf numFmtId="0" fontId="0" fillId="0" borderId="18" xfId="0" applyBorder="1"/>
    <xf numFmtId="1" fontId="0" fillId="3" borderId="20" xfId="0" applyNumberFormat="1" applyFill="1" applyBorder="1"/>
    <xf numFmtId="0" fontId="0" fillId="0" borderId="4" xfId="0" applyBorder="1"/>
    <xf numFmtId="0" fontId="0" fillId="0" borderId="5" xfId="0" applyBorder="1"/>
    <xf numFmtId="0" fontId="0" fillId="0" borderId="3" xfId="0" applyBorder="1" applyAlignment="1">
      <alignment wrapText="1"/>
    </xf>
    <xf numFmtId="1" fontId="0" fillId="0" borderId="3" xfId="0" applyNumberFormat="1" applyBorder="1"/>
    <xf numFmtId="0" fontId="0" fillId="0" borderId="13" xfId="0" applyBorder="1" applyAlignment="1">
      <alignment wrapText="1"/>
    </xf>
    <xf numFmtId="0" fontId="0" fillId="0" borderId="22" xfId="0" applyBorder="1" applyAlignment="1">
      <alignment wrapText="1"/>
    </xf>
    <xf numFmtId="0" fontId="0" fillId="0" borderId="22" xfId="0" applyBorder="1"/>
    <xf numFmtId="0" fontId="4" fillId="0" borderId="18" xfId="0" applyFont="1" applyBorder="1"/>
    <xf numFmtId="0" fontId="4" fillId="0" borderId="19" xfId="0" applyFont="1" applyBorder="1" applyAlignment="1">
      <alignment wrapText="1"/>
    </xf>
    <xf numFmtId="0" fontId="4" fillId="0" borderId="19" xfId="0" applyFont="1" applyBorder="1"/>
    <xf numFmtId="0" fontId="0" fillId="0" borderId="8" xfId="0" applyBorder="1" applyAlignment="1">
      <alignment vertical="top" wrapText="1"/>
    </xf>
    <xf numFmtId="0" fontId="2" fillId="6" borderId="19"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1" fillId="5" borderId="18" xfId="0" applyFont="1" applyFill="1" applyBorder="1" applyAlignment="1">
      <alignment horizontal="left" vertical="center"/>
    </xf>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0" fillId="6" borderId="17" xfId="0" applyFill="1" applyBorder="1"/>
    <xf numFmtId="0" fontId="0" fillId="7" borderId="5" xfId="0" applyFill="1" applyBorder="1"/>
    <xf numFmtId="1" fontId="0" fillId="7" borderId="10" xfId="0" applyNumberFormat="1" applyFill="1" applyBorder="1"/>
    <xf numFmtId="0" fontId="2" fillId="6" borderId="28" xfId="0" applyFont="1" applyFill="1" applyBorder="1" applyAlignment="1">
      <alignment horizontal="left" vertical="center" wrapText="1"/>
    </xf>
    <xf numFmtId="0" fontId="2" fillId="6" borderId="29" xfId="0" applyFont="1" applyFill="1" applyBorder="1" applyAlignment="1">
      <alignment horizontal="center" vertical="center" wrapText="1"/>
    </xf>
    <xf numFmtId="0" fontId="2" fillId="6" borderId="30" xfId="0" applyFont="1" applyFill="1" applyBorder="1" applyAlignment="1">
      <alignment horizontal="center" vertical="center" wrapText="1"/>
    </xf>
    <xf numFmtId="0" fontId="0" fillId="0" borderId="10" xfId="0" applyBorder="1" applyAlignment="1">
      <alignment wrapText="1"/>
    </xf>
    <xf numFmtId="1" fontId="0" fillId="0" borderId="10" xfId="0" applyNumberFormat="1" applyBorder="1"/>
    <xf numFmtId="0" fontId="4" fillId="0" borderId="15" xfId="0" applyFont="1" applyBorder="1"/>
    <xf numFmtId="1" fontId="0" fillId="0" borderId="5" xfId="0" applyNumberFormat="1" applyBorder="1"/>
    <xf numFmtId="0" fontId="0" fillId="0" borderId="12" xfId="0" applyBorder="1" applyAlignment="1">
      <alignment wrapText="1"/>
    </xf>
    <xf numFmtId="0" fontId="0" fillId="0" borderId="21" xfId="0" applyBorder="1" applyAlignment="1">
      <alignment wrapText="1"/>
    </xf>
    <xf numFmtId="0" fontId="0" fillId="0" borderId="4" xfId="0"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18" xfId="0" applyBorder="1" applyAlignment="1">
      <alignment vertical="center" wrapText="1"/>
    </xf>
    <xf numFmtId="0" fontId="0" fillId="0" borderId="19" xfId="0" applyBorder="1"/>
    <xf numFmtId="0" fontId="0" fillId="0" borderId="20" xfId="0" applyBorder="1" applyAlignment="1">
      <alignment wrapText="1"/>
    </xf>
    <xf numFmtId="0" fontId="2" fillId="6" borderId="31" xfId="0" applyFont="1" applyFill="1" applyBorder="1" applyAlignment="1">
      <alignment horizontal="center" vertical="center" wrapText="1"/>
    </xf>
    <xf numFmtId="1" fontId="0" fillId="7" borderId="3" xfId="0" applyNumberFormat="1" applyFill="1" applyBorder="1"/>
    <xf numFmtId="1" fontId="0" fillId="7" borderId="5" xfId="0" applyNumberFormat="1" applyFill="1" applyBorder="1"/>
    <xf numFmtId="1" fontId="0" fillId="3" borderId="6" xfId="0" applyNumberFormat="1" applyFill="1" applyBorder="1"/>
    <xf numFmtId="166" fontId="0" fillId="0" borderId="5" xfId="0" applyNumberFormat="1" applyBorder="1"/>
    <xf numFmtId="166" fontId="0" fillId="0" borderId="3" xfId="0" applyNumberFormat="1" applyBorder="1"/>
    <xf numFmtId="1" fontId="0" fillId="10" borderId="10" xfId="0" applyNumberFormat="1" applyFill="1" applyBorder="1"/>
    <xf numFmtId="9" fontId="0" fillId="10" borderId="5" xfId="2" applyFont="1" applyFill="1" applyBorder="1"/>
    <xf numFmtId="9" fontId="0" fillId="10" borderId="10" xfId="2" applyFont="1" applyFill="1" applyBorder="1"/>
    <xf numFmtId="166" fontId="0" fillId="0" borderId="22" xfId="0" applyNumberFormat="1" applyBorder="1"/>
    <xf numFmtId="1" fontId="0" fillId="7" borderId="22" xfId="0" applyNumberFormat="1" applyFill="1" applyBorder="1"/>
    <xf numFmtId="1" fontId="0" fillId="3" borderId="19" xfId="0" applyNumberFormat="1" applyFill="1" applyBorder="1"/>
    <xf numFmtId="166" fontId="0" fillId="0" borderId="19" xfId="0" applyNumberFormat="1" applyBorder="1"/>
    <xf numFmtId="0" fontId="0" fillId="0" borderId="5" xfId="0" applyBorder="1" applyAlignment="1">
      <alignment wrapText="1"/>
    </xf>
    <xf numFmtId="0" fontId="0" fillId="0" borderId="20" xfId="0" applyBorder="1" applyAlignment="1">
      <alignment vertical="top" wrapText="1"/>
    </xf>
    <xf numFmtId="0" fontId="5" fillId="0" borderId="18" xfId="0" applyFont="1" applyBorder="1" applyAlignment="1">
      <alignment wrapText="1"/>
    </xf>
    <xf numFmtId="10" fontId="0" fillId="7" borderId="19" xfId="2" applyNumberFormat="1" applyFont="1" applyFill="1" applyBorder="1" applyAlignment="1">
      <alignment horizontal="right" vertical="center"/>
    </xf>
    <xf numFmtId="44" fontId="0" fillId="3" borderId="5" xfId="1" applyFont="1" applyFill="1" applyBorder="1"/>
    <xf numFmtId="44" fontId="0" fillId="3" borderId="3" xfId="1" applyFont="1" applyFill="1" applyBorder="1"/>
    <xf numFmtId="44" fontId="0" fillId="3" borderId="10" xfId="1" applyFont="1" applyFill="1" applyBorder="1"/>
    <xf numFmtId="44" fontId="0" fillId="3" borderId="13" xfId="1" applyFont="1" applyFill="1" applyBorder="1"/>
    <xf numFmtId="44" fontId="0" fillId="3" borderId="22" xfId="1" applyFont="1" applyFill="1" applyBorder="1"/>
    <xf numFmtId="1" fontId="0" fillId="7" borderId="19" xfId="2" applyNumberFormat="1" applyFont="1" applyFill="1" applyBorder="1" applyAlignment="1">
      <alignment horizontal="right" vertical="center"/>
    </xf>
    <xf numFmtId="44" fontId="0" fillId="9" borderId="3" xfId="1" applyFont="1" applyFill="1" applyBorder="1"/>
    <xf numFmtId="44" fontId="0" fillId="9" borderId="5" xfId="1" applyFont="1" applyFill="1" applyBorder="1"/>
    <xf numFmtId="0" fontId="0" fillId="0" borderId="19" xfId="0" applyBorder="1" applyAlignment="1">
      <alignment wrapText="1"/>
    </xf>
    <xf numFmtId="0" fontId="0" fillId="0" borderId="44" xfId="0" applyBorder="1" applyAlignment="1">
      <alignment wrapText="1"/>
    </xf>
    <xf numFmtId="10" fontId="0" fillId="0" borderId="5" xfId="2" applyNumberFormat="1" applyFont="1" applyBorder="1"/>
    <xf numFmtId="0" fontId="2" fillId="13" borderId="18" xfId="0" applyFont="1" applyFill="1" applyBorder="1" applyAlignment="1">
      <alignment horizontal="left" vertical="center" wrapText="1"/>
    </xf>
    <xf numFmtId="0" fontId="2" fillId="13" borderId="28" xfId="0" applyFont="1" applyFill="1" applyBorder="1" applyAlignment="1">
      <alignment horizontal="left" vertical="center" wrapText="1"/>
    </xf>
    <xf numFmtId="0" fontId="2" fillId="13" borderId="29" xfId="0" applyFont="1" applyFill="1" applyBorder="1" applyAlignment="1">
      <alignment horizontal="center" vertical="center" wrapText="1"/>
    </xf>
    <xf numFmtId="0" fontId="2" fillId="13" borderId="30" xfId="0" applyFont="1" applyFill="1" applyBorder="1" applyAlignment="1">
      <alignment horizontal="center" vertical="center" wrapText="1"/>
    </xf>
    <xf numFmtId="0" fontId="0" fillId="0" borderId="29" xfId="0" applyBorder="1"/>
    <xf numFmtId="44" fontId="0" fillId="9" borderId="22" xfId="1" applyFont="1" applyFill="1" applyBorder="1"/>
    <xf numFmtId="0" fontId="1" fillId="12" borderId="45" xfId="0" applyFont="1" applyFill="1" applyBorder="1"/>
    <xf numFmtId="0" fontId="1" fillId="12" borderId="46" xfId="0" applyFont="1" applyFill="1" applyBorder="1"/>
    <xf numFmtId="0" fontId="1" fillId="12" borderId="47" xfId="0" applyFont="1" applyFill="1" applyBorder="1"/>
    <xf numFmtId="0" fontId="2" fillId="13" borderId="48" xfId="0" applyFont="1" applyFill="1" applyBorder="1" applyAlignment="1">
      <alignment vertical="top" wrapText="1"/>
    </xf>
    <xf numFmtId="0" fontId="2" fillId="13" borderId="49" xfId="0" applyFont="1" applyFill="1" applyBorder="1" applyAlignment="1">
      <alignment vertical="top" wrapText="1"/>
    </xf>
    <xf numFmtId="0" fontId="2" fillId="13" borderId="50" xfId="0" applyFont="1" applyFill="1" applyBorder="1" applyAlignment="1">
      <alignment vertical="top" wrapText="1"/>
    </xf>
    <xf numFmtId="0" fontId="0" fillId="3" borderId="3" xfId="0" applyFill="1" applyBorder="1" applyAlignment="1">
      <alignment vertical="top" wrapText="1"/>
    </xf>
    <xf numFmtId="167" fontId="0" fillId="3" borderId="3" xfId="0" applyNumberFormat="1" applyFill="1" applyBorder="1" applyAlignment="1">
      <alignment vertical="top" wrapText="1"/>
    </xf>
    <xf numFmtId="0" fontId="0" fillId="3" borderId="5" xfId="0" applyFill="1" applyBorder="1" applyAlignment="1">
      <alignment vertical="top" wrapText="1"/>
    </xf>
    <xf numFmtId="167" fontId="0" fillId="3" borderId="5" xfId="0" applyNumberFormat="1" applyFill="1" applyBorder="1" applyAlignment="1">
      <alignment vertical="top" wrapText="1"/>
    </xf>
    <xf numFmtId="0" fontId="0" fillId="3" borderId="10" xfId="0" applyFill="1" applyBorder="1" applyAlignment="1">
      <alignment vertical="top" wrapText="1"/>
    </xf>
    <xf numFmtId="167" fontId="0" fillId="3" borderId="10" xfId="0" applyNumberFormat="1" applyFill="1" applyBorder="1" applyAlignment="1">
      <alignment vertical="top" wrapText="1"/>
    </xf>
    <xf numFmtId="44" fontId="0" fillId="3" borderId="3" xfId="1" applyFont="1" applyFill="1" applyBorder="1" applyAlignment="1">
      <alignment vertical="top"/>
    </xf>
    <xf numFmtId="10" fontId="0" fillId="3" borderId="3" xfId="0" applyNumberFormat="1" applyFill="1" applyBorder="1" applyAlignment="1">
      <alignment vertical="top"/>
    </xf>
    <xf numFmtId="0" fontId="1" fillId="12" borderId="4" xfId="0" applyFont="1" applyFill="1" applyBorder="1"/>
    <xf numFmtId="0" fontId="1" fillId="12" borderId="5" xfId="0" applyFont="1" applyFill="1" applyBorder="1"/>
    <xf numFmtId="0" fontId="0" fillId="0" borderId="23" xfId="0" applyBorder="1" applyAlignment="1">
      <alignment vertical="top" wrapText="1"/>
    </xf>
    <xf numFmtId="44" fontId="0" fillId="11" borderId="4" xfId="1" applyFont="1" applyFill="1" applyBorder="1" applyAlignment="1">
      <alignment vertical="top" wrapText="1"/>
    </xf>
    <xf numFmtId="44" fontId="0" fillId="11" borderId="7" xfId="1" applyFont="1" applyFill="1" applyBorder="1" applyAlignment="1">
      <alignment vertical="top" wrapText="1"/>
    </xf>
    <xf numFmtId="44" fontId="0" fillId="11" borderId="9" xfId="1" applyFont="1" applyFill="1" applyBorder="1" applyAlignment="1">
      <alignment vertical="top" wrapText="1"/>
    </xf>
    <xf numFmtId="1" fontId="0" fillId="7" borderId="29" xfId="2" applyNumberFormat="1" applyFont="1" applyFill="1" applyBorder="1" applyAlignment="1">
      <alignment horizontal="right" vertical="center"/>
    </xf>
    <xf numFmtId="44" fontId="0" fillId="9" borderId="52" xfId="1" applyFont="1" applyFill="1" applyBorder="1" applyAlignment="1">
      <alignment horizontal="right" vertical="center"/>
    </xf>
    <xf numFmtId="44" fontId="0" fillId="9" borderId="53" xfId="1" applyFont="1" applyFill="1" applyBorder="1" applyAlignment="1">
      <alignment horizontal="right" vertical="center"/>
    </xf>
    <xf numFmtId="1" fontId="0" fillId="11" borderId="13" xfId="0" applyNumberFormat="1" applyFill="1" applyBorder="1"/>
    <xf numFmtId="1" fontId="0" fillId="11" borderId="3" xfId="0" applyNumberFormat="1" applyFill="1" applyBorder="1"/>
    <xf numFmtId="1" fontId="0" fillId="11" borderId="0" xfId="0" applyNumberFormat="1" applyFill="1"/>
    <xf numFmtId="9" fontId="0" fillId="0" borderId="14" xfId="2" applyFont="1" applyBorder="1"/>
    <xf numFmtId="9" fontId="4" fillId="0" borderId="20" xfId="0" applyNumberFormat="1" applyFont="1" applyBorder="1"/>
    <xf numFmtId="0" fontId="4" fillId="3" borderId="19" xfId="0" applyFont="1" applyFill="1" applyBorder="1" applyAlignment="1">
      <alignment horizontal="right" vertical="top" wrapText="1"/>
    </xf>
    <xf numFmtId="44" fontId="0" fillId="11" borderId="3" xfId="1" applyFont="1" applyFill="1" applyBorder="1"/>
    <xf numFmtId="9" fontId="0" fillId="0" borderId="20" xfId="0" applyNumberFormat="1" applyBorder="1"/>
    <xf numFmtId="0" fontId="0" fillId="0" borderId="16" xfId="0" applyBorder="1" applyAlignment="1">
      <alignment wrapText="1"/>
    </xf>
    <xf numFmtId="1" fontId="2" fillId="0" borderId="16" xfId="0" applyNumberFormat="1" applyFont="1" applyBorder="1" applyAlignment="1">
      <alignment horizontal="right" wrapText="1"/>
    </xf>
    <xf numFmtId="44" fontId="4" fillId="0" borderId="16" xfId="1" applyFont="1" applyBorder="1"/>
    <xf numFmtId="9" fontId="2" fillId="0" borderId="16" xfId="2" applyFont="1" applyBorder="1" applyAlignment="1">
      <alignment horizontal="right" wrapText="1"/>
    </xf>
    <xf numFmtId="44" fontId="13" fillId="9" borderId="16" xfId="1" applyFont="1" applyFill="1" applyBorder="1"/>
    <xf numFmtId="44" fontId="18" fillId="0" borderId="17" xfId="0" applyNumberFormat="1" applyFont="1" applyBorder="1" applyAlignment="1">
      <alignment horizontal="right" vertical="center" wrapText="1"/>
    </xf>
    <xf numFmtId="44" fontId="0" fillId="11" borderId="10" xfId="1" applyFont="1" applyFill="1" applyBorder="1"/>
    <xf numFmtId="44" fontId="0" fillId="9" borderId="10" xfId="1" applyFont="1" applyFill="1" applyBorder="1"/>
    <xf numFmtId="0" fontId="0" fillId="0" borderId="18" xfId="0" applyBorder="1" applyAlignment="1">
      <alignment wrapText="1"/>
    </xf>
    <xf numFmtId="44" fontId="4" fillId="3" borderId="19" xfId="1" applyFont="1" applyFill="1" applyBorder="1"/>
    <xf numFmtId="44" fontId="3" fillId="3" borderId="19" xfId="1" applyFont="1" applyFill="1" applyBorder="1"/>
    <xf numFmtId="10" fontId="13" fillId="0" borderId="22" xfId="2" applyNumberFormat="1" applyFont="1" applyBorder="1"/>
    <xf numFmtId="44" fontId="0" fillId="3" borderId="19" xfId="1" applyFont="1" applyFill="1" applyBorder="1"/>
    <xf numFmtId="168" fontId="0" fillId="0" borderId="19" xfId="2" applyNumberFormat="1" applyFont="1" applyBorder="1"/>
    <xf numFmtId="0" fontId="4" fillId="0" borderId="20" xfId="0" applyFont="1" applyBorder="1" applyAlignment="1">
      <alignment wrapText="1"/>
    </xf>
    <xf numFmtId="0" fontId="9" fillId="0" borderId="18" xfId="0" applyFont="1" applyBorder="1"/>
    <xf numFmtId="44" fontId="0" fillId="9" borderId="19" xfId="0" applyNumberFormat="1" applyFill="1" applyBorder="1"/>
    <xf numFmtId="10" fontId="13" fillId="0" borderId="19" xfId="2" applyNumberFormat="1" applyFont="1" applyBorder="1"/>
    <xf numFmtId="0" fontId="0" fillId="0" borderId="37" xfId="0"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167" fontId="0" fillId="3" borderId="6" xfId="0" applyNumberFormat="1" applyFill="1" applyBorder="1" applyAlignment="1">
      <alignment vertical="top" wrapText="1"/>
    </xf>
    <xf numFmtId="167" fontId="0" fillId="3" borderId="8" xfId="0" applyNumberFormat="1" applyFill="1" applyBorder="1" applyAlignment="1">
      <alignment vertical="top" wrapText="1"/>
    </xf>
    <xf numFmtId="167" fontId="0" fillId="3" borderId="11" xfId="0" applyNumberFormat="1" applyFill="1" applyBorder="1" applyAlignment="1">
      <alignment vertical="top" wrapText="1"/>
    </xf>
    <xf numFmtId="0" fontId="1" fillId="5" borderId="54" xfId="0" applyFont="1" applyFill="1" applyBorder="1" applyAlignment="1">
      <alignment horizontal="center" vertical="center"/>
    </xf>
    <xf numFmtId="9" fontId="4" fillId="0" borderId="17" xfId="0" applyNumberFormat="1" applyFont="1" applyBorder="1"/>
    <xf numFmtId="0" fontId="8" fillId="0" borderId="18" xfId="0" applyFont="1" applyBorder="1" applyAlignment="1">
      <alignment vertical="top" wrapText="1"/>
    </xf>
    <xf numFmtId="0" fontId="4" fillId="0" borderId="18" xfId="0" applyFont="1" applyBorder="1" applyAlignment="1">
      <alignment wrapText="1"/>
    </xf>
    <xf numFmtId="0" fontId="4" fillId="0" borderId="20" xfId="0" applyFont="1" applyBorder="1" applyAlignment="1">
      <alignment vertical="top" wrapText="1"/>
    </xf>
    <xf numFmtId="0" fontId="2" fillId="0" borderId="18" xfId="0" applyFont="1" applyBorder="1" applyAlignment="1">
      <alignment wrapText="1"/>
    </xf>
    <xf numFmtId="1" fontId="0" fillId="11" borderId="22" xfId="0" applyNumberFormat="1" applyFill="1" applyBorder="1"/>
    <xf numFmtId="0" fontId="8" fillId="0" borderId="5" xfId="0" applyFont="1" applyBorder="1" applyAlignment="1">
      <alignment horizontal="left" vertical="center" wrapText="1"/>
    </xf>
    <xf numFmtId="0" fontId="8" fillId="0" borderId="3" xfId="0" applyFont="1" applyBorder="1" applyAlignment="1">
      <alignment horizontal="left" vertical="center" wrapText="1"/>
    </xf>
    <xf numFmtId="0" fontId="0" fillId="0" borderId="28" xfId="0" applyBorder="1" applyAlignment="1">
      <alignment vertical="center" wrapText="1"/>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2" fillId="6" borderId="36" xfId="0" applyFont="1" applyFill="1" applyBorder="1" applyAlignment="1">
      <alignment horizontal="center" vertical="center" wrapText="1"/>
    </xf>
    <xf numFmtId="1" fontId="8" fillId="0" borderId="5" xfId="0" applyNumberFormat="1" applyFont="1" applyBorder="1" applyAlignment="1">
      <alignment horizontal="right" wrapText="1"/>
    </xf>
    <xf numFmtId="44" fontId="8" fillId="11" borderId="5" xfId="1" applyFont="1" applyFill="1" applyBorder="1" applyAlignment="1">
      <alignment horizontal="right" wrapText="1"/>
    </xf>
    <xf numFmtId="1" fontId="8" fillId="0" borderId="3" xfId="0" applyNumberFormat="1" applyFont="1" applyBorder="1" applyAlignment="1">
      <alignment horizontal="right" wrapText="1"/>
    </xf>
    <xf numFmtId="1" fontId="8" fillId="0" borderId="10" xfId="0" applyNumberFormat="1" applyFont="1" applyBorder="1" applyAlignment="1">
      <alignment horizontal="right" wrapText="1"/>
    </xf>
    <xf numFmtId="0" fontId="8" fillId="0" borderId="9" xfId="0" applyFont="1" applyBorder="1" applyAlignment="1">
      <alignment horizontal="left" vertical="center" wrapText="1"/>
    </xf>
    <xf numFmtId="0" fontId="1" fillId="12" borderId="6" xfId="0" applyFont="1" applyFill="1" applyBorder="1"/>
    <xf numFmtId="0" fontId="8" fillId="0" borderId="7" xfId="0" applyFont="1" applyBorder="1" applyAlignment="1">
      <alignment vertical="top" wrapText="1"/>
    </xf>
    <xf numFmtId="0" fontId="8" fillId="0" borderId="21" xfId="0" applyFont="1" applyBorder="1" applyAlignment="1">
      <alignment vertical="top" wrapText="1"/>
    </xf>
    <xf numFmtId="44" fontId="8" fillId="0" borderId="32" xfId="0" applyNumberFormat="1" applyFont="1" applyBorder="1" applyAlignment="1">
      <alignment horizontal="right" vertical="center" wrapText="1"/>
    </xf>
    <xf numFmtId="44" fontId="8" fillId="0" borderId="57" xfId="0" applyNumberFormat="1" applyFont="1" applyBorder="1" applyAlignment="1">
      <alignment horizontal="right" vertical="center" wrapText="1"/>
    </xf>
    <xf numFmtId="44" fontId="8" fillId="0" borderId="33" xfId="0" applyNumberFormat="1" applyFont="1" applyBorder="1" applyAlignment="1">
      <alignment horizontal="right" vertical="center" wrapText="1"/>
    </xf>
    <xf numFmtId="44" fontId="2" fillId="0" borderId="58" xfId="0" applyNumberFormat="1" applyFont="1" applyBorder="1" applyAlignment="1">
      <alignment horizontal="right" vertical="center" wrapText="1"/>
    </xf>
    <xf numFmtId="44" fontId="2" fillId="0" borderId="59" xfId="0" applyNumberFormat="1" applyFont="1" applyBorder="1" applyAlignment="1">
      <alignment horizontal="right" vertical="center" wrapText="1"/>
    </xf>
    <xf numFmtId="44" fontId="30" fillId="0" borderId="60" xfId="0" applyNumberFormat="1" applyFont="1" applyBorder="1" applyAlignment="1">
      <alignment horizontal="right" vertical="center" wrapText="1"/>
    </xf>
    <xf numFmtId="44" fontId="0" fillId="0" borderId="32" xfId="0" applyNumberFormat="1" applyBorder="1"/>
    <xf numFmtId="44" fontId="0" fillId="0" borderId="57" xfId="0" applyNumberFormat="1" applyBorder="1"/>
    <xf numFmtId="44" fontId="0" fillId="0" borderId="33" xfId="0" applyNumberFormat="1" applyBorder="1"/>
    <xf numFmtId="44" fontId="4" fillId="0" borderId="61" xfId="0" applyNumberFormat="1" applyFont="1" applyBorder="1" applyAlignment="1">
      <alignment wrapText="1"/>
    </xf>
    <xf numFmtId="44" fontId="4" fillId="0" borderId="62" xfId="0" applyNumberFormat="1" applyFont="1" applyBorder="1" applyAlignment="1">
      <alignment wrapText="1"/>
    </xf>
    <xf numFmtId="44" fontId="4" fillId="0" borderId="63" xfId="0" applyNumberFormat="1" applyFont="1" applyBorder="1" applyAlignment="1">
      <alignment wrapText="1"/>
    </xf>
    <xf numFmtId="9" fontId="0" fillId="0" borderId="64" xfId="2" applyFont="1" applyBorder="1"/>
    <xf numFmtId="44" fontId="4" fillId="0" borderId="36" xfId="0" applyNumberFormat="1" applyFont="1" applyBorder="1" applyAlignment="1">
      <alignment wrapText="1"/>
    </xf>
    <xf numFmtId="44" fontId="4" fillId="0" borderId="58" xfId="0" applyNumberFormat="1" applyFont="1" applyBorder="1" applyAlignment="1">
      <alignment wrapText="1"/>
    </xf>
    <xf numFmtId="44" fontId="4" fillId="0" borderId="59" xfId="0" applyNumberFormat="1" applyFont="1" applyBorder="1" applyAlignment="1">
      <alignment wrapText="1"/>
    </xf>
    <xf numFmtId="44" fontId="4" fillId="0" borderId="60" xfId="0" applyNumberFormat="1" applyFont="1" applyBorder="1" applyAlignment="1">
      <alignment wrapText="1"/>
    </xf>
    <xf numFmtId="0" fontId="0" fillId="16" borderId="0" xfId="0" applyFill="1"/>
    <xf numFmtId="10" fontId="13" fillId="16" borderId="0" xfId="2" applyNumberFormat="1" applyFont="1" applyFill="1"/>
    <xf numFmtId="167" fontId="0" fillId="16" borderId="0" xfId="0" applyNumberFormat="1" applyFill="1" applyAlignment="1">
      <alignment vertical="top" wrapText="1"/>
    </xf>
    <xf numFmtId="10" fontId="0" fillId="16" borderId="0" xfId="0" applyNumberFormat="1" applyFill="1" applyAlignment="1">
      <alignment vertical="top" wrapText="1"/>
    </xf>
    <xf numFmtId="0" fontId="0" fillId="16" borderId="0" xfId="0" applyFill="1" applyAlignment="1">
      <alignment vertical="top" wrapText="1"/>
    </xf>
    <xf numFmtId="0" fontId="4" fillId="16" borderId="0" xfId="0" applyFont="1" applyFill="1"/>
    <xf numFmtId="0" fontId="1" fillId="16" borderId="51" xfId="0" applyFont="1" applyFill="1" applyBorder="1"/>
    <xf numFmtId="44" fontId="0" fillId="16" borderId="0" xfId="0" applyNumberFormat="1" applyFill="1"/>
    <xf numFmtId="0" fontId="4" fillId="16" borderId="0" xfId="0" applyFont="1" applyFill="1" applyAlignment="1">
      <alignment wrapText="1"/>
    </xf>
    <xf numFmtId="44" fontId="10" fillId="16" borderId="0" xfId="1" applyFont="1" applyFill="1"/>
    <xf numFmtId="0" fontId="2" fillId="16" borderId="0" xfId="0" applyFont="1" applyFill="1" applyAlignment="1">
      <alignment horizontal="center" vertical="center" wrapText="1"/>
    </xf>
    <xf numFmtId="165" fontId="0" fillId="16" borderId="0" xfId="0" applyNumberFormat="1" applyFill="1"/>
    <xf numFmtId="4" fontId="4" fillId="16" borderId="0" xfId="0" applyNumberFormat="1" applyFont="1" applyFill="1"/>
    <xf numFmtId="166" fontId="0" fillId="16" borderId="0" xfId="2" applyNumberFormat="1" applyFont="1" applyFill="1"/>
    <xf numFmtId="9" fontId="0" fillId="16" borderId="0" xfId="0" applyNumberFormat="1" applyFill="1"/>
    <xf numFmtId="1" fontId="0" fillId="16" borderId="0" xfId="0" applyNumberFormat="1" applyFill="1"/>
    <xf numFmtId="0" fontId="0" fillId="16" borderId="24" xfId="0" applyFill="1" applyBorder="1"/>
    <xf numFmtId="0" fontId="0" fillId="16" borderId="2" xfId="0" applyFill="1" applyBorder="1"/>
    <xf numFmtId="0" fontId="0" fillId="16" borderId="1" xfId="0" applyFill="1" applyBorder="1"/>
    <xf numFmtId="0" fontId="0" fillId="16" borderId="0" xfId="0" applyFill="1" applyAlignment="1">
      <alignment wrapText="1"/>
    </xf>
    <xf numFmtId="44" fontId="2" fillId="8" borderId="5" xfId="1" applyFont="1" applyFill="1" applyBorder="1" applyAlignment="1" applyProtection="1">
      <alignment horizontal="right" wrapText="1"/>
      <protection locked="0"/>
    </xf>
    <xf numFmtId="44" fontId="2" fillId="8" borderId="3" xfId="1" applyFont="1" applyFill="1" applyBorder="1" applyAlignment="1" applyProtection="1">
      <alignment horizontal="right" wrapText="1"/>
      <protection locked="0"/>
    </xf>
    <xf numFmtId="44" fontId="2" fillId="8" borderId="10" xfId="1" applyFont="1" applyFill="1" applyBorder="1" applyAlignment="1" applyProtection="1">
      <alignment horizontal="right" wrapText="1"/>
      <protection locked="0"/>
    </xf>
    <xf numFmtId="10" fontId="4" fillId="2" borderId="5" xfId="0" applyNumberFormat="1" applyFont="1" applyFill="1" applyBorder="1" applyAlignment="1" applyProtection="1">
      <alignment wrapText="1"/>
      <protection locked="0"/>
    </xf>
    <xf numFmtId="10" fontId="4" fillId="2" borderId="3" xfId="0" applyNumberFormat="1" applyFont="1" applyFill="1" applyBorder="1" applyAlignment="1" applyProtection="1">
      <alignment wrapText="1"/>
      <protection locked="0"/>
    </xf>
    <xf numFmtId="10" fontId="4" fillId="2" borderId="10" xfId="0" applyNumberFormat="1" applyFont="1" applyFill="1" applyBorder="1" applyAlignment="1" applyProtection="1">
      <alignment wrapText="1"/>
      <protection locked="0"/>
    </xf>
    <xf numFmtId="44" fontId="4" fillId="2" borderId="13" xfId="1" applyFont="1" applyFill="1" applyBorder="1" applyProtection="1">
      <protection locked="0"/>
    </xf>
    <xf numFmtId="44" fontId="4" fillId="2" borderId="22" xfId="1" applyFont="1" applyFill="1" applyBorder="1" applyProtection="1">
      <protection locked="0"/>
    </xf>
    <xf numFmtId="10" fontId="4" fillId="8" borderId="22" xfId="2" applyNumberFormat="1" applyFont="1" applyFill="1" applyBorder="1" applyProtection="1">
      <protection locked="0"/>
    </xf>
    <xf numFmtId="10" fontId="4" fillId="2" borderId="5" xfId="0" applyNumberFormat="1" applyFont="1" applyFill="1" applyBorder="1" applyAlignment="1" applyProtection="1">
      <alignment vertical="top" wrapText="1"/>
      <protection locked="0"/>
    </xf>
    <xf numFmtId="10" fontId="4" fillId="2" borderId="3" xfId="0" applyNumberFormat="1" applyFont="1" applyFill="1" applyBorder="1" applyAlignment="1" applyProtection="1">
      <alignment vertical="top" wrapText="1"/>
      <protection locked="0"/>
    </xf>
    <xf numFmtId="10" fontId="4" fillId="2" borderId="10" xfId="0" applyNumberFormat="1" applyFont="1" applyFill="1" applyBorder="1" applyAlignment="1" applyProtection="1">
      <alignment vertical="top" wrapText="1"/>
      <protection locked="0"/>
    </xf>
    <xf numFmtId="0" fontId="4" fillId="17" borderId="15" xfId="0" applyFont="1" applyFill="1" applyBorder="1"/>
    <xf numFmtId="0" fontId="4" fillId="17" borderId="16" xfId="0" applyFont="1" applyFill="1" applyBorder="1" applyAlignment="1">
      <alignment wrapText="1"/>
    </xf>
    <xf numFmtId="0" fontId="4" fillId="17" borderId="16" xfId="0" applyFont="1" applyFill="1" applyBorder="1"/>
    <xf numFmtId="44" fontId="10" fillId="17" borderId="17" xfId="0" applyNumberFormat="1" applyFont="1" applyFill="1" applyBorder="1"/>
    <xf numFmtId="0" fontId="4" fillId="17" borderId="18" xfId="0" applyFont="1" applyFill="1" applyBorder="1" applyAlignment="1">
      <alignment wrapText="1"/>
    </xf>
    <xf numFmtId="0" fontId="4" fillId="17" borderId="19" xfId="0" applyFont="1" applyFill="1" applyBorder="1" applyAlignment="1">
      <alignment wrapText="1"/>
    </xf>
    <xf numFmtId="0" fontId="4" fillId="17" borderId="19" xfId="0" applyFont="1" applyFill="1" applyBorder="1"/>
    <xf numFmtId="44" fontId="10" fillId="17" borderId="19" xfId="1" applyFont="1" applyFill="1" applyBorder="1"/>
    <xf numFmtId="9" fontId="4" fillId="17" borderId="20" xfId="0" applyNumberFormat="1" applyFont="1" applyFill="1" applyBorder="1"/>
    <xf numFmtId="0" fontId="10" fillId="17" borderId="28" xfId="0" applyFont="1" applyFill="1" applyBorder="1" applyAlignment="1">
      <alignment wrapText="1"/>
    </xf>
    <xf numFmtId="0" fontId="10" fillId="17" borderId="29" xfId="0" applyFont="1" applyFill="1" applyBorder="1" applyAlignment="1">
      <alignment wrapText="1"/>
    </xf>
    <xf numFmtId="44" fontId="31" fillId="17" borderId="29" xfId="0" applyNumberFormat="1" applyFont="1" applyFill="1" applyBorder="1" applyAlignment="1">
      <alignment wrapText="1"/>
    </xf>
    <xf numFmtId="0" fontId="7" fillId="17" borderId="29" xfId="0" applyFont="1" applyFill="1" applyBorder="1" applyAlignment="1">
      <alignment wrapText="1"/>
    </xf>
    <xf numFmtId="0" fontId="10" fillId="17" borderId="30" xfId="0" applyFont="1" applyFill="1" applyBorder="1" applyAlignment="1">
      <alignment wrapText="1"/>
    </xf>
    <xf numFmtId="0" fontId="10" fillId="17" borderId="18" xfId="0" applyFont="1" applyFill="1" applyBorder="1" applyAlignment="1">
      <alignment wrapText="1"/>
    </xf>
    <xf numFmtId="0" fontId="7" fillId="17" borderId="19" xfId="0" applyFont="1" applyFill="1" applyBorder="1" applyAlignment="1">
      <alignment wrapText="1"/>
    </xf>
    <xf numFmtId="0" fontId="10" fillId="17" borderId="20" xfId="0" applyFont="1" applyFill="1" applyBorder="1" applyAlignment="1">
      <alignment wrapText="1"/>
    </xf>
    <xf numFmtId="44" fontId="10" fillId="17" borderId="16" xfId="1" applyFont="1" applyFill="1" applyBorder="1"/>
    <xf numFmtId="168" fontId="31" fillId="17" borderId="19" xfId="2" applyNumberFormat="1" applyFont="1" applyFill="1" applyBorder="1" applyAlignment="1">
      <alignment wrapText="1"/>
    </xf>
    <xf numFmtId="0" fontId="24" fillId="16" borderId="0" xfId="0" applyFont="1" applyFill="1" applyAlignment="1">
      <alignment vertical="center"/>
    </xf>
    <xf numFmtId="0" fontId="26" fillId="16" borderId="0" xfId="0" applyFont="1" applyFill="1" applyAlignment="1">
      <alignment horizontal="left"/>
    </xf>
    <xf numFmtId="0" fontId="24" fillId="11" borderId="4" xfId="0" applyFont="1" applyFill="1" applyBorder="1" applyAlignment="1">
      <alignment vertical="center"/>
    </xf>
    <xf numFmtId="0" fontId="25" fillId="10" borderId="6" xfId="0" applyFont="1" applyFill="1" applyBorder="1" applyAlignment="1">
      <alignment horizontal="left" wrapText="1"/>
    </xf>
    <xf numFmtId="0" fontId="24" fillId="11" borderId="7" xfId="0" applyFont="1" applyFill="1" applyBorder="1" applyAlignment="1">
      <alignment vertical="center"/>
    </xf>
    <xf numFmtId="0" fontId="26" fillId="2" borderId="8" xfId="0" applyFont="1" applyFill="1" applyBorder="1" applyAlignment="1" applyProtection="1">
      <alignment horizontal="left"/>
      <protection locked="0"/>
    </xf>
    <xf numFmtId="0" fontId="26" fillId="2" borderId="8" xfId="3" applyNumberFormat="1" applyFont="1" applyFill="1" applyBorder="1" applyAlignment="1" applyProtection="1">
      <alignment horizontal="left"/>
      <protection locked="0"/>
    </xf>
    <xf numFmtId="0" fontId="24" fillId="11" borderId="9" xfId="0" applyFont="1" applyFill="1" applyBorder="1" applyAlignment="1">
      <alignment vertical="center"/>
    </xf>
    <xf numFmtId="0" fontId="26" fillId="2" borderId="11" xfId="0" applyFont="1" applyFill="1" applyBorder="1" applyAlignment="1" applyProtection="1">
      <alignment horizontal="left"/>
      <protection locked="0"/>
    </xf>
    <xf numFmtId="0" fontId="29" fillId="11" borderId="4" xfId="0" applyFont="1" applyFill="1" applyBorder="1" applyAlignment="1">
      <alignment vertical="center" wrapText="1"/>
    </xf>
    <xf numFmtId="0" fontId="27" fillId="10" borderId="6" xfId="0" applyFont="1" applyFill="1" applyBorder="1"/>
    <xf numFmtId="0" fontId="28" fillId="15" borderId="7" xfId="0" applyFont="1" applyFill="1" applyBorder="1" applyAlignment="1">
      <alignment vertical="center" wrapText="1"/>
    </xf>
    <xf numFmtId="0" fontId="0" fillId="15" borderId="8" xfId="0" applyFill="1" applyBorder="1"/>
    <xf numFmtId="0" fontId="24" fillId="11" borderId="7" xfId="0" applyFont="1" applyFill="1" applyBorder="1" applyAlignment="1">
      <alignment vertical="center" wrapText="1"/>
    </xf>
    <xf numFmtId="0" fontId="26" fillId="10" borderId="8" xfId="0" applyFont="1" applyFill="1" applyBorder="1"/>
    <xf numFmtId="0" fontId="24" fillId="14" borderId="7" xfId="0" applyFont="1" applyFill="1" applyBorder="1" applyAlignment="1">
      <alignment vertical="center" wrapText="1"/>
    </xf>
    <xf numFmtId="0" fontId="24" fillId="14" borderId="9" xfId="0" applyFont="1" applyFill="1" applyBorder="1" applyAlignment="1">
      <alignment vertical="center" wrapText="1"/>
    </xf>
    <xf numFmtId="0" fontId="26" fillId="10" borderId="11" xfId="0" applyFont="1" applyFill="1" applyBorder="1"/>
    <xf numFmtId="0" fontId="6" fillId="5" borderId="55" xfId="0" applyFont="1" applyFill="1" applyBorder="1" applyAlignment="1">
      <alignment horizontal="left" vertical="center"/>
    </xf>
    <xf numFmtId="0" fontId="7" fillId="5" borderId="56" xfId="0" applyFont="1" applyFill="1" applyBorder="1" applyAlignment="1">
      <alignment horizontal="left" vertical="center" wrapText="1"/>
    </xf>
    <xf numFmtId="0" fontId="12" fillId="5" borderId="25" xfId="0" applyFont="1" applyFill="1" applyBorder="1" applyAlignment="1">
      <alignment horizontal="left" vertical="center"/>
    </xf>
    <xf numFmtId="0" fontId="12" fillId="5" borderId="26" xfId="0" applyFont="1" applyFill="1" applyBorder="1" applyAlignment="1">
      <alignment horizontal="left" vertical="center"/>
    </xf>
    <xf numFmtId="0" fontId="12" fillId="5" borderId="27" xfId="0" applyFont="1" applyFill="1" applyBorder="1" applyAlignment="1">
      <alignment horizontal="left" vertical="center"/>
    </xf>
    <xf numFmtId="0" fontId="0" fillId="0" borderId="33" xfId="0" applyBorder="1" applyAlignment="1">
      <alignment horizontal="left"/>
    </xf>
    <xf numFmtId="0" fontId="0" fillId="0" borderId="43" xfId="0" applyBorder="1" applyAlignment="1">
      <alignment horizontal="left"/>
    </xf>
    <xf numFmtId="0" fontId="0" fillId="0" borderId="39" xfId="0" applyBorder="1" applyAlignment="1">
      <alignment horizontal="left"/>
    </xf>
    <xf numFmtId="0" fontId="0" fillId="0" borderId="31"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0" fontId="0" fillId="0" borderId="34" xfId="0" applyBorder="1" applyAlignment="1">
      <alignment horizontal="left" vertical="center" wrapText="1"/>
    </xf>
    <xf numFmtId="0" fontId="0" fillId="0" borderId="42" xfId="0" applyBorder="1" applyAlignment="1">
      <alignment horizontal="left" vertical="center" wrapText="1"/>
    </xf>
    <xf numFmtId="0" fontId="0" fillId="0" borderId="35" xfId="0" applyBorder="1" applyAlignment="1">
      <alignment horizontal="left" vertical="center" wrapText="1"/>
    </xf>
    <xf numFmtId="0" fontId="0" fillId="0" borderId="32" xfId="0" applyBorder="1" applyAlignment="1">
      <alignment horizontal="left" wrapText="1"/>
    </xf>
    <xf numFmtId="0" fontId="0" fillId="0" borderId="37" xfId="0" applyBorder="1" applyAlignment="1">
      <alignment horizontal="left" wrapText="1"/>
    </xf>
    <xf numFmtId="0" fontId="0" fillId="0" borderId="33" xfId="0" applyBorder="1" applyAlignment="1">
      <alignment horizontal="left" wrapText="1"/>
    </xf>
    <xf numFmtId="0" fontId="0" fillId="0" borderId="39" xfId="0" applyBorder="1" applyAlignment="1">
      <alignment horizontal="left"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cellXfs>
  <cellStyles count="4">
    <cellStyle name="Comma" xfId="3" builtinId="3"/>
    <cellStyle name="Currency" xfId="1" builtinId="4"/>
    <cellStyle name="Normal" xfId="0" builtinId="0"/>
    <cellStyle name="Per cent" xfId="2" builtinId="5"/>
  </cellStyles>
  <dxfs count="32">
    <dxf>
      <font>
        <color theme="9" tint="-0.499984740745262"/>
      </font>
      <fill>
        <patternFill>
          <bgColor theme="9" tint="0.59996337778862885"/>
        </patternFill>
      </fill>
    </dxf>
    <dxf>
      <font>
        <b/>
        <i val="0"/>
        <strike val="0"/>
        <u val="double"/>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9" tint="-0.499984740745262"/>
      </font>
      <fill>
        <patternFill>
          <bgColor theme="9" tint="0.59996337778862885"/>
        </patternFill>
      </fill>
    </dxf>
    <dxf>
      <font>
        <b/>
        <i val="0"/>
        <strike val="0"/>
        <u val="double"/>
        <color rgb="FF9C0006"/>
      </font>
      <fill>
        <patternFill>
          <bgColor rgb="FFFFC7CE"/>
        </patternFill>
      </fill>
    </dxf>
    <dxf>
      <font>
        <b/>
        <i val="0"/>
        <strike val="0"/>
        <u val="double"/>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u val="double"/>
        <color rgb="FF9C0006"/>
      </font>
      <fill>
        <patternFill>
          <bgColor rgb="FFFFC7CE"/>
        </patternFill>
      </fill>
    </dxf>
    <dxf>
      <font>
        <color rgb="FF9C0006"/>
      </font>
      <fill>
        <patternFill>
          <bgColor rgb="FFFFC7CE"/>
        </patternFill>
      </fill>
    </dxf>
    <dxf>
      <font>
        <b/>
        <i val="0"/>
        <strike val="0"/>
        <u val="double"/>
        <color rgb="FF9C0006"/>
      </font>
      <fill>
        <patternFill>
          <bgColor rgb="FFFFC7CE"/>
        </patternFill>
      </fill>
    </dxf>
    <dxf>
      <font>
        <color rgb="FF9C0006"/>
      </font>
      <fill>
        <patternFill>
          <bgColor rgb="FFFFC7CE"/>
        </patternFill>
      </fill>
    </dxf>
    <dxf>
      <font>
        <b/>
        <i val="0"/>
        <strike val="0"/>
        <u val="double"/>
        <color rgb="FF9C0006"/>
      </font>
      <fill>
        <patternFill>
          <bgColor rgb="FFFFC7CE"/>
        </patternFill>
      </fill>
    </dxf>
    <dxf>
      <font>
        <color rgb="FF9C0006"/>
      </font>
      <fill>
        <patternFill>
          <bgColor rgb="FFFFC7CE"/>
        </patternFill>
      </fill>
    </dxf>
    <dxf>
      <font>
        <color theme="9" tint="-0.499984740745262"/>
      </font>
      <fill>
        <patternFill>
          <bgColor theme="9" tint="0.59996337778862885"/>
        </patternFill>
      </fill>
    </dxf>
    <dxf>
      <font>
        <b/>
        <i val="0"/>
        <strike val="0"/>
        <u val="double"/>
        <color rgb="FF9C0006"/>
      </font>
      <fill>
        <patternFill>
          <bgColor rgb="FFFFC7CE"/>
        </patternFill>
      </fill>
    </dxf>
    <dxf>
      <font>
        <b/>
        <i val="0"/>
        <strike val="0"/>
        <u val="double"/>
        <color rgb="FF9C0006"/>
      </font>
      <fill>
        <patternFill>
          <bgColor rgb="FFFFC7CE"/>
        </patternFill>
      </fill>
    </dxf>
    <dxf>
      <font>
        <color rgb="FF9C0006"/>
      </font>
      <fill>
        <patternFill>
          <bgColor rgb="FFFFC7CE"/>
        </patternFill>
      </fill>
    </dxf>
    <dxf>
      <font>
        <color theme="9" tint="-0.499984740745262"/>
      </font>
      <fill>
        <patternFill>
          <bgColor theme="9" tint="0.59996337778862885"/>
        </patternFill>
      </fill>
    </dxf>
    <dxf>
      <font>
        <b/>
        <i val="0"/>
        <strike val="0"/>
        <u val="double"/>
        <color rgb="FF9C0006"/>
      </font>
      <fill>
        <patternFill>
          <bgColor rgb="FFFFC7CE"/>
        </patternFill>
      </fill>
    </dxf>
    <dxf>
      <font>
        <color rgb="FF9C0006"/>
      </font>
      <fill>
        <patternFill>
          <bgColor rgb="FFFFC7CE"/>
        </patternFill>
      </fill>
    </dxf>
    <dxf>
      <font>
        <color theme="9" tint="-0.499984740745262"/>
      </font>
      <fill>
        <patternFill>
          <bgColor theme="9" tint="0.59996337778862885"/>
        </patternFill>
      </fill>
    </dxf>
    <dxf>
      <font>
        <b/>
        <i val="0"/>
        <strike val="0"/>
        <u val="double"/>
        <color rgb="FF9C0006"/>
      </font>
      <fill>
        <patternFill>
          <bgColor rgb="FFFFC7CE"/>
        </patternFill>
      </fill>
    </dxf>
    <dxf>
      <font>
        <b/>
        <i val="0"/>
        <strike val="0"/>
        <u val="double"/>
        <color rgb="FF9C0006"/>
      </font>
      <fill>
        <patternFill>
          <bgColor rgb="FFFFC7CE"/>
        </patternFill>
      </fill>
    </dxf>
    <dxf>
      <font>
        <color theme="9" tint="-0.499984740745262"/>
      </font>
      <fill>
        <patternFill>
          <bgColor theme="9" tint="0.59996337778862885"/>
        </patternFill>
      </fill>
    </dxf>
    <dxf>
      <font>
        <color rgb="FF9C0006"/>
      </font>
      <fill>
        <patternFill>
          <bgColor rgb="FFFFC7CE"/>
        </patternFill>
      </fill>
    </dxf>
    <dxf>
      <font>
        <color rgb="FF9C0006"/>
      </font>
      <fill>
        <patternFill>
          <bgColor rgb="FFFFC7CE"/>
        </patternFill>
      </fill>
    </dxf>
    <dxf>
      <font>
        <color theme="9" tint="-0.499984740745262"/>
      </font>
      <fill>
        <patternFill>
          <bgColor theme="9" tint="0.59996337778862885"/>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DAEEF3"/>
      <color rgb="FFD9EAF7"/>
      <color rgb="FFFFF2CC"/>
      <color rgb="FFE2F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95876-62A7-B44B-82ED-DE2D2613B09A}">
  <dimension ref="A1:B16"/>
  <sheetViews>
    <sheetView tabSelected="1" zoomScale="85" zoomScaleNormal="85" workbookViewId="0">
      <selection activeCell="C17" sqref="C17"/>
    </sheetView>
  </sheetViews>
  <sheetFormatPr defaultColWidth="8.81640625" defaultRowHeight="14.5"/>
  <cols>
    <col min="1" max="1" width="39.453125" style="173" customWidth="1"/>
    <col min="2" max="2" width="110" style="173" customWidth="1"/>
    <col min="3" max="6" width="8.81640625" style="173"/>
    <col min="7" max="7" width="75.26953125" style="173" customWidth="1"/>
    <col min="8" max="16384" width="8.81640625" style="173"/>
  </cols>
  <sheetData>
    <row r="1" spans="1:2" ht="27.75" customHeight="1" thickBot="1">
      <c r="A1" s="242" t="s">
        <v>0</v>
      </c>
      <c r="B1" s="243"/>
    </row>
    <row r="2" spans="1:2" ht="15.5">
      <c r="A2" s="226" t="s">
        <v>1</v>
      </c>
      <c r="B2" s="227" t="s">
        <v>2</v>
      </c>
    </row>
    <row r="3" spans="1:2" ht="15.5">
      <c r="A3" s="228" t="s">
        <v>3</v>
      </c>
      <c r="B3" s="229" t="s">
        <v>4</v>
      </c>
    </row>
    <row r="4" spans="1:2" ht="15.5">
      <c r="A4" s="228" t="s">
        <v>5</v>
      </c>
      <c r="B4" s="230" t="s">
        <v>6</v>
      </c>
    </row>
    <row r="5" spans="1:2" ht="16" thickBot="1">
      <c r="A5" s="231" t="s">
        <v>7</v>
      </c>
      <c r="B5" s="232" t="s">
        <v>8</v>
      </c>
    </row>
    <row r="6" spans="1:2" ht="15.5">
      <c r="A6" s="224"/>
      <c r="B6" s="225"/>
    </row>
    <row r="7" spans="1:2" ht="16" thickBot="1">
      <c r="A7" s="224"/>
      <c r="B7" s="225"/>
    </row>
    <row r="8" spans="1:2" ht="43.5">
      <c r="A8" s="233" t="s">
        <v>9</v>
      </c>
      <c r="B8" s="234" t="str">
        <f>IF(COUNTIF(B10:B16,"LET OP: INSCHRIJVING ONGELDIG")&gt;0,"LET OP: INSCHRIJVING ONGELDIG | DIRECTE KNOCK-OUT","Inschrijving kan ingediend worden")</f>
        <v>LET OP: INSCHRIJVING ONGELDIG | DIRECTE KNOCK-OUT</v>
      </c>
    </row>
    <row r="9" spans="1:2" ht="10" customHeight="1">
      <c r="A9" s="235"/>
      <c r="B9" s="236"/>
    </row>
    <row r="10" spans="1:2" ht="46.5">
      <c r="A10" s="237" t="s">
        <v>10</v>
      </c>
      <c r="B10" s="238" t="str">
        <f>IF(COUNTIF(Prijsinvulblad!H48:H55,"LET OP: Marge mag niet 0 euro of minder zijn.")&gt;0,"LET OP: INSCHRIJVING ONGELDIG","Onderdeel geldig voor inschrijving")</f>
        <v>LET OP: INSCHRIJVING ONGELDIG</v>
      </c>
    </row>
    <row r="11" spans="1:2" ht="31">
      <c r="A11" s="237" t="s">
        <v>11</v>
      </c>
      <c r="B11" s="238" t="str">
        <f>IF(COUNTIF(Prijsinvulblad!H63:H70,"LET OP: Kortingspercentage mag niet een negatief percentage zijn.")&gt;0,"LET OP: INSCHRIJVING ONGELDIG","Onderdeel geldig voor inschrijving")</f>
        <v>Onderdeel geldig voor inschrijving</v>
      </c>
    </row>
    <row r="12" spans="1:2" ht="46.5">
      <c r="A12" s="237" t="s">
        <v>12</v>
      </c>
      <c r="B12" s="238" t="str">
        <f>IF(COUNTIF(Prijsinvulblad!H77:H83,"LET OP: Bedrag/Percentage mag niet negatief zijn (mag niet onder 0 uitkomen).")&gt;0,"LET OP: INSCHRIJVING ONGELDIG","Onderdeel geldig voor inschrijving")</f>
        <v>Onderdeel geldig voor inschrijving</v>
      </c>
    </row>
    <row r="13" spans="1:2" ht="46.5">
      <c r="A13" s="237" t="s">
        <v>13</v>
      </c>
      <c r="B13" s="238" t="str">
        <f>IF(COUNTIF(Prijsinvulblad!I95,"LET OP: Bonuspercentages mogen alleen progressief zijn.")&gt;0,"LET OP: INSCHRIJVING ONGELDIG","Onderdeel geldig voor inschrijving")</f>
        <v>Onderdeel geldig voor inschrijving</v>
      </c>
    </row>
    <row r="14" spans="1:2" ht="46.5">
      <c r="A14" s="237" t="s">
        <v>14</v>
      </c>
      <c r="B14" s="238" t="str">
        <f>IF(COUNTIF(Prijsinvulblad!I96,"LET OP: Kortingspercentage mag niet een negatief percentage zijn.")&gt;0,"LET OP: INSCHRIJVING ONGELDIG","Onderdeel geldig voor inschrijving")</f>
        <v>Onderdeel geldig voor inschrijving</v>
      </c>
    </row>
    <row r="15" spans="1:2" ht="62">
      <c r="A15" s="239" t="s">
        <v>15</v>
      </c>
      <c r="B15" s="238" t="str">
        <f>IF(COUNTIF(Prijsinvulblad!E107,"LET OP: Dienstverlenings-percentage is 0 of negatief. Dit is niet toegestaan, omdat er dan geen reële opslag-/dienstverleningscomponent overblijft.")&gt;0,"LET OP: INSCHRIJVING ONGELDIG","Onderdeel geldig voor inschrijving")</f>
        <v>Onderdeel geldig voor inschrijving</v>
      </c>
    </row>
    <row r="16" spans="1:2" ht="62.5" thickBot="1">
      <c r="A16" s="240" t="s">
        <v>16</v>
      </c>
      <c r="B16" s="241" t="str">
        <f>IF(COUNTIF(Prijsinvulblad!I98,"LET OP: Dienstverlenings-cap DEFINITIEF overschreden. Dit resulteert in een KNOCK-OUT.")&gt;0,"LET OP: INSCHRIJVING ONGELDIG","Onderdeel geldig voor inschrijving")</f>
        <v>Onderdeel geldig voor inschrijving</v>
      </c>
    </row>
  </sheetData>
  <sheetProtection algorithmName="SHA-512" hashValue="UmGrf94nDANbkVjTb0mwJmvyzbjJQeOinJBL1gCJ5L+LMRi4DGx4a7n7ZlOU1Q5Qqij7EORrK8u4vdQiZH+HCA==" saltValue="wsdAL62WJIda/tgY4iQSxg==" spinCount="100000" sheet="1" objects="1" scenarios="1"/>
  <mergeCells count="1">
    <mergeCell ref="A1:B1"/>
  </mergeCells>
  <conditionalFormatting sqref="B8">
    <cfRule type="containsText" dxfId="31" priority="1" stopIfTrue="1" operator="containsText" text="LET OP: INSCHRIJVING ONGELDIG">
      <formula>NOT(ISERROR(SEARCH("LET OP: INSCHRIJVING ONGELDIG",B8)))</formula>
    </cfRule>
  </conditionalFormatting>
  <conditionalFormatting sqref="B10:B16">
    <cfRule type="containsText" dxfId="30" priority="2" stopIfTrue="1" operator="containsText" text="LET OP: INSCHRIJVING ONGELDIG">
      <formula>NOT(ISERROR(SEARCH("LET OP: INSCHRIJVING ONGELDIG",B10)))</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zoomScale="55" zoomScaleNormal="55" workbookViewId="0">
      <selection activeCell="B13" sqref="B13"/>
    </sheetView>
  </sheetViews>
  <sheetFormatPr defaultColWidth="8.81640625" defaultRowHeight="14.5"/>
  <cols>
    <col min="1" max="1" width="28" style="173" customWidth="1"/>
    <col min="2" max="2" width="110" style="173" customWidth="1"/>
    <col min="3" max="6" width="8.81640625" style="173"/>
    <col min="7" max="7" width="75.26953125" style="173" customWidth="1"/>
    <col min="8" max="16384" width="8.81640625" style="173"/>
  </cols>
  <sheetData>
    <row r="1" spans="1:2" ht="27.75" customHeight="1" thickBot="1">
      <c r="A1" s="242" t="str">
        <f>Inschrijver!A1</f>
        <v>Prijsinvulblad | Werkplekapparatuur &amp; Aanvullende Dienstverlening | Coöperatie KIEN</v>
      </c>
      <c r="B1" s="243"/>
    </row>
    <row r="2" spans="1:2" ht="15" thickBot="1">
      <c r="A2" s="61" t="s">
        <v>17</v>
      </c>
      <c r="B2" s="139" t="s">
        <v>18</v>
      </c>
    </row>
    <row r="3" spans="1:2" ht="44" thickBot="1">
      <c r="A3" s="61" t="s">
        <v>19</v>
      </c>
      <c r="B3" s="60" t="s">
        <v>20</v>
      </c>
    </row>
    <row r="4" spans="1:2" ht="44" thickBot="1">
      <c r="A4" s="61" t="s">
        <v>21</v>
      </c>
      <c r="B4" s="60" t="s">
        <v>22</v>
      </c>
    </row>
    <row r="5" spans="1:2" ht="44" thickBot="1">
      <c r="A5" s="61" t="s">
        <v>23</v>
      </c>
      <c r="B5" s="60" t="s">
        <v>24</v>
      </c>
    </row>
    <row r="6" spans="1:2" ht="58.5" thickBot="1">
      <c r="A6" s="61" t="s">
        <v>25</v>
      </c>
      <c r="B6" s="60" t="s">
        <v>26</v>
      </c>
    </row>
    <row r="7" spans="1:2" ht="44" thickBot="1">
      <c r="A7" s="61" t="s">
        <v>27</v>
      </c>
      <c r="B7" s="60" t="s">
        <v>28</v>
      </c>
    </row>
    <row r="8" spans="1:2" ht="44" thickBot="1">
      <c r="A8" s="61" t="s">
        <v>29</v>
      </c>
      <c r="B8" s="60" t="s">
        <v>30</v>
      </c>
    </row>
    <row r="9" spans="1:2" ht="29.5" thickBot="1">
      <c r="A9" s="138" t="s">
        <v>31</v>
      </c>
      <c r="B9" s="45" t="s">
        <v>32</v>
      </c>
    </row>
    <row r="10" spans="1:2" ht="44" thickBot="1">
      <c r="A10" s="61" t="s">
        <v>33</v>
      </c>
      <c r="B10" s="60" t="s">
        <v>34</v>
      </c>
    </row>
    <row r="11" spans="1:2" ht="29.5" thickBot="1">
      <c r="A11" s="61" t="s">
        <v>35</v>
      </c>
      <c r="B11" s="60" t="s">
        <v>36</v>
      </c>
    </row>
    <row r="12" spans="1:2" ht="44" thickBot="1">
      <c r="A12" s="61" t="s">
        <v>37</v>
      </c>
      <c r="B12" s="60" t="s">
        <v>38</v>
      </c>
    </row>
    <row r="13" spans="1:2" ht="44" thickBot="1">
      <c r="A13" s="138" t="s">
        <v>39</v>
      </c>
      <c r="B13" s="60" t="s">
        <v>40</v>
      </c>
    </row>
    <row r="14" spans="1:2" ht="58.5" thickBot="1">
      <c r="A14" s="138" t="s">
        <v>41</v>
      </c>
      <c r="B14" s="45" t="s">
        <v>42</v>
      </c>
    </row>
    <row r="15" spans="1:2" ht="44" thickBot="1">
      <c r="A15" s="138" t="s">
        <v>43</v>
      </c>
      <c r="B15" s="45" t="s">
        <v>44</v>
      </c>
    </row>
    <row r="16" spans="1:2" ht="44" thickBot="1">
      <c r="A16" s="61" t="s">
        <v>45</v>
      </c>
      <c r="B16" s="60" t="s">
        <v>46</v>
      </c>
    </row>
    <row r="17" spans="1:7" ht="44" thickBot="1">
      <c r="A17" s="61" t="s">
        <v>47</v>
      </c>
      <c r="B17" s="60" t="s">
        <v>48</v>
      </c>
    </row>
    <row r="18" spans="1:7" ht="76" customHeight="1" thickBot="1">
      <c r="A18" s="140" t="s">
        <v>49</v>
      </c>
      <c r="B18" s="60" t="s">
        <v>50</v>
      </c>
      <c r="G18" s="192"/>
    </row>
    <row r="19" spans="1:7" ht="29.5" thickBot="1">
      <c r="A19" s="61" t="s">
        <v>51</v>
      </c>
      <c r="B19" s="60" t="s">
        <v>52</v>
      </c>
    </row>
    <row r="20" spans="1:7" ht="58.5" thickBot="1">
      <c r="A20" s="61" t="s">
        <v>53</v>
      </c>
      <c r="B20" s="60" t="s">
        <v>54</v>
      </c>
    </row>
    <row r="21" spans="1:7" ht="29.5" thickBot="1">
      <c r="A21" s="138" t="s">
        <v>55</v>
      </c>
      <c r="B21" s="60" t="s">
        <v>56</v>
      </c>
    </row>
    <row r="22" spans="1:7" ht="44" thickBot="1">
      <c r="A22" s="138" t="s">
        <v>57</v>
      </c>
      <c r="B22" s="45" t="s">
        <v>58</v>
      </c>
    </row>
    <row r="23" spans="1:7" ht="44" thickBot="1">
      <c r="A23" s="138" t="s">
        <v>59</v>
      </c>
      <c r="B23" s="45" t="s">
        <v>60</v>
      </c>
    </row>
    <row r="24" spans="1:7" ht="29.5" thickBot="1">
      <c r="A24" s="138" t="s">
        <v>61</v>
      </c>
      <c r="B24" s="45" t="s">
        <v>62</v>
      </c>
    </row>
    <row r="25" spans="1:7" ht="44" thickBot="1">
      <c r="A25" s="138" t="s">
        <v>63</v>
      </c>
      <c r="B25" s="45" t="s">
        <v>64</v>
      </c>
    </row>
    <row r="26" spans="1:7" ht="44" thickBot="1">
      <c r="A26" s="138" t="s">
        <v>65</v>
      </c>
      <c r="B26" s="45" t="s">
        <v>66</v>
      </c>
    </row>
    <row r="27" spans="1:7" ht="44" thickBot="1">
      <c r="A27" s="138" t="s">
        <v>67</v>
      </c>
      <c r="B27" s="45" t="s">
        <v>68</v>
      </c>
    </row>
    <row r="28" spans="1:7" ht="44" thickBot="1">
      <c r="A28" s="138" t="s">
        <v>69</v>
      </c>
      <c r="B28" s="45" t="s">
        <v>70</v>
      </c>
    </row>
    <row r="29" spans="1:7" ht="44" thickBot="1">
      <c r="A29" s="138" t="s">
        <v>71</v>
      </c>
      <c r="B29" s="45" t="s">
        <v>72</v>
      </c>
    </row>
    <row r="30" spans="1:7" ht="58.5" thickBot="1">
      <c r="A30" s="138" t="s">
        <v>73</v>
      </c>
      <c r="B30" s="45" t="s">
        <v>74</v>
      </c>
    </row>
    <row r="31" spans="1:7" ht="44" thickBot="1">
      <c r="A31" s="138" t="s">
        <v>75</v>
      </c>
      <c r="B31" s="45" t="s">
        <v>76</v>
      </c>
    </row>
    <row r="32" spans="1:7" ht="58.5" thickBot="1">
      <c r="A32" s="138" t="s">
        <v>77</v>
      </c>
      <c r="B32" s="45" t="s">
        <v>78</v>
      </c>
    </row>
    <row r="33" spans="1:2" ht="44" thickBot="1">
      <c r="A33" s="138" t="s">
        <v>79</v>
      </c>
      <c r="B33" s="45" t="s">
        <v>80</v>
      </c>
    </row>
    <row r="34" spans="1:2" ht="44" thickBot="1">
      <c r="A34" s="138" t="s">
        <v>81</v>
      </c>
      <c r="B34" s="45" t="s">
        <v>82</v>
      </c>
    </row>
    <row r="35" spans="1:2" ht="44" thickBot="1">
      <c r="A35" s="138" t="s">
        <v>83</v>
      </c>
      <c r="B35" s="45" t="s">
        <v>84</v>
      </c>
    </row>
    <row r="36" spans="1:2" ht="44" thickBot="1">
      <c r="A36" s="138" t="s">
        <v>85</v>
      </c>
      <c r="B36" s="45" t="s">
        <v>86</v>
      </c>
    </row>
    <row r="37" spans="1:2" ht="29.5" thickBot="1">
      <c r="A37" s="138" t="s">
        <v>87</v>
      </c>
      <c r="B37" s="45" t="s">
        <v>88</v>
      </c>
    </row>
    <row r="38" spans="1:2" ht="29.5" thickBot="1">
      <c r="A38" s="138" t="s">
        <v>89</v>
      </c>
      <c r="B38" s="45" t="s">
        <v>90</v>
      </c>
    </row>
    <row r="39" spans="1:2" ht="29.5" thickBot="1">
      <c r="A39" s="138" t="s">
        <v>91</v>
      </c>
      <c r="B39" s="45" t="s">
        <v>92</v>
      </c>
    </row>
  </sheetData>
  <sheetProtection algorithmName="SHA-512" hashValue="AFFumgFFNEYQqtn2HpwyiJRaLYPdsnplHnQM3xRfYMbqVkJOLco4ZDzoYdv6WA12vKEp+d3BNzwPyHXOB8n3Pg==" saltValue="l9b3BWE7ZgWkQNY4CE6FWg==" spinCount="100000" sheet="1" objects="1" scenarios="1"/>
  <mergeCells count="1">
    <mergeCell ref="A1: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B59E4-EE16-4E18-9558-EC127DE43A0E}">
  <dimension ref="A1:M107"/>
  <sheetViews>
    <sheetView zoomScale="85" zoomScaleNormal="85" workbookViewId="0">
      <pane ySplit="1" topLeftCell="A63" activePane="bottomLeft" state="frozen"/>
      <selection pane="bottomLeft" activeCell="C68" sqref="C68"/>
    </sheetView>
  </sheetViews>
  <sheetFormatPr defaultColWidth="8.81640625" defaultRowHeight="14.5"/>
  <cols>
    <col min="1" max="1" width="58.26953125" style="173" customWidth="1"/>
    <col min="2" max="2" width="28.7265625" style="173" customWidth="1"/>
    <col min="3" max="3" width="29.54296875" style="173" bestFit="1" customWidth="1"/>
    <col min="4" max="4" width="18.453125" style="173" customWidth="1"/>
    <col min="5" max="5" width="21.453125" style="173" customWidth="1"/>
    <col min="6" max="6" width="26.81640625" style="173" customWidth="1"/>
    <col min="7" max="7" width="27.1796875" style="173" customWidth="1"/>
    <col min="8" max="8" width="39.453125" style="173" customWidth="1"/>
    <col min="9" max="9" width="17.81640625" style="173" customWidth="1"/>
    <col min="10" max="10" width="26.26953125" style="173" customWidth="1"/>
    <col min="11" max="16384" width="8.81640625" style="173"/>
  </cols>
  <sheetData>
    <row r="1" spans="1:6" ht="27.75" customHeight="1" thickBot="1">
      <c r="A1" s="244" t="str">
        <f>Inschrijver!A1</f>
        <v>Prijsinvulblad | Werkplekapparatuur &amp; Aanvullende Dienstverlening | Coöperatie KIEN</v>
      </c>
      <c r="B1" s="245"/>
      <c r="C1" s="245"/>
      <c r="D1" s="245"/>
      <c r="E1" s="245"/>
      <c r="F1" s="246"/>
    </row>
    <row r="2" spans="1:6" ht="15" thickBot="1">
      <c r="A2" s="26" t="s">
        <v>93</v>
      </c>
      <c r="B2" s="27" t="s">
        <v>94</v>
      </c>
      <c r="C2" s="27" t="s">
        <v>95</v>
      </c>
      <c r="D2" s="27" t="s">
        <v>18</v>
      </c>
      <c r="E2" s="27"/>
      <c r="F2" s="28"/>
    </row>
    <row r="3" spans="1:6" ht="15" thickBot="1">
      <c r="A3" s="3" t="s">
        <v>96</v>
      </c>
      <c r="B3" s="52">
        <v>38000</v>
      </c>
      <c r="C3" s="4" t="s">
        <v>97</v>
      </c>
      <c r="D3" s="247" t="s">
        <v>98</v>
      </c>
      <c r="E3" s="248"/>
      <c r="F3" s="249"/>
    </row>
    <row r="4" spans="1:6">
      <c r="A4" s="190"/>
      <c r="B4" s="190"/>
      <c r="C4" s="190"/>
      <c r="D4" s="190"/>
      <c r="E4" s="190"/>
      <c r="F4" s="190"/>
    </row>
    <row r="5" spans="1:6" ht="15" thickBot="1">
      <c r="A5" s="191"/>
      <c r="B5" s="191"/>
      <c r="C5" s="191"/>
      <c r="D5" s="191"/>
      <c r="E5" s="191"/>
      <c r="F5" s="191"/>
    </row>
    <row r="6" spans="1:6" ht="29.5" thickBot="1">
      <c r="A6" s="75" t="s">
        <v>99</v>
      </c>
      <c r="B6" s="76" t="s">
        <v>100</v>
      </c>
      <c r="C6" s="76" t="s">
        <v>101</v>
      </c>
      <c r="D6" s="76" t="s">
        <v>102</v>
      </c>
      <c r="E6" s="76" t="s">
        <v>103</v>
      </c>
      <c r="F6" s="77" t="s">
        <v>104</v>
      </c>
    </row>
    <row r="7" spans="1:6">
      <c r="A7" s="145" t="s">
        <v>105</v>
      </c>
      <c r="B7" s="50">
        <v>0.19</v>
      </c>
      <c r="C7" s="48">
        <f t="shared" ref="C7:C14" si="0">B7*$B$3</f>
        <v>7220</v>
      </c>
      <c r="D7" s="48">
        <f t="shared" ref="D7:D14" si="1">C7*$C$19</f>
        <v>2527</v>
      </c>
      <c r="E7" s="48">
        <f t="shared" ref="E7:E14" si="2">C7*$C$20</f>
        <v>4693</v>
      </c>
      <c r="F7" s="49">
        <f t="shared" ref="F7:F15" si="3">C7-(D7+E7)</f>
        <v>0</v>
      </c>
    </row>
    <row r="8" spans="1:6">
      <c r="A8" s="146" t="s">
        <v>106</v>
      </c>
      <c r="B8" s="51">
        <v>0.21</v>
      </c>
      <c r="C8" s="47">
        <f t="shared" si="0"/>
        <v>7980</v>
      </c>
      <c r="D8" s="47">
        <f t="shared" si="1"/>
        <v>2793</v>
      </c>
      <c r="E8" s="47">
        <f t="shared" si="2"/>
        <v>5187</v>
      </c>
      <c r="F8" s="5">
        <f t="shared" si="3"/>
        <v>0</v>
      </c>
    </row>
    <row r="9" spans="1:6">
      <c r="A9" s="146" t="s">
        <v>107</v>
      </c>
      <c r="B9" s="51">
        <v>4.4999999999999998E-2</v>
      </c>
      <c r="C9" s="47">
        <f t="shared" si="0"/>
        <v>1710</v>
      </c>
      <c r="D9" s="47">
        <f t="shared" si="1"/>
        <v>598.5</v>
      </c>
      <c r="E9" s="47">
        <f t="shared" si="2"/>
        <v>1111.5</v>
      </c>
      <c r="F9" s="5">
        <f t="shared" si="3"/>
        <v>0</v>
      </c>
    </row>
    <row r="10" spans="1:6">
      <c r="A10" s="146" t="s">
        <v>108</v>
      </c>
      <c r="B10" s="51">
        <v>0.215</v>
      </c>
      <c r="C10" s="47">
        <f t="shared" si="0"/>
        <v>8170</v>
      </c>
      <c r="D10" s="47">
        <f t="shared" si="1"/>
        <v>2859.5</v>
      </c>
      <c r="E10" s="47">
        <f t="shared" si="2"/>
        <v>5310.5</v>
      </c>
      <c r="F10" s="5">
        <f t="shared" si="3"/>
        <v>0</v>
      </c>
    </row>
    <row r="11" spans="1:6">
      <c r="A11" s="146" t="s">
        <v>109</v>
      </c>
      <c r="B11" s="51">
        <v>0.23</v>
      </c>
      <c r="C11" s="47">
        <f t="shared" si="0"/>
        <v>8740</v>
      </c>
      <c r="D11" s="47">
        <f t="shared" si="1"/>
        <v>3059</v>
      </c>
      <c r="E11" s="47">
        <f t="shared" si="2"/>
        <v>5681</v>
      </c>
      <c r="F11" s="5">
        <f t="shared" si="3"/>
        <v>0</v>
      </c>
    </row>
    <row r="12" spans="1:6">
      <c r="A12" s="2" t="s">
        <v>110</v>
      </c>
      <c r="B12" s="51">
        <v>5.0000000000000001E-3</v>
      </c>
      <c r="C12" s="47">
        <f t="shared" si="0"/>
        <v>190</v>
      </c>
      <c r="D12" s="47">
        <f t="shared" si="1"/>
        <v>66.5</v>
      </c>
      <c r="E12" s="47">
        <f t="shared" si="2"/>
        <v>123.5</v>
      </c>
      <c r="F12" s="5">
        <f t="shared" si="3"/>
        <v>0</v>
      </c>
    </row>
    <row r="13" spans="1:6">
      <c r="A13" s="2" t="s">
        <v>111</v>
      </c>
      <c r="B13" s="51">
        <v>8.5000000000000006E-2</v>
      </c>
      <c r="C13" s="47">
        <f t="shared" si="0"/>
        <v>3230.0000000000005</v>
      </c>
      <c r="D13" s="47">
        <f t="shared" si="1"/>
        <v>1130.5</v>
      </c>
      <c r="E13" s="47">
        <f t="shared" si="2"/>
        <v>2099.5000000000005</v>
      </c>
      <c r="F13" s="5">
        <f t="shared" si="3"/>
        <v>0</v>
      </c>
    </row>
    <row r="14" spans="1:6" ht="15" thickBot="1">
      <c r="A14" s="6" t="s">
        <v>112</v>
      </c>
      <c r="B14" s="55">
        <v>0.02</v>
      </c>
      <c r="C14" s="56">
        <f t="shared" si="0"/>
        <v>760</v>
      </c>
      <c r="D14" s="56">
        <f t="shared" si="1"/>
        <v>266</v>
      </c>
      <c r="E14" s="56">
        <f t="shared" si="2"/>
        <v>494</v>
      </c>
      <c r="F14" s="7">
        <f t="shared" si="3"/>
        <v>0</v>
      </c>
    </row>
    <row r="15" spans="1:6" ht="15" thickBot="1">
      <c r="A15" s="8" t="s">
        <v>113</v>
      </c>
      <c r="B15" s="58">
        <f>SUM(B7:B14)</f>
        <v>1</v>
      </c>
      <c r="C15" s="57">
        <f>SUM(C7:C14)</f>
        <v>38000</v>
      </c>
      <c r="D15" s="57">
        <f>SUM(D7:D14)</f>
        <v>13300</v>
      </c>
      <c r="E15" s="57">
        <f>SUM(E7:E14)</f>
        <v>24700</v>
      </c>
      <c r="F15" s="9">
        <f t="shared" si="3"/>
        <v>0</v>
      </c>
    </row>
    <row r="16" spans="1:6">
      <c r="B16" s="187"/>
      <c r="F16" s="188"/>
    </row>
    <row r="17" spans="1:10">
      <c r="B17" s="187"/>
      <c r="F17" s="188"/>
    </row>
    <row r="18" spans="1:10" ht="15" thickBot="1">
      <c r="A18" s="189"/>
      <c r="B18" s="189"/>
      <c r="C18" s="189"/>
      <c r="D18" s="189"/>
      <c r="E18" s="189"/>
      <c r="F18" s="189"/>
    </row>
    <row r="19" spans="1:10">
      <c r="A19" s="10" t="s">
        <v>114</v>
      </c>
      <c r="B19" s="11"/>
      <c r="C19" s="53">
        <v>0.35</v>
      </c>
      <c r="D19" s="250" t="s">
        <v>115</v>
      </c>
      <c r="E19" s="251"/>
      <c r="F19" s="252"/>
    </row>
    <row r="20" spans="1:10" ht="15" thickBot="1">
      <c r="A20" s="3" t="s">
        <v>116</v>
      </c>
      <c r="B20" s="4"/>
      <c r="C20" s="54">
        <f>1-C19</f>
        <v>0.65</v>
      </c>
      <c r="D20" s="253"/>
      <c r="E20" s="254"/>
      <c r="F20" s="255"/>
    </row>
    <row r="23" spans="1:10" ht="15" thickBot="1"/>
    <row r="24" spans="1:10" ht="63.75" customHeight="1">
      <c r="A24" s="40" t="s">
        <v>117</v>
      </c>
      <c r="B24" s="11"/>
      <c r="C24" s="29">
        <v>500</v>
      </c>
      <c r="D24" s="59" t="s">
        <v>118</v>
      </c>
      <c r="E24" s="256" t="s">
        <v>119</v>
      </c>
      <c r="F24" s="257"/>
    </row>
    <row r="25" spans="1:10" ht="46" customHeight="1" thickBot="1">
      <c r="A25" s="41" t="s">
        <v>120</v>
      </c>
      <c r="B25" s="4"/>
      <c r="C25" s="30">
        <v>12</v>
      </c>
      <c r="D25" s="34" t="s">
        <v>121</v>
      </c>
      <c r="E25" s="258" t="s">
        <v>122</v>
      </c>
      <c r="F25" s="259"/>
    </row>
    <row r="28" spans="1:10" ht="15" thickBot="1"/>
    <row r="29" spans="1:10" ht="29.5" customHeight="1" thickBot="1">
      <c r="A29" s="144" t="s">
        <v>215</v>
      </c>
      <c r="B29" s="78"/>
      <c r="C29" s="100">
        <v>50</v>
      </c>
      <c r="D29" s="264" t="s">
        <v>123</v>
      </c>
      <c r="E29" s="264"/>
      <c r="F29" s="265"/>
      <c r="G29" s="101">
        <f>C29*(D50+E50)</f>
        <v>47500</v>
      </c>
      <c r="H29" s="260" t="s">
        <v>216</v>
      </c>
      <c r="I29" s="260"/>
      <c r="J29" s="261"/>
    </row>
    <row r="30" spans="1:10" ht="29.5" customHeight="1" thickBot="1">
      <c r="A30" s="43" t="s">
        <v>213</v>
      </c>
      <c r="B30" s="44"/>
      <c r="C30" s="68">
        <v>100</v>
      </c>
      <c r="D30" s="260" t="s">
        <v>123</v>
      </c>
      <c r="E30" s="260"/>
      <c r="F30" s="261"/>
      <c r="G30" s="102">
        <f>C30*(D51+E51)</f>
        <v>105000</v>
      </c>
      <c r="H30" s="262" t="s">
        <v>124</v>
      </c>
      <c r="I30" s="262"/>
      <c r="J30" s="263"/>
    </row>
    <row r="31" spans="1:10" ht="29.5" thickBot="1">
      <c r="A31" s="43" t="s">
        <v>214</v>
      </c>
      <c r="B31" s="44"/>
      <c r="C31" s="68">
        <v>100</v>
      </c>
      <c r="D31" s="260" t="s">
        <v>123</v>
      </c>
      <c r="E31" s="260"/>
      <c r="F31" s="261"/>
      <c r="G31" s="102">
        <f>C31*(D52+E52)</f>
        <v>105000</v>
      </c>
      <c r="H31" s="262" t="s">
        <v>125</v>
      </c>
      <c r="I31" s="262"/>
      <c r="J31" s="263"/>
    </row>
    <row r="34" spans="1:8" ht="15" thickBot="1"/>
    <row r="35" spans="1:8" ht="76.5" customHeight="1" thickBot="1">
      <c r="A35" s="43" t="s">
        <v>126</v>
      </c>
      <c r="B35" s="44"/>
      <c r="C35" s="62">
        <v>0.125</v>
      </c>
      <c r="D35" s="260" t="s">
        <v>127</v>
      </c>
      <c r="E35" s="260"/>
      <c r="F35" s="261"/>
    </row>
    <row r="36" spans="1:8">
      <c r="C36" s="186"/>
    </row>
    <row r="37" spans="1:8">
      <c r="C37" s="186"/>
    </row>
    <row r="38" spans="1:8" ht="15" thickBot="1">
      <c r="C38" s="186"/>
    </row>
    <row r="39" spans="1:8" ht="34" customHeight="1" thickBot="1">
      <c r="A39" s="43" t="s">
        <v>128</v>
      </c>
      <c r="B39" s="44"/>
      <c r="C39" s="68">
        <v>32</v>
      </c>
      <c r="D39" s="260" t="s">
        <v>129</v>
      </c>
      <c r="E39" s="260"/>
      <c r="F39" s="261"/>
    </row>
    <row r="40" spans="1:8" ht="15" customHeight="1">
      <c r="C40" s="186"/>
    </row>
    <row r="42" spans="1:8" s="1" customFormat="1"/>
    <row r="43" spans="1:8" s="1" customFormat="1"/>
    <row r="45" spans="1:8" ht="15" thickBot="1"/>
    <row r="46" spans="1:8" ht="15" thickBot="1">
      <c r="A46" s="23" t="s">
        <v>130</v>
      </c>
      <c r="B46" s="24"/>
      <c r="C46" s="24"/>
      <c r="D46" s="24"/>
      <c r="E46" s="24"/>
      <c r="F46" s="24"/>
      <c r="G46" s="25"/>
      <c r="H46" s="25"/>
    </row>
    <row r="47" spans="1:8" ht="58.5" thickBot="1">
      <c r="A47" s="31" t="s">
        <v>99</v>
      </c>
      <c r="B47" s="32" t="s">
        <v>131</v>
      </c>
      <c r="C47" s="32" t="s">
        <v>132</v>
      </c>
      <c r="D47" s="32" t="s">
        <v>133</v>
      </c>
      <c r="E47" s="32" t="s">
        <v>134</v>
      </c>
      <c r="F47" s="46" t="s">
        <v>135</v>
      </c>
      <c r="G47" s="147" t="s">
        <v>136</v>
      </c>
      <c r="H47" s="147" t="s">
        <v>137</v>
      </c>
    </row>
    <row r="48" spans="1:8" ht="101.5">
      <c r="A48" s="145" t="str">
        <f>A7</f>
        <v>Chromebooks / Google Books | Non-touch</v>
      </c>
      <c r="B48" s="142" t="s">
        <v>138</v>
      </c>
      <c r="C48" s="148">
        <f>C7</f>
        <v>7220</v>
      </c>
      <c r="D48" s="149">
        <v>400</v>
      </c>
      <c r="E48" s="193"/>
      <c r="F48" s="70">
        <f>(D48+E48)*C48</f>
        <v>2888000</v>
      </c>
      <c r="G48" s="156">
        <f t="shared" ref="G48:G55" si="4">C48*E48</f>
        <v>0</v>
      </c>
      <c r="H48" s="159" t="str">
        <f t="shared" ref="H48:H55" si="5">IF(AND(E48&gt;=0.01),"Geldig","LET OP: Marge mag niet 0 euro of minder zijn.")</f>
        <v>LET OP: Marge mag niet 0 euro of minder zijn.</v>
      </c>
    </row>
    <row r="49" spans="1:9" ht="101.5">
      <c r="A49" s="146" t="str">
        <f>A8</f>
        <v>Chromebooks / Google Books | Touch</v>
      </c>
      <c r="B49" s="143" t="s">
        <v>138</v>
      </c>
      <c r="C49" s="150">
        <f t="shared" ref="C49:C55" si="6">C8</f>
        <v>7980</v>
      </c>
      <c r="D49" s="109">
        <v>450</v>
      </c>
      <c r="E49" s="194"/>
      <c r="F49" s="69">
        <f t="shared" ref="F49:F55" si="7">(D49+E49)*C49</f>
        <v>3591000</v>
      </c>
      <c r="G49" s="157">
        <f t="shared" si="4"/>
        <v>0</v>
      </c>
      <c r="H49" s="160" t="str">
        <f t="shared" si="5"/>
        <v>LET OP: Marge mag niet 0 euro of minder zijn.</v>
      </c>
    </row>
    <row r="50" spans="1:9" ht="72.5">
      <c r="A50" s="146" t="str">
        <f>A9</f>
        <v>Workstations</v>
      </c>
      <c r="B50" s="12" t="s">
        <v>139</v>
      </c>
      <c r="C50" s="150">
        <f t="shared" si="6"/>
        <v>1710</v>
      </c>
      <c r="D50" s="109">
        <v>950</v>
      </c>
      <c r="E50" s="194"/>
      <c r="F50" s="69">
        <f t="shared" si="7"/>
        <v>1624500</v>
      </c>
      <c r="G50" s="157">
        <f t="shared" si="4"/>
        <v>0</v>
      </c>
      <c r="H50" s="160" t="str">
        <f t="shared" si="5"/>
        <v>LET OP: Marge mag niet 0 euro of minder zijn.</v>
      </c>
    </row>
    <row r="51" spans="1:9" ht="145">
      <c r="A51" s="146" t="str">
        <f t="shared" ref="A51:A52" si="8">A10</f>
        <v>Laptop | Medium-end | 14-inch</v>
      </c>
      <c r="B51" s="12" t="s">
        <v>140</v>
      </c>
      <c r="C51" s="150">
        <f t="shared" si="6"/>
        <v>8170</v>
      </c>
      <c r="D51" s="109">
        <v>1050</v>
      </c>
      <c r="E51" s="194"/>
      <c r="F51" s="69">
        <f t="shared" si="7"/>
        <v>8578500</v>
      </c>
      <c r="G51" s="157">
        <f t="shared" si="4"/>
        <v>0</v>
      </c>
      <c r="H51" s="160" t="str">
        <f t="shared" si="5"/>
        <v>LET OP: Marge mag niet 0 euro of minder zijn.</v>
      </c>
    </row>
    <row r="52" spans="1:9" ht="145">
      <c r="A52" s="146" t="str">
        <f t="shared" si="8"/>
        <v>Laptop | Medium-end | 16-inch</v>
      </c>
      <c r="B52" s="12" t="s">
        <v>140</v>
      </c>
      <c r="C52" s="150">
        <f t="shared" si="6"/>
        <v>8740</v>
      </c>
      <c r="D52" s="109">
        <v>1050</v>
      </c>
      <c r="E52" s="194"/>
      <c r="F52" s="69">
        <f t="shared" si="7"/>
        <v>9177000</v>
      </c>
      <c r="G52" s="157">
        <f t="shared" si="4"/>
        <v>0</v>
      </c>
      <c r="H52" s="160" t="str">
        <f t="shared" si="5"/>
        <v>LET OP: Marge mag niet 0 euro of minder zijn.</v>
      </c>
    </row>
    <row r="53" spans="1:9" ht="145">
      <c r="A53" s="146" t="str">
        <f>A12</f>
        <v>Laptop | High-end (special)</v>
      </c>
      <c r="B53" s="12" t="s">
        <v>141</v>
      </c>
      <c r="C53" s="150">
        <f t="shared" si="6"/>
        <v>190</v>
      </c>
      <c r="D53" s="109">
        <v>1750</v>
      </c>
      <c r="E53" s="194"/>
      <c r="F53" s="69">
        <f t="shared" si="7"/>
        <v>332500</v>
      </c>
      <c r="G53" s="157">
        <f t="shared" si="4"/>
        <v>0</v>
      </c>
      <c r="H53" s="160" t="str">
        <f t="shared" si="5"/>
        <v>LET OP: Marge mag niet 0 euro of minder zijn.</v>
      </c>
    </row>
    <row r="54" spans="1:9" ht="72.5">
      <c r="A54" s="146" t="str">
        <f>A13</f>
        <v>Monitoren</v>
      </c>
      <c r="B54" s="12" t="s">
        <v>142</v>
      </c>
      <c r="C54" s="150">
        <f t="shared" si="6"/>
        <v>3230.0000000000005</v>
      </c>
      <c r="D54" s="109">
        <v>150</v>
      </c>
      <c r="E54" s="194"/>
      <c r="F54" s="69">
        <f t="shared" si="7"/>
        <v>484500.00000000006</v>
      </c>
      <c r="G54" s="157">
        <f t="shared" si="4"/>
        <v>0</v>
      </c>
      <c r="H54" s="160" t="str">
        <f t="shared" si="5"/>
        <v>LET OP: Marge mag niet 0 euro of minder zijn.</v>
      </c>
    </row>
    <row r="55" spans="1:9" ht="73" thickBot="1">
      <c r="A55" s="3" t="str">
        <f>A14</f>
        <v>Smartphones</v>
      </c>
      <c r="B55" s="34" t="s">
        <v>143</v>
      </c>
      <c r="C55" s="151">
        <f t="shared" si="6"/>
        <v>760</v>
      </c>
      <c r="D55" s="117">
        <v>375</v>
      </c>
      <c r="E55" s="195"/>
      <c r="F55" s="118">
        <f t="shared" si="7"/>
        <v>285000</v>
      </c>
      <c r="G55" s="158">
        <f t="shared" si="4"/>
        <v>0</v>
      </c>
      <c r="H55" s="161" t="str">
        <f t="shared" si="5"/>
        <v>LET OP: Marge mag niet 0 euro of minder zijn.</v>
      </c>
    </row>
    <row r="56" spans="1:9" ht="15" thickBot="1">
      <c r="A56" s="36" t="s">
        <v>144</v>
      </c>
      <c r="B56" s="111"/>
      <c r="C56" s="112"/>
      <c r="D56" s="113"/>
      <c r="E56" s="114"/>
      <c r="F56" s="115">
        <f>SUM(F48:F55)-SUM(G48:G55)</f>
        <v>26961000</v>
      </c>
      <c r="G56" s="116">
        <f>F57-F56</f>
        <v>0</v>
      </c>
      <c r="H56" s="116"/>
    </row>
    <row r="57" spans="1:9" ht="16" thickBot="1">
      <c r="A57" s="205" t="s">
        <v>145</v>
      </c>
      <c r="B57" s="206"/>
      <c r="C57" s="207"/>
      <c r="D57" s="207"/>
      <c r="E57" s="207"/>
      <c r="F57" s="222">
        <f>SUM(F48:F55)</f>
        <v>26961000</v>
      </c>
      <c r="G57" s="208">
        <f>SUM(G48:G55)</f>
        <v>0</v>
      </c>
      <c r="H57" s="208"/>
    </row>
    <row r="58" spans="1:9">
      <c r="A58" s="178"/>
      <c r="B58" s="181"/>
      <c r="C58" s="178"/>
      <c r="D58" s="178"/>
      <c r="E58" s="185"/>
      <c r="F58" s="178"/>
    </row>
    <row r="59" spans="1:9">
      <c r="A59" s="178"/>
      <c r="B59" s="181"/>
      <c r="C59" s="178"/>
      <c r="D59" s="178"/>
      <c r="E59" s="185"/>
      <c r="F59" s="178"/>
    </row>
    <row r="60" spans="1:9" ht="15" thickBot="1"/>
    <row r="61" spans="1:9" ht="15" thickBot="1">
      <c r="A61" s="23" t="s">
        <v>146</v>
      </c>
      <c r="B61" s="24"/>
      <c r="C61" s="24"/>
      <c r="D61" s="24"/>
      <c r="E61" s="24"/>
      <c r="F61" s="24"/>
      <c r="G61" s="25"/>
      <c r="H61" s="135"/>
    </row>
    <row r="62" spans="1:9" ht="58.5" thickBot="1">
      <c r="A62" s="31" t="s">
        <v>99</v>
      </c>
      <c r="B62" s="32" t="s">
        <v>131</v>
      </c>
      <c r="C62" s="32" t="s">
        <v>147</v>
      </c>
      <c r="D62" s="32" t="s">
        <v>148</v>
      </c>
      <c r="E62" s="32" t="s">
        <v>149</v>
      </c>
      <c r="F62" s="32" t="s">
        <v>150</v>
      </c>
      <c r="G62" s="32" t="s">
        <v>151</v>
      </c>
      <c r="H62" s="147" t="s">
        <v>137</v>
      </c>
    </row>
    <row r="63" spans="1:9" ht="101.5">
      <c r="A63" s="145" t="str">
        <f>A7</f>
        <v>Chromebooks / Google Books | Non-touch</v>
      </c>
      <c r="B63" s="59" t="str">
        <f t="shared" ref="B63:B67" si="9">B48</f>
        <v>Google Workspace licentie (inclusief), Intel Core N of Mediatek (voor beide types: laatste generatie), 8GB RAM, 11-inch, 64GB SSD, minimum accuduur 10 uur, minstens 1x USB-C, WIFI 6</v>
      </c>
      <c r="C63" s="37">
        <f t="shared" ref="C63:C67" si="10">E7</f>
        <v>4693</v>
      </c>
      <c r="D63" s="63">
        <f t="shared" ref="D63:D70" si="11">D48+E48</f>
        <v>400</v>
      </c>
      <c r="E63" s="196"/>
      <c r="F63" s="63">
        <f>D63*(1-E63)</f>
        <v>400</v>
      </c>
      <c r="G63" s="162">
        <f>C63*D63*E63</f>
        <v>0</v>
      </c>
      <c r="H63" s="165" t="str">
        <f t="shared" ref="H63:H70" si="12">IF(AND(E63&gt;=0%),"Geldig","LET OP: Kortingspercentage mag niet een negatief percentage zijn.")</f>
        <v>Geldig</v>
      </c>
      <c r="I63" s="184"/>
    </row>
    <row r="64" spans="1:9" ht="101.5">
      <c r="A64" s="146" t="str">
        <f>A8</f>
        <v>Chromebooks / Google Books | Touch</v>
      </c>
      <c r="B64" s="12" t="str">
        <f t="shared" si="9"/>
        <v>Google Workspace licentie (inclusief), Intel Core N of Mediatek (voor beide types: laatste generatie), 8GB RAM, 11-inch, 64GB SSD, minimum accuduur 10 uur, minstens 1x USB-C, WIFI 6</v>
      </c>
      <c r="C64" s="13">
        <f t="shared" si="10"/>
        <v>5187</v>
      </c>
      <c r="D64" s="64">
        <f t="shared" si="11"/>
        <v>450</v>
      </c>
      <c r="E64" s="197"/>
      <c r="F64" s="64">
        <f t="shared" ref="F64:F70" si="13">D64*(1-E64)</f>
        <v>450</v>
      </c>
      <c r="G64" s="163">
        <f t="shared" ref="G64:G70" si="14">C64*D64*E64</f>
        <v>0</v>
      </c>
      <c r="H64" s="166" t="str">
        <f t="shared" si="12"/>
        <v>Geldig</v>
      </c>
      <c r="I64" s="184"/>
    </row>
    <row r="65" spans="1:9" ht="72.5">
      <c r="A65" s="146" t="str">
        <f>A9</f>
        <v>Workstations</v>
      </c>
      <c r="B65" s="12" t="str">
        <f t="shared" si="9"/>
        <v>Windows 11 Home, Intel i5, 16GB RAM, 512GB SSD, TPM 2.0, minstens 1x USB-A 3.1, minstens 1x USB Type-C 3.1, minimaal CAT 6 (ethernet-aansluiting)</v>
      </c>
      <c r="C65" s="13">
        <f t="shared" si="10"/>
        <v>1111.5</v>
      </c>
      <c r="D65" s="64">
        <f t="shared" si="11"/>
        <v>950</v>
      </c>
      <c r="E65" s="197"/>
      <c r="F65" s="64">
        <f>D65*(1-E65)</f>
        <v>950</v>
      </c>
      <c r="G65" s="163">
        <f t="shared" si="14"/>
        <v>0</v>
      </c>
      <c r="H65" s="166" t="str">
        <f t="shared" si="12"/>
        <v>Geldig</v>
      </c>
      <c r="I65" s="184"/>
    </row>
    <row r="66" spans="1:9" ht="145">
      <c r="A66" s="146" t="str">
        <f t="shared" ref="A66:A67" si="15">A10</f>
        <v>Laptop | Medium-end | 14-inch</v>
      </c>
      <c r="B66" s="12" t="str">
        <f t="shared" si="9"/>
        <v>Windows 11 Home, Intel i5, 16GB RAM, 512GB SSD, TPM 2.0, minimum accuduur 8 uur, minstens 1x USB-C 3.1, webcam minimaal 720P (Infrarood-enabled), Biometrische login via Windows Hello mogelijk (gezichtsherkenning en vingerafdrukscanner), WIFI 6E, Bluetooth 5</v>
      </c>
      <c r="C66" s="13">
        <f t="shared" si="10"/>
        <v>5310.5</v>
      </c>
      <c r="D66" s="64">
        <f t="shared" si="11"/>
        <v>1050</v>
      </c>
      <c r="E66" s="197"/>
      <c r="F66" s="64">
        <f t="shared" ref="F66:F67" si="16">D66*(1-E66)</f>
        <v>1050</v>
      </c>
      <c r="G66" s="163">
        <f t="shared" si="14"/>
        <v>0</v>
      </c>
      <c r="H66" s="166" t="str">
        <f t="shared" si="12"/>
        <v>Geldig</v>
      </c>
      <c r="I66" s="184"/>
    </row>
    <row r="67" spans="1:9" ht="145">
      <c r="A67" s="146" t="str">
        <f t="shared" si="15"/>
        <v>Laptop | Medium-end | 16-inch</v>
      </c>
      <c r="B67" s="12" t="str">
        <f t="shared" si="9"/>
        <v>Windows 11 Home, Intel i5, 16GB RAM, 512GB SSD, TPM 2.0, minimum accuduur 8 uur, minstens 1x USB-C 3.1, webcam minimaal 720P (Infrarood-enabled), Biometrische login via Windows Hello mogelijk (gezichtsherkenning en vingerafdrukscanner), WIFI 6E, Bluetooth 5</v>
      </c>
      <c r="C67" s="13">
        <f t="shared" si="10"/>
        <v>5681</v>
      </c>
      <c r="D67" s="64">
        <f t="shared" si="11"/>
        <v>1050</v>
      </c>
      <c r="E67" s="197"/>
      <c r="F67" s="64">
        <f t="shared" si="16"/>
        <v>1050</v>
      </c>
      <c r="G67" s="163">
        <f t="shared" si="14"/>
        <v>0</v>
      </c>
      <c r="H67" s="166" t="str">
        <f t="shared" si="12"/>
        <v>Geldig</v>
      </c>
      <c r="I67" s="184"/>
    </row>
    <row r="68" spans="1:9" ht="145">
      <c r="A68" s="146" t="str">
        <f>A12</f>
        <v>Laptop | High-end (special)</v>
      </c>
      <c r="B68" s="12" t="str">
        <f>B53</f>
        <v>Windows 11 Home, Intel i7, 32GB RAM, 512GB SSD, TPM 2.0, minimum accuduur 8 uur, minstens 1x USB-C 3.1, webcam minimaal 720P (Infrarood-enabled), Biometrische login via Windows Hello mogelijk (gezichtsherkenning en vingerafdrukscanner), WIFI 6E, Bluetooth 5</v>
      </c>
      <c r="C68" s="13">
        <f>E12</f>
        <v>123.5</v>
      </c>
      <c r="D68" s="64">
        <f t="shared" si="11"/>
        <v>1750</v>
      </c>
      <c r="E68" s="197"/>
      <c r="F68" s="64">
        <f t="shared" si="13"/>
        <v>1750</v>
      </c>
      <c r="G68" s="163">
        <f t="shared" si="14"/>
        <v>0</v>
      </c>
      <c r="H68" s="166" t="str">
        <f t="shared" si="12"/>
        <v>Geldig</v>
      </c>
      <c r="I68" s="184"/>
    </row>
    <row r="69" spans="1:9" ht="72.5">
      <c r="A69" s="146" t="str">
        <f>A13</f>
        <v>Monitoren</v>
      </c>
      <c r="B69" s="12" t="str">
        <f>B54</f>
        <v>Minstens 24-inch, Full HD 1080P, minstens 1x Displayport, minstens 2x HDMI-poorten, minstens 1x USB-C, hoogte verstelbaar</v>
      </c>
      <c r="C69" s="13">
        <f>E13</f>
        <v>2099.5000000000005</v>
      </c>
      <c r="D69" s="64">
        <f t="shared" si="11"/>
        <v>150</v>
      </c>
      <c r="E69" s="197"/>
      <c r="F69" s="64">
        <f t="shared" si="13"/>
        <v>150</v>
      </c>
      <c r="G69" s="163">
        <f t="shared" si="14"/>
        <v>0</v>
      </c>
      <c r="H69" s="166" t="str">
        <f t="shared" si="12"/>
        <v>Geldig</v>
      </c>
      <c r="I69" s="184"/>
    </row>
    <row r="70" spans="1:9" ht="73" thickBot="1">
      <c r="A70" s="152" t="str">
        <f>A14</f>
        <v>Smartphones</v>
      </c>
      <c r="B70" s="34" t="str">
        <f>B55</f>
        <v>Nieuwste Android Enterprise-versie, 5-inch scherm of groter, 128GB opslag, minstens 5 jaar beveiligingsupdates, minstens 4 jaar OS-updates</v>
      </c>
      <c r="C70" s="35">
        <f>E14</f>
        <v>494</v>
      </c>
      <c r="D70" s="65">
        <f t="shared" si="11"/>
        <v>375</v>
      </c>
      <c r="E70" s="198"/>
      <c r="F70" s="65">
        <f t="shared" si="13"/>
        <v>375</v>
      </c>
      <c r="G70" s="164">
        <f t="shared" si="14"/>
        <v>0</v>
      </c>
      <c r="H70" s="167" t="str">
        <f t="shared" si="12"/>
        <v>Geldig</v>
      </c>
      <c r="I70" s="184"/>
    </row>
    <row r="71" spans="1:9" ht="16" thickBot="1">
      <c r="A71" s="205" t="s">
        <v>152</v>
      </c>
      <c r="B71" s="206"/>
      <c r="C71" s="207"/>
      <c r="D71" s="207"/>
      <c r="E71" s="207"/>
      <c r="F71" s="207"/>
      <c r="G71" s="208">
        <f>SUM(G63:G70)</f>
        <v>0</v>
      </c>
      <c r="H71" s="208"/>
    </row>
    <row r="74" spans="1:9" ht="15" thickBot="1"/>
    <row r="75" spans="1:9" ht="15" thickBot="1">
      <c r="A75" s="23" t="s">
        <v>49</v>
      </c>
      <c r="B75" s="24"/>
      <c r="C75" s="24"/>
      <c r="D75" s="24"/>
      <c r="E75" s="24"/>
      <c r="F75" s="24"/>
      <c r="G75" s="25"/>
      <c r="H75" s="25"/>
    </row>
    <row r="76" spans="1:9" ht="29.5" thickBot="1">
      <c r="A76" s="74" t="s">
        <v>153</v>
      </c>
      <c r="B76" s="21" t="s">
        <v>154</v>
      </c>
      <c r="C76" s="21" t="s">
        <v>155</v>
      </c>
      <c r="D76" s="21" t="s">
        <v>156</v>
      </c>
      <c r="E76" s="21" t="s">
        <v>157</v>
      </c>
      <c r="F76" s="21" t="s">
        <v>158</v>
      </c>
      <c r="G76" s="22" t="s">
        <v>159</v>
      </c>
      <c r="H76" s="33" t="s">
        <v>137</v>
      </c>
      <c r="I76" s="183"/>
    </row>
    <row r="77" spans="1:9" ht="105.65" customHeight="1" thickBot="1">
      <c r="A77" s="38" t="s">
        <v>160</v>
      </c>
      <c r="B77" s="14" t="s">
        <v>161</v>
      </c>
      <c r="C77" s="14" t="s">
        <v>162</v>
      </c>
      <c r="D77" s="103">
        <f>B3</f>
        <v>38000</v>
      </c>
      <c r="E77" s="199"/>
      <c r="F77" s="66">
        <f t="shared" ref="F77:F82" si="17">D77*E77</f>
        <v>0</v>
      </c>
      <c r="G77" s="106" t="e">
        <f>F77/$F$84</f>
        <v>#DIV/0!</v>
      </c>
      <c r="H77" s="169" t="str">
        <f t="shared" ref="H77:H83" si="18">IF(AND(E77&gt;=0),"Geldig","LET OP: Bedrag/Percentage mag niet negatief zijn (mag niet onder 0 uitkomen).")</f>
        <v>Geldig</v>
      </c>
    </row>
    <row r="78" spans="1:9" ht="33" customHeight="1">
      <c r="A78" s="38" t="s">
        <v>163</v>
      </c>
      <c r="B78" s="14" t="s">
        <v>164</v>
      </c>
      <c r="C78" s="14" t="s">
        <v>165</v>
      </c>
      <c r="D78" s="103">
        <f>SUM(C9:C12)</f>
        <v>18810</v>
      </c>
      <c r="E78" s="199"/>
      <c r="F78" s="66">
        <f t="shared" si="17"/>
        <v>0</v>
      </c>
      <c r="G78" s="168" t="e">
        <f>F78/$F$84</f>
        <v>#DIV/0!</v>
      </c>
      <c r="H78" s="170" t="str">
        <f t="shared" si="18"/>
        <v>Geldig</v>
      </c>
    </row>
    <row r="79" spans="1:9" ht="20.5" customHeight="1">
      <c r="A79" s="38" t="s">
        <v>166</v>
      </c>
      <c r="B79" s="14" t="s">
        <v>167</v>
      </c>
      <c r="C79" s="14" t="s">
        <v>165</v>
      </c>
      <c r="D79" s="103">
        <f>SUM(C7:C8)</f>
        <v>15200</v>
      </c>
      <c r="E79" s="199"/>
      <c r="F79" s="66">
        <f t="shared" si="17"/>
        <v>0</v>
      </c>
      <c r="G79" s="168" t="e">
        <f>F79/$F$84</f>
        <v>#DIV/0!</v>
      </c>
      <c r="H79" s="171" t="str">
        <f t="shared" si="18"/>
        <v>Geldig</v>
      </c>
    </row>
    <row r="80" spans="1:9" ht="228.65" customHeight="1">
      <c r="A80" s="39" t="s">
        <v>168</v>
      </c>
      <c r="B80" s="15" t="s">
        <v>169</v>
      </c>
      <c r="C80" s="15" t="s">
        <v>170</v>
      </c>
      <c r="D80" s="141">
        <v>24</v>
      </c>
      <c r="E80" s="200"/>
      <c r="F80" s="66">
        <f t="shared" si="17"/>
        <v>0</v>
      </c>
      <c r="G80" s="168" t="e">
        <f>F80/$F$84</f>
        <v>#DIV/0!</v>
      </c>
      <c r="H80" s="171" t="str">
        <f t="shared" si="18"/>
        <v>Geldig</v>
      </c>
    </row>
    <row r="81" spans="1:13" ht="228.65" customHeight="1">
      <c r="A81" s="39" t="s">
        <v>171</v>
      </c>
      <c r="B81" s="15" t="s">
        <v>172</v>
      </c>
      <c r="C81" s="15" t="s">
        <v>165</v>
      </c>
      <c r="D81" s="104">
        <f>(C7+C8+C9+C10+C11+C12)/2</f>
        <v>17005</v>
      </c>
      <c r="E81" s="200"/>
      <c r="F81" s="66">
        <f t="shared" si="17"/>
        <v>0</v>
      </c>
      <c r="G81" s="168" t="e">
        <f t="shared" ref="G81" si="19">F81/$F$84</f>
        <v>#DIV/0!</v>
      </c>
      <c r="H81" s="171" t="str">
        <f t="shared" si="18"/>
        <v>Geldig</v>
      </c>
    </row>
    <row r="82" spans="1:13" ht="152.5" customHeight="1">
      <c r="A82" s="39" t="s">
        <v>173</v>
      </c>
      <c r="B82" s="15" t="s">
        <v>174</v>
      </c>
      <c r="C82" s="15" t="s">
        <v>165</v>
      </c>
      <c r="D82" s="104">
        <f>(C7+C8+C10+C11+C12)/2</f>
        <v>16150</v>
      </c>
      <c r="E82" s="200"/>
      <c r="F82" s="66">
        <f t="shared" si="17"/>
        <v>0</v>
      </c>
      <c r="G82" s="168" t="e">
        <f>F82/$F$84</f>
        <v>#DIV/0!</v>
      </c>
      <c r="H82" s="171" t="str">
        <f t="shared" si="18"/>
        <v>Geldig</v>
      </c>
    </row>
    <row r="83" spans="1:13" ht="126" customHeight="1" thickBot="1">
      <c r="A83" s="39" t="s">
        <v>175</v>
      </c>
      <c r="B83" s="15" t="s">
        <v>176</v>
      </c>
      <c r="C83" s="15" t="s">
        <v>177</v>
      </c>
      <c r="D83" s="105">
        <f>C39</f>
        <v>32</v>
      </c>
      <c r="E83" s="201"/>
      <c r="F83" s="69">
        <f>(G29+G31+G30)*E83*D83</f>
        <v>0</v>
      </c>
      <c r="G83" s="168" t="e">
        <f>F83/$F$84</f>
        <v>#DIV/0!</v>
      </c>
      <c r="H83" s="172" t="str">
        <f t="shared" si="18"/>
        <v>Geldig</v>
      </c>
    </row>
    <row r="84" spans="1:13" ht="15" thickBot="1">
      <c r="A84" s="17" t="s">
        <v>178</v>
      </c>
      <c r="B84" s="18"/>
      <c r="C84" s="18"/>
      <c r="D84" s="19"/>
      <c r="E84" s="19"/>
      <c r="F84" s="120">
        <f>SUM(F77:F83)</f>
        <v>0</v>
      </c>
      <c r="G84" s="107" t="e">
        <f>SUM(G77:G83)</f>
        <v>#DIV/0!</v>
      </c>
      <c r="H84" s="136"/>
    </row>
    <row r="85" spans="1:13" ht="29.5" thickBot="1">
      <c r="A85" s="119" t="s">
        <v>179</v>
      </c>
      <c r="B85" s="71"/>
      <c r="C85" s="71"/>
      <c r="D85" s="44"/>
      <c r="E85" s="44"/>
      <c r="F85" s="121">
        <f>G57</f>
        <v>0</v>
      </c>
      <c r="G85" s="110"/>
      <c r="H85" s="110"/>
    </row>
    <row r="86" spans="1:13" ht="29.5" thickBot="1">
      <c r="A86" s="209" t="s">
        <v>180</v>
      </c>
      <c r="B86" s="210"/>
      <c r="C86" s="210"/>
      <c r="D86" s="211"/>
      <c r="E86" s="211"/>
      <c r="F86" s="212">
        <f>SUM(F84:F85)</f>
        <v>0</v>
      </c>
      <c r="G86" s="213"/>
      <c r="H86" s="213"/>
    </row>
    <row r="87" spans="1:13" ht="15.5">
      <c r="A87" s="178"/>
      <c r="B87" s="181"/>
      <c r="C87" s="181"/>
      <c r="D87" s="178"/>
      <c r="E87" s="178"/>
      <c r="F87" s="182"/>
      <c r="G87" s="178"/>
    </row>
    <row r="88" spans="1:13" ht="15.5">
      <c r="A88" s="178"/>
      <c r="B88" s="181"/>
      <c r="C88" s="181"/>
      <c r="D88" s="178"/>
      <c r="E88" s="178"/>
      <c r="F88" s="182"/>
      <c r="G88" s="178"/>
    </row>
    <row r="89" spans="1:13" ht="16" thickBot="1">
      <c r="A89" s="178"/>
      <c r="B89" s="181"/>
      <c r="C89" s="181"/>
      <c r="D89" s="178"/>
      <c r="E89" s="178"/>
      <c r="F89" s="182"/>
      <c r="G89" s="178"/>
    </row>
    <row r="90" spans="1:13" ht="15" thickBot="1">
      <c r="A90" s="80" t="s">
        <v>181</v>
      </c>
      <c r="B90" s="81"/>
      <c r="C90" s="81"/>
      <c r="D90" s="81"/>
      <c r="E90" s="81"/>
      <c r="F90" s="82"/>
      <c r="G90" s="178"/>
      <c r="H90" s="94" t="s">
        <v>182</v>
      </c>
      <c r="I90" s="95"/>
      <c r="J90" s="153" t="s">
        <v>183</v>
      </c>
      <c r="K90" s="179"/>
    </row>
    <row r="91" spans="1:13" ht="102" thickBot="1">
      <c r="A91" s="83" t="s">
        <v>184</v>
      </c>
      <c r="B91" s="84" t="s">
        <v>185</v>
      </c>
      <c r="C91" s="84" t="s">
        <v>186</v>
      </c>
      <c r="D91" s="84" t="s">
        <v>187</v>
      </c>
      <c r="E91" s="84" t="s">
        <v>188</v>
      </c>
      <c r="F91" s="85" t="s">
        <v>18</v>
      </c>
      <c r="G91" s="178"/>
      <c r="H91" s="154" t="s">
        <v>189</v>
      </c>
      <c r="I91" s="92" cm="1">
        <f t="array" ref="I91">SUM(C102:C104/$C$39*4)</f>
        <v>3370125</v>
      </c>
      <c r="J91" s="20" t="s">
        <v>190</v>
      </c>
    </row>
    <row r="92" spans="1:13" ht="101.5">
      <c r="A92" s="97">
        <v>1000000</v>
      </c>
      <c r="B92" s="202"/>
      <c r="C92" s="88" t="str">
        <f>IF($I$91&gt;=A92,"Ja","Nee")</f>
        <v>Ja</v>
      </c>
      <c r="D92" s="89">
        <f>SUM($C$102:$C$104)/$C$39*4</f>
        <v>3370125</v>
      </c>
      <c r="E92" s="132">
        <f>IF(C92="Ja",SUM($C$102:$C$103)*B92,0)</f>
        <v>0</v>
      </c>
      <c r="F92" s="129" t="s">
        <v>191</v>
      </c>
      <c r="G92" s="178"/>
      <c r="H92" s="154" t="s">
        <v>192</v>
      </c>
      <c r="I92" s="93">
        <f>LOOKUP($I$91,$A$92:$A$96,$B$92:$B$96)</f>
        <v>0</v>
      </c>
      <c r="J92" s="20" t="s">
        <v>193</v>
      </c>
    </row>
    <row r="93" spans="1:13" ht="101.5">
      <c r="A93" s="98">
        <v>2500000</v>
      </c>
      <c r="B93" s="203"/>
      <c r="C93" s="86" t="str">
        <f>IF($I$91&gt;=A93,"Ja","Nee")</f>
        <v>Ja</v>
      </c>
      <c r="D93" s="87">
        <f>SUM($C$102:$C$104)/$C$39*4</f>
        <v>3370125</v>
      </c>
      <c r="E93" s="133">
        <f>IF(C93="Ja",SUM($C$102:$C$103)*B93,0)</f>
        <v>0</v>
      </c>
      <c r="F93" s="130" t="s">
        <v>191</v>
      </c>
      <c r="G93" s="178"/>
      <c r="H93" s="155" t="s">
        <v>194</v>
      </c>
      <c r="I93" s="79">
        <f>I91*I92</f>
        <v>0</v>
      </c>
      <c r="J93" s="96" t="s">
        <v>195</v>
      </c>
      <c r="M93" s="180"/>
    </row>
    <row r="94" spans="1:13" ht="102" thickBot="1">
      <c r="A94" s="98">
        <v>4000000</v>
      </c>
      <c r="B94" s="203"/>
      <c r="C94" s="86" t="str">
        <f>IF($I$91&gt;=A94,"Ja","Nee")</f>
        <v>Nee</v>
      </c>
      <c r="D94" s="87">
        <f>SUM($C$102:$C$104)/$C$39*4</f>
        <v>3370125</v>
      </c>
      <c r="E94" s="133">
        <f>IF(C94="Ja",SUM($C$102:$C$103)*B94,0)</f>
        <v>0</v>
      </c>
      <c r="F94" s="130" t="s">
        <v>191</v>
      </c>
      <c r="G94" s="178"/>
      <c r="H94" s="155" t="s">
        <v>196</v>
      </c>
      <c r="I94" s="79">
        <f>$I$92*SUM(C102:C104)</f>
        <v>0</v>
      </c>
      <c r="J94" s="96" t="s">
        <v>197</v>
      </c>
    </row>
    <row r="95" spans="1:13" ht="102" thickBot="1">
      <c r="A95" s="98">
        <v>5500000</v>
      </c>
      <c r="B95" s="203"/>
      <c r="C95" s="86" t="str">
        <f>IF($I$91&gt;=A95,"Ja","Nee")</f>
        <v>Nee</v>
      </c>
      <c r="D95" s="87">
        <f>SUM($C$102:$C$104)/$C$39*4</f>
        <v>3370125</v>
      </c>
      <c r="E95" s="133">
        <f>IF(C95="Ja",SUM($C$102:$C$103)*B95,0)</f>
        <v>0</v>
      </c>
      <c r="F95" s="130" t="s">
        <v>191</v>
      </c>
      <c r="G95" s="178"/>
      <c r="H95" s="137" t="s">
        <v>198</v>
      </c>
      <c r="I95" s="108" t="str">
        <f>IF(AND(B93&gt;=B92,B94&gt;=B93,B95&gt;=B94,B96&gt;=B95),"Geldig: Conform instructies","LET OP: Bonuspercentages mogen alleen progressief zijn.")</f>
        <v>Geldig: Conform instructies</v>
      </c>
      <c r="J95" s="60" t="s">
        <v>199</v>
      </c>
    </row>
    <row r="96" spans="1:13" ht="102" thickBot="1">
      <c r="A96" s="99">
        <v>7000000</v>
      </c>
      <c r="B96" s="204"/>
      <c r="C96" s="90" t="str">
        <f>IF($I$91&gt;=A96,"Ja","Nee")</f>
        <v>Nee</v>
      </c>
      <c r="D96" s="91">
        <f>SUM($C$102:$C$104)/$C$39*4</f>
        <v>3370125</v>
      </c>
      <c r="E96" s="134">
        <f>IF(C96="Ja",SUM($C$102:$C$103)*B96,0)</f>
        <v>0</v>
      </c>
      <c r="F96" s="131" t="s">
        <v>191</v>
      </c>
      <c r="G96" s="178"/>
      <c r="H96" s="137" t="s">
        <v>200</v>
      </c>
      <c r="I96" s="108" t="str" cm="1">
        <f t="array" ref="I96">IF(AND(B92:B96&gt;=0),"Geldig: Conform instructies","LET OP: Kortingspercentage mag niet een negatief percentage zijn.")</f>
        <v>Geldig: Conform instructies</v>
      </c>
      <c r="J96" s="60" t="s">
        <v>201</v>
      </c>
    </row>
    <row r="97" spans="1:7">
      <c r="A97" s="175"/>
      <c r="B97" s="176"/>
      <c r="C97" s="177"/>
      <c r="D97" s="175"/>
      <c r="E97" s="175"/>
      <c r="F97" s="177"/>
      <c r="G97" s="178"/>
    </row>
    <row r="99" spans="1:7" ht="15" thickBot="1"/>
    <row r="100" spans="1:7" ht="15" thickBot="1">
      <c r="A100" s="23" t="s">
        <v>202</v>
      </c>
      <c r="B100" s="24"/>
      <c r="C100" s="24"/>
      <c r="D100" s="25"/>
      <c r="E100" s="25"/>
    </row>
    <row r="101" spans="1:7" ht="29.5" thickBot="1">
      <c r="A101" s="31" t="s">
        <v>203</v>
      </c>
      <c r="B101" s="32"/>
      <c r="C101" s="32" t="s">
        <v>204</v>
      </c>
      <c r="D101" s="33" t="s">
        <v>205</v>
      </c>
      <c r="E101" s="33" t="s">
        <v>183</v>
      </c>
    </row>
    <row r="102" spans="1:7" ht="29.5" thickBot="1">
      <c r="A102" s="40" t="s">
        <v>206</v>
      </c>
      <c r="B102" s="11"/>
      <c r="C102" s="63">
        <f>F56</f>
        <v>26961000</v>
      </c>
      <c r="D102" s="73">
        <f>C102/$C$106</f>
        <v>1</v>
      </c>
      <c r="E102" s="42"/>
    </row>
    <row r="103" spans="1:7" ht="107.5" customHeight="1" thickBot="1">
      <c r="A103" s="8" t="s">
        <v>207</v>
      </c>
      <c r="B103" s="71" t="s">
        <v>212</v>
      </c>
      <c r="C103" s="123">
        <f>F86</f>
        <v>0</v>
      </c>
      <c r="D103" s="124">
        <f>(C103/(C102+C103))</f>
        <v>0</v>
      </c>
      <c r="E103" s="125" t="str">
        <f>IF(D103&gt;C35,"LET OP: Voorlopige Dienstverlenings-cap vóór kortingen overschreden.","Geldig: Proportioneel voor de volgende stap.")</f>
        <v>Geldig: Proportioneel voor de volgende stap.</v>
      </c>
      <c r="F103" s="174"/>
    </row>
    <row r="104" spans="1:7" ht="80.150000000000006" customHeight="1" thickBot="1">
      <c r="A104" s="6" t="s">
        <v>208</v>
      </c>
      <c r="B104" s="16"/>
      <c r="C104" s="67">
        <f>-G71</f>
        <v>0</v>
      </c>
      <c r="D104" s="122">
        <f>C104/C106</f>
        <v>0</v>
      </c>
      <c r="E104" s="72"/>
      <c r="F104" s="174"/>
    </row>
    <row r="105" spans="1:7" ht="15" thickBot="1">
      <c r="A105" s="126" t="s">
        <v>59</v>
      </c>
      <c r="B105" s="44"/>
      <c r="C105" s="127">
        <f>-I94</f>
        <v>0</v>
      </c>
      <c r="D105" s="128">
        <f>C105/C106</f>
        <v>0</v>
      </c>
      <c r="E105" s="45"/>
    </row>
    <row r="106" spans="1:7" ht="91" customHeight="1" thickBot="1">
      <c r="A106" s="214" t="s">
        <v>209</v>
      </c>
      <c r="B106" s="215"/>
      <c r="C106" s="216">
        <f>SUM(C102:C105)</f>
        <v>26961000</v>
      </c>
      <c r="D106" s="217"/>
      <c r="E106" s="218" t="s">
        <v>210</v>
      </c>
    </row>
    <row r="107" spans="1:7" ht="134.15" customHeight="1" thickBot="1">
      <c r="A107" s="219" t="s">
        <v>211</v>
      </c>
      <c r="B107" s="220" t="str">
        <f>B103</f>
        <v>Dienstverleningskosten-cap o.b.v. verhouding dienstverleningskosten (inclusief Leverancierscontinuïteitsmarge) t.o.v. het totaalbedrag min het percentage aan kortingen.</v>
      </c>
      <c r="C107" s="223">
        <f>D103+D104+D105</f>
        <v>0</v>
      </c>
      <c r="D107" s="220"/>
      <c r="E107" s="221" t="str">
        <f>IF(C107&lt;=0,"ONGELDIG: LET OP: Dienstverlenings-percentage is 0 of negatief. Dit is niet toegestaan, omdat er dan geen reële opslag-/dienstverleningscomponent overblijft.",IF(C107&gt;C35,"ONGELDIG: LET OP: Dienstverlenings-cap DEFINITIEF overschreden. Dit resulteert in een KNOCK-OUT.","Geldig om in te schrijven."))</f>
        <v>ONGELDIG: LET OP: Dienstverlenings-percentage is 0 of negatief. Dit is niet toegestaan, omdat er dan geen reële opslag-/dienstverleningscomponent overblijft.</v>
      </c>
    </row>
  </sheetData>
  <sheetProtection algorithmName="SHA-512" hashValue="Ul0OLTozYW/Bek2CwF+d44WDdt4wXAo5LbpYhGF7T/bd2Rh8W5Scktx1nqHimyNXsvZwLCO2TDPomCZAu8XHLQ==" saltValue="gDr+iPJjaSxgP/royG6guw==" spinCount="100000" sheet="1" objects="1" scenarios="1"/>
  <mergeCells count="13">
    <mergeCell ref="D39:F39"/>
    <mergeCell ref="H29:J29"/>
    <mergeCell ref="D30:F30"/>
    <mergeCell ref="H30:J30"/>
    <mergeCell ref="D31:F31"/>
    <mergeCell ref="H31:J31"/>
    <mergeCell ref="D35:F35"/>
    <mergeCell ref="D29:F29"/>
    <mergeCell ref="A1:F1"/>
    <mergeCell ref="D3:F3"/>
    <mergeCell ref="D19:F20"/>
    <mergeCell ref="E24:F24"/>
    <mergeCell ref="E25:F25"/>
  </mergeCells>
  <conditionalFormatting sqref="A90:I96">
    <cfRule type="containsText" dxfId="29" priority="13" operator="containsText" text="LET OP: Voorlopige Dienstverlenings-cap vóór kortingen overschreden">
      <formula>NOT(ISERROR(SEARCH("LET OP: Voorlopige Dienstverlenings-cap vóór kortingen overschreden",A90)))</formula>
    </cfRule>
  </conditionalFormatting>
  <conditionalFormatting sqref="A90:J92 J94:J96">
    <cfRule type="containsText" dxfId="28" priority="18" operator="containsText" text="CHECK: Bonuspercentages zijn niet progressief.">
      <formula>NOT(ISERROR(SEARCH("CHECK: Bonuspercentages zijn niet progressief.",A90)))</formula>
    </cfRule>
  </conditionalFormatting>
  <conditionalFormatting sqref="A1:XFD2 A3:D3 G3:XFD3 A4:XFD7 A8:H10 J8:XFD10 A11:XFD18 A19:A20 G19:XFD20 A21:XFD23 A24:E25 G24:XFD25 A26:XFD45 A46:D48 A49:B54 C49:D55 B55 B56:D56 A57:D57 A75:G81 A82:F82 G82:G83 A83:C83 E83:F83 A84:G86 A87:XFD89 A109:XFD1048576 K90:XFD96 A93:G96">
    <cfRule type="containsText" dxfId="27" priority="36" operator="containsText" text="CHECK: Bonuspercentages zijn niet progressief.">
      <formula>NOT(ISERROR(SEARCH("CHECK: Bonuspercentages zijn niet progressief.",A1)))</formula>
    </cfRule>
  </conditionalFormatting>
  <conditionalFormatting sqref="A1:XFD2 A3:D3 G3:XFD3 A4:XFD7 A8:H10 J8:XFD10 A11:XFD18 A19:A20 G19:XFD20 A21:XFD23 A24:E25 G24:XFD25 A26:XFD45 A46:D48 A49:B54 C49:D55 B55 B56:D56 A57:D57 A75:G81 A82:F82 G82:G83 A83:C83 E83:F83 A84:G86 A109:XFD1048576 A87:XFD89">
    <cfRule type="containsText" dxfId="26" priority="35" operator="containsText" text="LET OP: Voorlopige Dienstverlenings-cap vóór kortingen overschreden">
      <formula>NOT(ISERROR(SEARCH("LET OP: Voorlopige Dienstverlenings-cap vóór kortingen overschreden",A1)))</formula>
    </cfRule>
  </conditionalFormatting>
  <conditionalFormatting sqref="A1:XFD2 A3:D3 G3:XFD3 A4:XFD7 A8:H10 J8:XFD10 A11:XFD18 A19:A20 G19:XFD20 A21:XFD23 A24:E25 G24:XFD25 A26:XFD45 A46:D48 A49:B54 C49:D55 B55 B56:D56 A57:D57 A75:G81 A82:F82 G82:G83 A83:C83 E83:F83 A84:G86 A109:XFD1048576">
    <cfRule type="containsText" dxfId="25" priority="34" operator="containsText" text="LET OP: Dienstverlenings-cap DEFINITIEF overschreden. Dit resulteert in een KNOCK-OUT.">
      <formula>NOT(ISERROR(SEARCH("LET OP: Dienstverlenings-cap DEFINITIEF overschreden. Dit resulteert in een KNOCK-OUT.",A1)))</formula>
    </cfRule>
  </conditionalFormatting>
  <conditionalFormatting sqref="A58:XFD74">
    <cfRule type="containsText" dxfId="24" priority="24" operator="containsText" text="LET OP: Dienstverlenings-cap DEFINITIEF overschreden. Dit resulteert in een KNOCK-OUT.">
      <formula>NOT(ISERROR(SEARCH("LET OP: Dienstverlenings-cap DEFINITIEF overschreden. Dit resulteert in een KNOCK-OUT.",A58)))</formula>
    </cfRule>
    <cfRule type="containsText" dxfId="23" priority="27" operator="containsText" text="LET OP: Voorlopige Dienstverlenings-cap vóór kortingen overschreden">
      <formula>NOT(ISERROR(SEARCH("LET OP: Voorlopige Dienstverlenings-cap vóór kortingen overschreden",A58)))</formula>
    </cfRule>
    <cfRule type="containsText" dxfId="22" priority="28" operator="containsText" text="CHECK: Bonuspercentages zijn niet progressief.">
      <formula>NOT(ISERROR(SEARCH("CHECK: Bonuspercentages zijn niet progressief.",A58)))</formula>
    </cfRule>
  </conditionalFormatting>
  <conditionalFormatting sqref="A87:XFD107">
    <cfRule type="containsText" dxfId="21" priority="1" operator="containsText" text="LET OP: Dienstverlenings-cap DEFINITIEF overschreden. Dit resulteert in een KNOCK-OUT.">
      <formula>NOT(ISERROR(SEARCH("LET OP: Dienstverlenings-cap DEFINITIEF overschreden. Dit resulteert in een KNOCK-OUT.",A87)))</formula>
    </cfRule>
  </conditionalFormatting>
  <conditionalFormatting sqref="A97:XFD107">
    <cfRule type="containsText" dxfId="20" priority="3" operator="containsText" text="LET OP: Voorlopige Dienstverlenings-cap vóór kortingen overschreden">
      <formula>NOT(ISERROR(SEARCH("LET OP: Voorlopige Dienstverlenings-cap vóór kortingen overschreden",A97)))</formula>
    </cfRule>
    <cfRule type="containsText" dxfId="19" priority="4" operator="containsText" text="CHECK: Bonuspercentages zijn niet progressief.">
      <formula>NOT(ISERROR(SEARCH("CHECK: Bonuspercentages zijn niet progressief.",A97)))</formula>
    </cfRule>
  </conditionalFormatting>
  <conditionalFormatting sqref="E107">
    <cfRule type="containsText" dxfId="18" priority="2"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overblijft.",E107)))</formula>
    </cfRule>
  </conditionalFormatting>
  <conditionalFormatting sqref="E46:XFD57">
    <cfRule type="containsText" dxfId="17" priority="29" operator="containsText" text="LET OP: Dienstverlenings-cap DEFINITIEF overschreden. Dit resulteert in een KNOCK-OUT.">
      <formula>NOT(ISERROR(SEARCH("LET OP: Dienstverlenings-cap DEFINITIEF overschreden. Dit resulteert in een KNOCK-OUT.",E46)))</formula>
    </cfRule>
    <cfRule type="containsText" dxfId="16" priority="32" operator="containsText" text="LET OP: Voorlopige Dienstverlenings-cap vóór kortingen overschreden">
      <formula>NOT(ISERROR(SEARCH("LET OP: Voorlopige Dienstverlenings-cap vóór kortingen overschreden",E46)))</formula>
    </cfRule>
    <cfRule type="containsText" dxfId="15" priority="33" operator="containsText" text="CHECK: Bonuspercentages zijn niet progressief.">
      <formula>NOT(ISERROR(SEARCH("CHECK: Bonuspercentages zijn niet progressief.",E46)))</formula>
    </cfRule>
  </conditionalFormatting>
  <conditionalFormatting sqref="H46:H57">
    <cfRule type="containsText" dxfId="14" priority="31"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overblijft.",H46)))</formula>
    </cfRule>
  </conditionalFormatting>
  <conditionalFormatting sqref="H48:H55">
    <cfRule type="containsText" dxfId="13" priority="30" operator="containsText" text="LET OP: Marge mag niet 0 euro of minder zijn.">
      <formula>NOT(ISERROR(SEARCH("LET OP: Marge mag niet 0 euro of minder zijn.",H48)))</formula>
    </cfRule>
  </conditionalFormatting>
  <conditionalFormatting sqref="H61:H71">
    <cfRule type="containsText" dxfId="12" priority="26"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overblijft.",H61)))</formula>
    </cfRule>
  </conditionalFormatting>
  <conditionalFormatting sqref="H63:H70">
    <cfRule type="containsText" dxfId="11" priority="25" operator="containsText" text="LET OP: Kortingspercentage mag niet een negatief percentage zijn.">
      <formula>NOT(ISERROR(SEARCH("LET OP: Kortingspercentage mag niet een negatief percentage zijn.",H63)))</formula>
    </cfRule>
  </conditionalFormatting>
  <conditionalFormatting sqref="H75:H86">
    <cfRule type="containsText" dxfId="10" priority="21"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overblijft.",H75)))</formula>
    </cfRule>
  </conditionalFormatting>
  <conditionalFormatting sqref="H77:H83">
    <cfRule type="containsText" dxfId="9" priority="20" operator="containsText" text="LET OP: Bedrag/Percentage mag niet negatief zijn (mag niet onder 0 uitkomen).">
      <formula>NOT(ISERROR(SEARCH("LET OP: Bedrag/Percentage mag niet negatief zijn (mag niet onder 0 uitkomen).",H77)))</formula>
    </cfRule>
  </conditionalFormatting>
  <conditionalFormatting sqref="H94:I96">
    <cfRule type="containsText" dxfId="8" priority="14" operator="containsText" text="CHECK: Bonuspercentages zijn niet progressief.">
      <formula>NOT(ISERROR(SEARCH("CHECK: Bonuspercentages zijn niet progressief.",H94)))</formula>
    </cfRule>
  </conditionalFormatting>
  <conditionalFormatting sqref="H95:I96">
    <cfRule type="containsText" dxfId="7" priority="12"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overblijft.",H95)))</formula>
    </cfRule>
  </conditionalFormatting>
  <conditionalFormatting sqref="H75:XFD86">
    <cfRule type="containsText" dxfId="6" priority="19" operator="containsText" text="LET OP: Dienstverlenings-cap DEFINITIEF overschreden. Dit resulteert in een KNOCK-OUT.">
      <formula>NOT(ISERROR(SEARCH("LET OP: Dienstverlenings-cap DEFINITIEF overschreden. Dit resulteert in een KNOCK-OUT.",H75)))</formula>
    </cfRule>
    <cfRule type="containsText" dxfId="5" priority="22" operator="containsText" text="LET OP: Voorlopige Dienstverlenings-cap vóór kortingen overschreden">
      <formula>NOT(ISERROR(SEARCH("LET OP: Voorlopige Dienstverlenings-cap vóór kortingen overschreden",H75)))</formula>
    </cfRule>
    <cfRule type="containsText" dxfId="4" priority="23" operator="containsText" text="CHECK: Bonuspercentages zijn niet progressief.">
      <formula>NOT(ISERROR(SEARCH("CHECK: Bonuspercentages zijn niet progressief.",H75)))</formula>
    </cfRule>
  </conditionalFormatting>
  <conditionalFormatting sqref="I95">
    <cfRule type="containsText" dxfId="3" priority="11" operator="containsText" text="LET OP: Bonuspercentages mogen alleen progressief zijn.">
      <formula>NOT(ISERROR(SEARCH("LET OP: Bonuspercentages mogen alleen progressief zijn.",I95)))</formula>
    </cfRule>
  </conditionalFormatting>
  <conditionalFormatting sqref="I96">
    <cfRule type="containsText" dxfId="2" priority="10" operator="containsText" text="LET OP: Kortingspercentage mag niet een negatief percentage zijn.">
      <formula>NOT(ISERROR(SEARCH("LET OP: Kortingspercentage mag niet een negatief percentage zijn.",I96)))</formula>
    </cfRule>
  </conditionalFormatting>
  <conditionalFormatting sqref="J90:J96">
    <cfRule type="containsText" dxfId="1" priority="16" operator="containsText" text="LET OP: Dienstverlenings-percentage is 0 of negatief. Dit is niet toegestaan, omdat er dan geen reële opslag-/dienstverleningscomponent overblijft.">
      <formula>NOT(ISERROR(SEARCH("LET OP: Dienstverlenings-percentage is 0 of negatief. Dit is niet toegestaan, omdat er dan geen reële opslag-/dienstverleningscomponent overblijft.",J90)))</formula>
    </cfRule>
  </conditionalFormatting>
  <conditionalFormatting sqref="J90:XFD96">
    <cfRule type="containsText" dxfId="0" priority="17" operator="containsText" text="LET OP: Voorlopige Dienstverlenings-cap vóór kortingen overschreden">
      <formula>NOT(ISERROR(SEARCH("LET OP: Voorlopige Dienstverlenings-cap vóór kortingen overschreden",J90)))</formula>
    </cfRule>
  </conditionalFormatting>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C4E1E864520148A820EA20ED84C108" ma:contentTypeVersion="3" ma:contentTypeDescription="Een nieuw document maken." ma:contentTypeScope="" ma:versionID="dda9ced6e8357f01652b6eba00f44031">
  <xsd:schema xmlns:xsd="http://www.w3.org/2001/XMLSchema" xmlns:xs="http://www.w3.org/2001/XMLSchema" xmlns:p="http://schemas.microsoft.com/office/2006/metadata/properties" xmlns:ns2="549286f1-8c1b-4f8b-9ff5-b91a56830df7" targetNamespace="http://schemas.microsoft.com/office/2006/metadata/properties" ma:root="true" ma:fieldsID="855a9c897070ba2a528b256b70fd9b72" ns2:_="">
    <xsd:import namespace="549286f1-8c1b-4f8b-9ff5-b91a56830d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286f1-8c1b-4f8b-9ff5-b91a56830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60EAA5-9B78-4B29-B12B-CE09C0479418}">
  <ds:schemaRefs>
    <ds:schemaRef ds:uri="549286f1-8c1b-4f8b-9ff5-b91a56830df7"/>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3BE968B-4A77-4664-BE77-BB64FA5FD6A2}"/>
</file>

<file path=customXml/itemProps3.xml><?xml version="1.0" encoding="utf-8"?>
<ds:datastoreItem xmlns:ds="http://schemas.openxmlformats.org/officeDocument/2006/customXml" ds:itemID="{986B90E9-6A58-40C4-82CD-AD18C7D224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Inschrijver</vt:lpstr>
      <vt:lpstr>Toelichting</vt:lpstr>
      <vt:lpstr>Prijsinvulblad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Saef Ibrahim</dc:creator>
  <cp:keywords/>
  <dc:description/>
  <cp:lastModifiedBy>Saef Ibrahim</cp:lastModifiedBy>
  <cp:revision/>
  <dcterms:created xsi:type="dcterms:W3CDTF">2026-07-05T16:14:33Z</dcterms:created>
  <dcterms:modified xsi:type="dcterms:W3CDTF">2026-10-06T13:35:54Z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0x01010095C4E1E864520148A820EA20ED84C108</vt:lpwstr>
  </property>
</Properties>
</file>