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on Aanbestedingsdesk\Begeleiding Europese Aanbestedingen\Brandverzekering\Gemeente\Werkorganisatie Druten Wijchen\2026\NvI\"/>
    </mc:Choice>
  </mc:AlternateContent>
  <xr:revisionPtr revIDLastSave="0" documentId="13_ncr:1_{28CA468E-85DB-4BE1-B361-F4C169A4FF06}" xr6:coauthVersionLast="47" xr6:coauthVersionMax="47" xr10:uidLastSave="{00000000-0000-0000-0000-000000000000}"/>
  <bookViews>
    <workbookView xWindow="-4380" yWindow="-21720" windowWidth="38640" windowHeight="21120" xr2:uid="{BC6509B3-8A67-49F1-8A61-42E4BF47E72C}"/>
  </bookViews>
  <sheets>
    <sheet name="Object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63" i="1" l="1"/>
  <c r="AC63" i="1"/>
  <c r="AE62" i="1"/>
  <c r="AE61" i="1"/>
  <c r="AC61" i="1"/>
  <c r="AE60" i="1"/>
  <c r="AC60" i="1"/>
  <c r="AE59" i="1"/>
  <c r="AC59" i="1"/>
  <c r="AE58" i="1"/>
  <c r="AC58" i="1"/>
  <c r="AE57" i="1"/>
  <c r="AC57" i="1"/>
  <c r="AE56" i="1"/>
  <c r="AC56" i="1"/>
  <c r="AE55" i="1"/>
  <c r="AC55" i="1"/>
  <c r="AE51" i="1"/>
  <c r="AC51" i="1"/>
  <c r="AE50" i="1"/>
  <c r="AC50" i="1"/>
  <c r="AE49" i="1"/>
  <c r="AE48" i="1"/>
  <c r="AC48" i="1"/>
  <c r="AE44" i="1"/>
  <c r="AC44" i="1"/>
  <c r="AE43" i="1"/>
  <c r="AC43" i="1"/>
  <c r="AC42" i="1"/>
  <c r="AE38" i="1"/>
  <c r="AC38" i="1"/>
  <c r="AC37" i="1"/>
  <c r="AE33" i="1"/>
  <c r="AC33" i="1"/>
  <c r="AE32" i="1"/>
  <c r="AC32" i="1"/>
  <c r="AE31" i="1"/>
  <c r="AC31" i="1"/>
  <c r="AC27" i="1"/>
  <c r="AC26" i="1"/>
  <c r="AC18" i="1"/>
  <c r="AC17" i="1"/>
  <c r="AC16" i="1"/>
  <c r="AC15" i="1"/>
  <c r="AC14" i="1"/>
  <c r="AC13" i="1"/>
  <c r="AE9" i="1"/>
  <c r="AC9" i="1"/>
  <c r="AC8" i="1"/>
  <c r="AE7" i="1"/>
  <c r="AC7" i="1"/>
  <c r="V63" i="1" l="1"/>
  <c r="X63" i="1" s="1"/>
  <c r="U62" i="1"/>
  <c r="U63" i="1"/>
  <c r="X62" i="1"/>
  <c r="W8" i="1" l="1"/>
  <c r="W7" i="1"/>
  <c r="S8" i="1" l="1"/>
  <c r="R8" i="1"/>
  <c r="O8" i="1"/>
  <c r="Q49" i="1"/>
  <c r="T49" i="1" s="1"/>
  <c r="W49" i="1" s="1"/>
  <c r="M49" i="1"/>
  <c r="O49" i="1" s="1"/>
  <c r="K27" i="1"/>
  <c r="M27" i="1" s="1"/>
  <c r="J27" i="1"/>
  <c r="L27" i="1" s="1"/>
  <c r="N27" i="1" s="1"/>
  <c r="Q27" i="1" s="1"/>
  <c r="G27" i="1"/>
  <c r="H27" i="1" s="1"/>
  <c r="K26" i="1"/>
  <c r="M26" i="1" s="1"/>
  <c r="J26" i="1"/>
  <c r="L26" i="1" s="1"/>
  <c r="N26" i="1" s="1"/>
  <c r="Q26" i="1" s="1"/>
  <c r="G26" i="1"/>
  <c r="H26" i="1" s="1"/>
  <c r="K18" i="1"/>
  <c r="M18" i="1" s="1"/>
  <c r="J18" i="1"/>
  <c r="L18" i="1" s="1"/>
  <c r="N18" i="1" s="1"/>
  <c r="Q18" i="1" s="1"/>
  <c r="G18" i="1"/>
  <c r="H18" i="1" s="1"/>
  <c r="K17" i="1"/>
  <c r="M17" i="1" s="1"/>
  <c r="J17" i="1"/>
  <c r="L17" i="1" s="1"/>
  <c r="N17" i="1" s="1"/>
  <c r="Q17" i="1" s="1"/>
  <c r="G17" i="1"/>
  <c r="H17" i="1" s="1"/>
  <c r="K16" i="1"/>
  <c r="M16" i="1" s="1"/>
  <c r="J16" i="1"/>
  <c r="L16" i="1" s="1"/>
  <c r="N16" i="1" s="1"/>
  <c r="Q16" i="1" s="1"/>
  <c r="G16" i="1"/>
  <c r="H16" i="1" s="1"/>
  <c r="K22" i="1"/>
  <c r="M22" i="1" s="1"/>
  <c r="J22" i="1"/>
  <c r="L22" i="1" s="1"/>
  <c r="N22" i="1" s="1"/>
  <c r="Q22" i="1" s="1"/>
  <c r="G22" i="1"/>
  <c r="H22" i="1" s="1"/>
  <c r="K15" i="1"/>
  <c r="M15" i="1" s="1"/>
  <c r="J15" i="1"/>
  <c r="L15" i="1" s="1"/>
  <c r="N15" i="1" s="1"/>
  <c r="Q15" i="1" s="1"/>
  <c r="G15" i="1"/>
  <c r="H15" i="1" s="1"/>
  <c r="K14" i="1"/>
  <c r="M14" i="1" s="1"/>
  <c r="P14" i="1" s="1"/>
  <c r="S14" i="1" s="1"/>
  <c r="V14" i="1" s="1"/>
  <c r="J14" i="1"/>
  <c r="L14" i="1" s="1"/>
  <c r="N14" i="1" s="1"/>
  <c r="Q14" i="1" s="1"/>
  <c r="G14" i="1"/>
  <c r="H14" i="1" s="1"/>
  <c r="K13" i="1"/>
  <c r="M13" i="1" s="1"/>
  <c r="J13" i="1"/>
  <c r="L13" i="1" s="1"/>
  <c r="N13" i="1" s="1"/>
  <c r="Q13" i="1" s="1"/>
  <c r="G13" i="1"/>
  <c r="H13" i="1" s="1"/>
  <c r="L32" i="1"/>
  <c r="N32" i="1" s="1"/>
  <c r="Q32" i="1" s="1"/>
  <c r="K32" i="1"/>
  <c r="M32" i="1" s="1"/>
  <c r="H32" i="1"/>
  <c r="L44" i="1"/>
  <c r="N44" i="1" s="1"/>
  <c r="Q44" i="1" s="1"/>
  <c r="K44" i="1"/>
  <c r="M44" i="1" s="1"/>
  <c r="P44" i="1" s="1"/>
  <c r="S44" i="1" s="1"/>
  <c r="V44" i="1" s="1"/>
  <c r="H44" i="1"/>
  <c r="L50" i="1"/>
  <c r="N50" i="1" s="1"/>
  <c r="Q50" i="1" s="1"/>
  <c r="K50" i="1"/>
  <c r="M50" i="1" s="1"/>
  <c r="L43" i="1"/>
  <c r="N43" i="1" s="1"/>
  <c r="Q43" i="1" s="1"/>
  <c r="K43" i="1"/>
  <c r="M43" i="1" s="1"/>
  <c r="P43" i="1" s="1"/>
  <c r="S43" i="1" s="1"/>
  <c r="V43" i="1" s="1"/>
  <c r="H43" i="1"/>
  <c r="K9" i="1"/>
  <c r="M9" i="1" s="1"/>
  <c r="P9" i="1" s="1"/>
  <c r="S9" i="1" s="1"/>
  <c r="V9" i="1" s="1"/>
  <c r="J9" i="1"/>
  <c r="L9" i="1" s="1"/>
  <c r="N9" i="1" s="1"/>
  <c r="G9" i="1"/>
  <c r="H9" i="1" s="1"/>
  <c r="L61" i="1"/>
  <c r="N61" i="1" s="1"/>
  <c r="Q61" i="1" s="1"/>
  <c r="K61" i="1"/>
  <c r="M61" i="1" s="1"/>
  <c r="P61" i="1" s="1"/>
  <c r="S61" i="1" s="1"/>
  <c r="G61" i="1"/>
  <c r="H61" i="1" s="1"/>
  <c r="L33" i="1"/>
  <c r="N33" i="1" s="1"/>
  <c r="Q33" i="1" s="1"/>
  <c r="K33" i="1"/>
  <c r="M33" i="1" s="1"/>
  <c r="G33" i="1"/>
  <c r="H33" i="1" s="1"/>
  <c r="L42" i="1"/>
  <c r="N42" i="1" s="1"/>
  <c r="K42" i="1"/>
  <c r="M42" i="1" s="1"/>
  <c r="P42" i="1" s="1"/>
  <c r="S42" i="1" s="1"/>
  <c r="V42" i="1" s="1"/>
  <c r="G42" i="1"/>
  <c r="H42" i="1" s="1"/>
  <c r="L38" i="1"/>
  <c r="N38" i="1" s="1"/>
  <c r="Q38" i="1" s="1"/>
  <c r="K38" i="1"/>
  <c r="M38" i="1" s="1"/>
  <c r="P38" i="1" s="1"/>
  <c r="S38" i="1" s="1"/>
  <c r="V38" i="1" s="1"/>
  <c r="G38" i="1"/>
  <c r="H38" i="1" s="1"/>
  <c r="L56" i="1"/>
  <c r="N56" i="1" s="1"/>
  <c r="Q56" i="1" s="1"/>
  <c r="K56" i="1"/>
  <c r="M56" i="1" s="1"/>
  <c r="G56" i="1"/>
  <c r="H56" i="1" s="1"/>
  <c r="L58" i="1"/>
  <c r="N58" i="1" s="1"/>
  <c r="Q58" i="1" s="1"/>
  <c r="K58" i="1"/>
  <c r="M58" i="1" s="1"/>
  <c r="G58" i="1"/>
  <c r="H58" i="1" s="1"/>
  <c r="K60" i="1"/>
  <c r="M60" i="1" s="1"/>
  <c r="P60" i="1" s="1"/>
  <c r="S60" i="1" s="1"/>
  <c r="V60" i="1" s="1"/>
  <c r="J60" i="1"/>
  <c r="L60" i="1" s="1"/>
  <c r="N60" i="1" s="1"/>
  <c r="Q60" i="1" s="1"/>
  <c r="G60" i="1"/>
  <c r="H60" i="1" s="1"/>
  <c r="K48" i="1"/>
  <c r="M48" i="1" s="1"/>
  <c r="J48" i="1"/>
  <c r="L48" i="1" s="1"/>
  <c r="N48" i="1" s="1"/>
  <c r="Q48" i="1" s="1"/>
  <c r="H48" i="1"/>
  <c r="L59" i="1"/>
  <c r="N59" i="1" s="1"/>
  <c r="Q59" i="1" s="1"/>
  <c r="K59" i="1"/>
  <c r="M59" i="1" s="1"/>
  <c r="G59" i="1"/>
  <c r="H59" i="1" s="1"/>
  <c r="K37" i="1"/>
  <c r="M37" i="1" s="1"/>
  <c r="P37" i="1" s="1"/>
  <c r="S37" i="1" s="1"/>
  <c r="V37" i="1" s="1"/>
  <c r="J37" i="1"/>
  <c r="L37" i="1" s="1"/>
  <c r="N37" i="1" s="1"/>
  <c r="Q37" i="1" s="1"/>
  <c r="G37" i="1"/>
  <c r="H37" i="1" s="1"/>
  <c r="L57" i="1"/>
  <c r="N57" i="1" s="1"/>
  <c r="Q57" i="1" s="1"/>
  <c r="K57" i="1"/>
  <c r="M57" i="1" s="1"/>
  <c r="G57" i="1"/>
  <c r="H57" i="1" s="1"/>
  <c r="L55" i="1"/>
  <c r="N55" i="1" s="1"/>
  <c r="Q55" i="1" s="1"/>
  <c r="K55" i="1"/>
  <c r="M55" i="1" s="1"/>
  <c r="G55" i="1"/>
  <c r="H55" i="1" s="1"/>
  <c r="L31" i="1"/>
  <c r="N31" i="1" s="1"/>
  <c r="Q31" i="1" s="1"/>
  <c r="K31" i="1"/>
  <c r="M31" i="1" s="1"/>
  <c r="P31" i="1" s="1"/>
  <c r="S31" i="1" s="1"/>
  <c r="V31" i="1" s="1"/>
  <c r="G31" i="1"/>
  <c r="H31" i="1" s="1"/>
  <c r="L51" i="1"/>
  <c r="N51" i="1" s="1"/>
  <c r="Q51" i="1" s="1"/>
  <c r="T51" i="1" s="1"/>
  <c r="W51" i="1" s="1"/>
  <c r="K51" i="1"/>
  <c r="M51" i="1" s="1"/>
  <c r="P51" i="1" s="1"/>
  <c r="G51" i="1"/>
  <c r="H51" i="1" s="1"/>
  <c r="K7" i="1"/>
  <c r="M7" i="1" s="1"/>
  <c r="J7" i="1"/>
  <c r="L7" i="1" s="1"/>
  <c r="G7" i="1"/>
  <c r="H7" i="1" s="1"/>
  <c r="V61" i="1" l="1"/>
  <c r="U8" i="1"/>
  <c r="V8" i="1"/>
  <c r="X8" i="1" s="1"/>
  <c r="V39" i="1"/>
  <c r="S39" i="1"/>
  <c r="V45" i="1"/>
  <c r="S45" i="1"/>
  <c r="O17" i="1"/>
  <c r="O32" i="1"/>
  <c r="P32" i="1"/>
  <c r="S32" i="1" s="1"/>
  <c r="V32" i="1" s="1"/>
  <c r="O50" i="1"/>
  <c r="P50" i="1"/>
  <c r="S50" i="1" s="1"/>
  <c r="V50" i="1" s="1"/>
  <c r="K67" i="1"/>
  <c r="O61" i="1"/>
  <c r="P49" i="1"/>
  <c r="S49" i="1" s="1"/>
  <c r="V49" i="1" s="1"/>
  <c r="X49" i="1" s="1"/>
  <c r="P17" i="1"/>
  <c r="S17" i="1" s="1"/>
  <c r="V17" i="1" s="1"/>
  <c r="I67" i="1"/>
  <c r="T55" i="1"/>
  <c r="Q9" i="1"/>
  <c r="O9" i="1"/>
  <c r="P22" i="1"/>
  <c r="S22" i="1" s="1"/>
  <c r="V22" i="1" s="1"/>
  <c r="O22" i="1"/>
  <c r="T58" i="1"/>
  <c r="W58" i="1" s="1"/>
  <c r="O13" i="1"/>
  <c r="P13" i="1"/>
  <c r="S13" i="1" s="1"/>
  <c r="P57" i="1"/>
  <c r="S57" i="1" s="1"/>
  <c r="V57" i="1" s="1"/>
  <c r="O57" i="1"/>
  <c r="T31" i="1"/>
  <c r="W31" i="1" s="1"/>
  <c r="X31" i="1" s="1"/>
  <c r="R31" i="1"/>
  <c r="O59" i="1"/>
  <c r="P59" i="1"/>
  <c r="S59" i="1" s="1"/>
  <c r="V59" i="1" s="1"/>
  <c r="P56" i="1"/>
  <c r="S56" i="1" s="1"/>
  <c r="V56" i="1" s="1"/>
  <c r="O56" i="1"/>
  <c r="P33" i="1"/>
  <c r="S33" i="1" s="1"/>
  <c r="V33" i="1" s="1"/>
  <c r="O33" i="1"/>
  <c r="T13" i="1"/>
  <c r="P15" i="1"/>
  <c r="S15" i="1" s="1"/>
  <c r="V15" i="1" s="1"/>
  <c r="O15" i="1"/>
  <c r="T50" i="1"/>
  <c r="W50" i="1" s="1"/>
  <c r="T27" i="1"/>
  <c r="W27" i="1" s="1"/>
  <c r="T61" i="1"/>
  <c r="R61" i="1"/>
  <c r="T22" i="1"/>
  <c r="W22" i="1" s="1"/>
  <c r="P26" i="1"/>
  <c r="S26" i="1" s="1"/>
  <c r="V26" i="1" s="1"/>
  <c r="O26" i="1"/>
  <c r="T57" i="1"/>
  <c r="W57" i="1" s="1"/>
  <c r="T60" i="1"/>
  <c r="W60" i="1" s="1"/>
  <c r="X60" i="1" s="1"/>
  <c r="R60" i="1"/>
  <c r="T38" i="1"/>
  <c r="W38" i="1" s="1"/>
  <c r="X38" i="1" s="1"/>
  <c r="R38" i="1"/>
  <c r="T33" i="1"/>
  <c r="W33" i="1" s="1"/>
  <c r="T43" i="1"/>
  <c r="W43" i="1" s="1"/>
  <c r="X43" i="1" s="1"/>
  <c r="R43" i="1"/>
  <c r="T32" i="1"/>
  <c r="W32" i="1" s="1"/>
  <c r="T15" i="1"/>
  <c r="W15" i="1" s="1"/>
  <c r="T16" i="1"/>
  <c r="W16" i="1" s="1"/>
  <c r="T26" i="1"/>
  <c r="W26" i="1" s="1"/>
  <c r="T37" i="1"/>
  <c r="R37" i="1"/>
  <c r="M67" i="1"/>
  <c r="R14" i="1"/>
  <c r="T14" i="1"/>
  <c r="W14" i="1" s="1"/>
  <c r="X14" i="1" s="1"/>
  <c r="O16" i="1"/>
  <c r="P16" i="1"/>
  <c r="S16" i="1" s="1"/>
  <c r="V16" i="1" s="1"/>
  <c r="X16" i="1" s="1"/>
  <c r="R51" i="1"/>
  <c r="S51" i="1"/>
  <c r="V51" i="1" s="1"/>
  <c r="X51" i="1" s="1"/>
  <c r="T18" i="1"/>
  <c r="W18" i="1" s="1"/>
  <c r="P48" i="1"/>
  <c r="S48" i="1" s="1"/>
  <c r="V48" i="1" s="1"/>
  <c r="O48" i="1"/>
  <c r="T59" i="1"/>
  <c r="W59" i="1" s="1"/>
  <c r="P18" i="1"/>
  <c r="S18" i="1" s="1"/>
  <c r="V18" i="1" s="1"/>
  <c r="X18" i="1" s="1"/>
  <c r="O18" i="1"/>
  <c r="O55" i="1"/>
  <c r="P55" i="1"/>
  <c r="S55" i="1" s="1"/>
  <c r="N7" i="1"/>
  <c r="L67" i="1"/>
  <c r="T48" i="1"/>
  <c r="W48" i="1" s="1"/>
  <c r="O58" i="1"/>
  <c r="P58" i="1"/>
  <c r="S58" i="1" s="1"/>
  <c r="V58" i="1" s="1"/>
  <c r="X58" i="1" s="1"/>
  <c r="Q42" i="1"/>
  <c r="O42" i="1"/>
  <c r="T44" i="1"/>
  <c r="W44" i="1" s="1"/>
  <c r="X44" i="1" s="1"/>
  <c r="R44" i="1"/>
  <c r="O14" i="1"/>
  <c r="T17" i="1"/>
  <c r="W17" i="1" s="1"/>
  <c r="O27" i="1"/>
  <c r="P27" i="1"/>
  <c r="S27" i="1" s="1"/>
  <c r="V27" i="1" s="1"/>
  <c r="X27" i="1" s="1"/>
  <c r="P7" i="1"/>
  <c r="T56" i="1"/>
  <c r="W56" i="1" s="1"/>
  <c r="O38" i="1"/>
  <c r="O44" i="1"/>
  <c r="O31" i="1"/>
  <c r="O37" i="1"/>
  <c r="O60" i="1"/>
  <c r="O43" i="1"/>
  <c r="J67" i="1"/>
  <c r="K70" i="1" s="1"/>
  <c r="O51" i="1"/>
  <c r="S64" i="1" l="1"/>
  <c r="W61" i="1"/>
  <c r="X61" i="1" s="1"/>
  <c r="U61" i="1"/>
  <c r="T64" i="1"/>
  <c r="V55" i="1"/>
  <c r="V64" i="1" s="1"/>
  <c r="W55" i="1"/>
  <c r="W64" i="1" s="1"/>
  <c r="W13" i="1"/>
  <c r="W19" i="1" s="1"/>
  <c r="T19" i="1"/>
  <c r="V13" i="1"/>
  <c r="V19" i="1" s="1"/>
  <c r="S19" i="1"/>
  <c r="X48" i="1"/>
  <c r="T39" i="1"/>
  <c r="W37" i="1"/>
  <c r="X37" i="1" s="1"/>
  <c r="X26" i="1"/>
  <c r="X15" i="1"/>
  <c r="X33" i="1"/>
  <c r="X56" i="1"/>
  <c r="X59" i="1"/>
  <c r="X57" i="1"/>
  <c r="X13" i="1"/>
  <c r="X22" i="1"/>
  <c r="X17" i="1"/>
  <c r="X50" i="1"/>
  <c r="X32" i="1"/>
  <c r="W23" i="1"/>
  <c r="T23" i="1"/>
  <c r="V23" i="1"/>
  <c r="S23" i="1"/>
  <c r="W52" i="1"/>
  <c r="T52" i="1"/>
  <c r="S52" i="1"/>
  <c r="W28" i="1"/>
  <c r="T28" i="1"/>
  <c r="V28" i="1"/>
  <c r="S28" i="1"/>
  <c r="T34" i="1"/>
  <c r="S34" i="1"/>
  <c r="V34" i="1"/>
  <c r="U51" i="1"/>
  <c r="U43" i="1"/>
  <c r="U31" i="1"/>
  <c r="W34" i="1"/>
  <c r="U37" i="1"/>
  <c r="U14" i="1"/>
  <c r="U38" i="1"/>
  <c r="U60" i="1"/>
  <c r="U44" i="1"/>
  <c r="U49" i="1"/>
  <c r="R32" i="1"/>
  <c r="U27" i="1"/>
  <c r="U55" i="1"/>
  <c r="R50" i="1"/>
  <c r="R57" i="1"/>
  <c r="U50" i="1"/>
  <c r="U16" i="1"/>
  <c r="R56" i="1"/>
  <c r="R13" i="1"/>
  <c r="U32" i="1"/>
  <c r="U17" i="1"/>
  <c r="R59" i="1"/>
  <c r="U33" i="1"/>
  <c r="R49" i="1"/>
  <c r="U48" i="1"/>
  <c r="U52" i="1" s="1"/>
  <c r="R15" i="1"/>
  <c r="U26" i="1"/>
  <c r="U28" i="1" s="1"/>
  <c r="R17" i="1"/>
  <c r="U18" i="1"/>
  <c r="R22" i="1"/>
  <c r="R58" i="1"/>
  <c r="R18" i="1"/>
  <c r="R48" i="1"/>
  <c r="U22" i="1"/>
  <c r="U23" i="1" s="1"/>
  <c r="N67" i="1"/>
  <c r="O7" i="1"/>
  <c r="O67" i="1" s="1"/>
  <c r="Q7" i="1"/>
  <c r="R26" i="1"/>
  <c r="U57" i="1"/>
  <c r="T9" i="1"/>
  <c r="R9" i="1"/>
  <c r="T42" i="1"/>
  <c r="R42" i="1"/>
  <c r="R16" i="1"/>
  <c r="R27" i="1"/>
  <c r="U56" i="1"/>
  <c r="U13" i="1"/>
  <c r="R55" i="1"/>
  <c r="S7" i="1"/>
  <c r="V7" i="1" s="1"/>
  <c r="X7" i="1" s="1"/>
  <c r="P67" i="1"/>
  <c r="U58" i="1"/>
  <c r="R33" i="1"/>
  <c r="U15" i="1"/>
  <c r="U59" i="1"/>
  <c r="U64" i="1" l="1"/>
  <c r="X55" i="1"/>
  <c r="X64" i="1" s="1"/>
  <c r="U19" i="1"/>
  <c r="X34" i="1"/>
  <c r="X23" i="1"/>
  <c r="X19" i="1"/>
  <c r="X28" i="1"/>
  <c r="X39" i="1"/>
  <c r="T45" i="1"/>
  <c r="W42" i="1"/>
  <c r="X42" i="1" s="1"/>
  <c r="T10" i="1"/>
  <c r="W9" i="1"/>
  <c r="X9" i="1" s="1"/>
  <c r="X52" i="1"/>
  <c r="T67" i="1"/>
  <c r="V10" i="1"/>
  <c r="S10" i="1"/>
  <c r="S67" i="1" s="1"/>
  <c r="W39" i="1"/>
  <c r="U39" i="1"/>
  <c r="U34" i="1"/>
  <c r="V52" i="1"/>
  <c r="V67" i="1" s="1"/>
  <c r="U42" i="1"/>
  <c r="U45" i="1" s="1"/>
  <c r="W45" i="1"/>
  <c r="U9" i="1"/>
  <c r="W10" i="1"/>
  <c r="R7" i="1"/>
  <c r="R67" i="1" s="1"/>
  <c r="Q67" i="1"/>
  <c r="U7" i="1"/>
  <c r="U10" i="1" s="1"/>
  <c r="X10" i="1" l="1"/>
  <c r="X45" i="1"/>
  <c r="X67" i="1" s="1"/>
  <c r="X70" i="1" s="1"/>
  <c r="W67" i="1"/>
  <c r="U6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Maartje van Dalen</author>
  </authors>
  <commentList>
    <comment ref="G48" authorId="0" shapeId="0" xr:uid="{E5D450A8-E9FB-4AA8-8107-EA09760BFF5C}">
      <text>
        <r>
          <rPr>
            <b/>
            <sz val="9"/>
            <color indexed="81"/>
            <rFont val="Tahoma"/>
            <family val="2"/>
          </rPr>
          <t>Maartje van Dalen:</t>
        </r>
        <r>
          <rPr>
            <sz val="9"/>
            <color indexed="81"/>
            <rFont val="Tahoma"/>
            <family val="2"/>
          </rPr>
          <t xml:space="preserve">
ontwikkeling van de nieuwe Doorkijk bedroeg 3,2 miljoen</t>
        </r>
      </text>
    </comment>
  </commentList>
</comments>
</file>

<file path=xl/sharedStrings.xml><?xml version="1.0" encoding="utf-8"?>
<sst xmlns="http://schemas.openxmlformats.org/spreadsheetml/2006/main" count="521" uniqueCount="171">
  <si>
    <t>Omschrijving</t>
  </si>
  <si>
    <t>Straat</t>
  </si>
  <si>
    <t>Postcode</t>
  </si>
  <si>
    <t>Plaats</t>
  </si>
  <si>
    <t>Indexcijfer 131,5</t>
  </si>
  <si>
    <t>Indexcijfer 140,3</t>
  </si>
  <si>
    <t>Indexcijfer 150,8</t>
  </si>
  <si>
    <t>Indexcijfer 159,8</t>
  </si>
  <si>
    <t>Indexcijfer 124,0</t>
  </si>
  <si>
    <t>Indexcijfer 122,3</t>
  </si>
  <si>
    <t>Indexcijfer 128,4</t>
  </si>
  <si>
    <t>Indexcijfer 124,4</t>
  </si>
  <si>
    <t>Indexcijfer 133,4</t>
  </si>
  <si>
    <t>Indexcijfer 129,6</t>
  </si>
  <si>
    <t>Inventaris gymzaal Afferden</t>
  </si>
  <si>
    <t>Koningsplein 24</t>
  </si>
  <si>
    <t>6654 BX</t>
  </si>
  <si>
    <t>Afferden</t>
  </si>
  <si>
    <t>Scoutingboerderij Afferden</t>
  </si>
  <si>
    <t>Koningstraat 114</t>
  </si>
  <si>
    <t>6654 AH</t>
  </si>
  <si>
    <t>Stellingmolen</t>
  </si>
  <si>
    <t>Molendam 1/Kerkdam 1M</t>
  </si>
  <si>
    <t>6654 KA</t>
  </si>
  <si>
    <t>Garageboxen</t>
  </si>
  <si>
    <t>Citatiestraat 1 Naast</t>
  </si>
  <si>
    <t>6651 EA</t>
  </si>
  <si>
    <t>Druten</t>
  </si>
  <si>
    <t>Gemeentewerf of WMO unit 1</t>
  </si>
  <si>
    <t>Van Heemstraweg 52</t>
  </si>
  <si>
    <t>6651 KH</t>
  </si>
  <si>
    <t>Gemeentehuis Druten</t>
  </si>
  <si>
    <t>Heuvel 1</t>
  </si>
  <si>
    <t>6651 DA</t>
  </si>
  <si>
    <t xml:space="preserve">Woning </t>
  </si>
  <si>
    <t>Kasteellaan 24</t>
  </si>
  <si>
    <t>6651 CD</t>
  </si>
  <si>
    <t>Wijkcentrum De Doorkijk (inclusief Gymzaal)</t>
  </si>
  <si>
    <t>Langstuk 2</t>
  </si>
  <si>
    <t>6651 HZ</t>
  </si>
  <si>
    <t>Rioolgemaal Druten</t>
  </si>
  <si>
    <t>Mr. van Coothstraat 1W</t>
  </si>
  <si>
    <t>6651 ZE</t>
  </si>
  <si>
    <t>Gemeentewerf of WMO unit 2</t>
  </si>
  <si>
    <t>Raadhuisstraat 15</t>
  </si>
  <si>
    <t>6651 BZ</t>
  </si>
  <si>
    <t>Gemeentewerf</t>
  </si>
  <si>
    <t>D'n Bogerd multifunctioneel centrum</t>
  </si>
  <si>
    <t>Van Heemstraweg 53</t>
  </si>
  <si>
    <t>Theekoepeltje</t>
  </si>
  <si>
    <t>Waalbandijk 186</t>
  </si>
  <si>
    <t>6651 KC</t>
  </si>
  <si>
    <t>Goorstraat 8 en 10</t>
  </si>
  <si>
    <t>6631 KP</t>
  </si>
  <si>
    <t>Horssen</t>
  </si>
  <si>
    <t>Inventaris gymzaal Puiflijk</t>
  </si>
  <si>
    <t>Koningsweg 12</t>
  </si>
  <si>
    <t>6655 AC</t>
  </si>
  <si>
    <t>Puiflijk</t>
  </si>
  <si>
    <t>Hertenparkje (dversen gebouwtjes)</t>
  </si>
  <si>
    <t>Parkweg 4a</t>
  </si>
  <si>
    <t>6651 CE</t>
  </si>
  <si>
    <t>Jongerencentrum de Gelenberg</t>
  </si>
  <si>
    <t>Gelenberg 5a</t>
  </si>
  <si>
    <t>6654 AZ</t>
  </si>
  <si>
    <t>Gebouwtje Drutens bosje - beheerdershuisje</t>
  </si>
  <si>
    <t>Van Heemstraweg 50b</t>
  </si>
  <si>
    <t>6651 KE</t>
  </si>
  <si>
    <t>Oude Toren Puiflijk</t>
  </si>
  <si>
    <t>Koningsweg 17</t>
  </si>
  <si>
    <t>6655 AA</t>
  </si>
  <si>
    <t>Basisschool St. Victor</t>
  </si>
  <si>
    <t>De Gaard 19</t>
  </si>
  <si>
    <t>6654 BL</t>
  </si>
  <si>
    <t>Basisschool 't Klosterhufke</t>
  </si>
  <si>
    <t>Kloosterhof 30</t>
  </si>
  <si>
    <t>6653 BS</t>
  </si>
  <si>
    <t>Deest</t>
  </si>
  <si>
    <t>De Kubus</t>
  </si>
  <si>
    <t>Irenestraat 3</t>
  </si>
  <si>
    <t xml:space="preserve">6651 XX </t>
  </si>
  <si>
    <t>ZMLK school De Kom</t>
  </si>
  <si>
    <t>Pa Hoeklaan 2</t>
  </si>
  <si>
    <t>6651 TG</t>
  </si>
  <si>
    <t>OBS Appelhof</t>
  </si>
  <si>
    <t>Postelkamp 2</t>
  </si>
  <si>
    <t>6652 BE</t>
  </si>
  <si>
    <t>Basisschool Octopus</t>
  </si>
  <si>
    <t>Octopusstraat 2</t>
  </si>
  <si>
    <t>6631 CA</t>
  </si>
  <si>
    <t>Kerkstraat 3</t>
  </si>
  <si>
    <t>6655 AK</t>
  </si>
  <si>
    <t>Klepperheide 15 en 15a</t>
  </si>
  <si>
    <t xml:space="preserve">6651 KM </t>
  </si>
  <si>
    <t>Mr. Van Coothstraat 34</t>
  </si>
  <si>
    <t>6651 ZJ</t>
  </si>
  <si>
    <t>Koningsweg 1</t>
  </si>
  <si>
    <t>Invictusstraat 1</t>
  </si>
  <si>
    <t xml:space="preserve">6654 AE </t>
  </si>
  <si>
    <t>Gemeente Druten</t>
  </si>
  <si>
    <t>Gebouwen per 31-12-2018</t>
  </si>
  <si>
    <t>Gebouwen per 31-12-2019</t>
  </si>
  <si>
    <t>Gebouwen per 31-12-2020</t>
  </si>
  <si>
    <t>Gebouwen per 01-01-2022</t>
  </si>
  <si>
    <t>Inventaris per 01-01-2022</t>
  </si>
  <si>
    <t>Gebouwen per 01-01-2023</t>
  </si>
  <si>
    <t>Inventaris per 01-01-2023</t>
  </si>
  <si>
    <t>Gebouwen per 01-01-2024</t>
  </si>
  <si>
    <t>Inventaris per 01-01-2024</t>
  </si>
  <si>
    <t>Gebouwen per 01-03-2024</t>
  </si>
  <si>
    <t>Inventaris per 01-03-2024</t>
  </si>
  <si>
    <t>Totaal verzekerde som  per 01-03-2024</t>
  </si>
  <si>
    <t>Gebouwen per 01-01-2025</t>
  </si>
  <si>
    <t>Totaal verzekerde som per 01-01-2024</t>
  </si>
  <si>
    <t>Totaal verzekerde som per 01-01-2025</t>
  </si>
  <si>
    <t>behorende bij polis nr. B0100142871 ten name van:</t>
  </si>
  <si>
    <t>Bestand d.d. 1 januari 2026</t>
  </si>
  <si>
    <t>Sport</t>
  </si>
  <si>
    <t>Café-Zaal de Linde</t>
  </si>
  <si>
    <t>Buurthuizen en ontmoetingsplekken</t>
  </si>
  <si>
    <t>2 buitenbergingen woonwagens</t>
  </si>
  <si>
    <t>Basisschool 't Geerke</t>
  </si>
  <si>
    <t>Pax Christi - Klepperheide</t>
  </si>
  <si>
    <t>Pax Christi - Meester van Coothstraat</t>
  </si>
  <si>
    <t>Totaal Basisonderwijs</t>
  </si>
  <si>
    <t>Totaal Sport</t>
  </si>
  <si>
    <t>Basisonderwijs</t>
  </si>
  <si>
    <t>Totaal speciaal onderwijs</t>
  </si>
  <si>
    <t>Speciaal onderwijs</t>
  </si>
  <si>
    <t>Totaal Monumenten</t>
  </si>
  <si>
    <t>Gemeentelijke functie</t>
  </si>
  <si>
    <t>Totaal Gemeentelijke functie</t>
  </si>
  <si>
    <t>Voortgezetonderwijs</t>
  </si>
  <si>
    <t>Monumenten</t>
  </si>
  <si>
    <t>Groen, cultuur en recreatie</t>
  </si>
  <si>
    <t>Totaal Groen, cultuur en recreatie</t>
  </si>
  <si>
    <t>Totaal Buurthuizen en ontmoetingsplekken</t>
  </si>
  <si>
    <t>Overige</t>
  </si>
  <si>
    <t>Totaal Overige</t>
  </si>
  <si>
    <t>Totaal Voortgezetonderwijs</t>
  </si>
  <si>
    <t>Grootboeknummer</t>
  </si>
  <si>
    <t>TOTAAL GENERAAL</t>
  </si>
  <si>
    <t>Totaal verzekerde som per 01-01-2026</t>
  </si>
  <si>
    <t>Sportcomplex De Gelenberg</t>
  </si>
  <si>
    <t>Indexcijfer 138,1</t>
  </si>
  <si>
    <t>Inventaris per 
01-01-2026</t>
  </si>
  <si>
    <t>Gebouwen per 
01-01-2026</t>
  </si>
  <si>
    <t>Inventaris per 
01-01-2025</t>
  </si>
  <si>
    <t>Kweldam 1A</t>
  </si>
  <si>
    <t>6653 CB</t>
  </si>
  <si>
    <t>Blokhut Deest</t>
  </si>
  <si>
    <t>Parkeerhuis Portier</t>
  </si>
  <si>
    <t>Dijkgraafstraat 31</t>
  </si>
  <si>
    <t>6651 DL</t>
  </si>
  <si>
    <t>Inbraakmeld- installatie met doormelding Ja/nee</t>
  </si>
  <si>
    <t>Brandmeld- installatie met doormelding Ja/nee</t>
  </si>
  <si>
    <t>Sprinkler- installatie met doormelding Ja/nee</t>
  </si>
  <si>
    <t>Leegstaand      Ja/nee</t>
  </si>
  <si>
    <t>Indien leegstaand:                 vorm van toezicht aanwezig (bijv. Anti-kraak)                 Ja/nee</t>
  </si>
  <si>
    <t>Zonnepanelen Ja/nee</t>
  </si>
  <si>
    <t>Indien ja , is de installatie scope 12 goedgekeurd ? Ja/nee</t>
  </si>
  <si>
    <t xml:space="preserve">Asbest in het gebouw ?          Ja nee, onbekend </t>
  </si>
  <si>
    <t>Omheind met hekwerken ? Ja/nee</t>
  </si>
  <si>
    <t xml:space="preserve">betreft het gebouw een monument Ja/nee </t>
  </si>
  <si>
    <t>Afwijkende bouwaard (anders dan steen) Ja/nee</t>
  </si>
  <si>
    <t>Ja</t>
  </si>
  <si>
    <t>Nee</t>
  </si>
  <si>
    <t>Onbekend</t>
  </si>
  <si>
    <t>n.v.t.</t>
  </si>
  <si>
    <t>ja</t>
  </si>
  <si>
    <t>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</si>
</sst>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* #,##0.00_-;\-* #,##0.00_-;_-* &quot;-&quot;??_-;_-@_-"/>
    <numFmt numFmtId="166" formatCode="_-&quot;€&quot;\ * #,##0_-;_-&quot;€&quot;\ * #,##0\-;_-&quot;€&quot;\ * &quot;-&quot;??_-;_-@_-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0"/>
      <name val="Arial"/>
      <family val="2"/>
    </font>
    <font>
      <i/>
      <sz val="9"/>
      <name val="Arial"/>
      <family val="2"/>
    </font>
    <font>
      <sz val="9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Times New Roman"/>
      <family val="1"/>
    </font>
    <font>
      <sz val="10"/>
      <name val="Times New Roman"/>
      <family val="1"/>
    </font>
    <font>
      <sz val="9"/>
      <color theme="1"/>
      <name val="Arial"/>
      <family val="2"/>
    </font>
    <font>
      <b/>
      <i/>
      <sz val="12"/>
      <color indexed="8"/>
      <name val="Arial"/>
      <family val="2"/>
    </font>
    <font>
      <b/>
      <i/>
      <sz val="9"/>
      <color indexed="8"/>
      <name val="Arial"/>
      <family val="2"/>
    </font>
    <font>
      <sz val="9"/>
      <color indexed="8"/>
      <name val="Arial"/>
      <family val="2"/>
    </font>
    <font>
      <b/>
      <i/>
      <sz val="9"/>
      <color rgb="FFC00000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  <font>
      <b/>
      <i/>
      <sz val="9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165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/>
    <xf numFmtId="0" fontId="11" fillId="0" borderId="0"/>
    <xf numFmtId="44" fontId="1" fillId="0" borderId="0" applyFont="0" applyFill="0" applyBorder="0" applyAlignment="0" applyProtection="0"/>
  </cellStyleXfs>
  <cellXfs count="142">
    <xf numFmtId="0" fontId="0" fillId="0" borderId="0" xfId="0"/>
    <xf numFmtId="0" fontId="12" fillId="2" borderId="0" xfId="0" applyFont="1" applyFill="1"/>
    <xf numFmtId="166" fontId="12" fillId="2" borderId="0" xfId="0" applyNumberFormat="1" applyFont="1" applyFill="1"/>
    <xf numFmtId="0" fontId="4" fillId="2" borderId="0" xfId="0" applyFont="1" applyFill="1"/>
    <xf numFmtId="164" fontId="5" fillId="2" borderId="0" xfId="0" applyNumberFormat="1" applyFont="1" applyFill="1"/>
    <xf numFmtId="164" fontId="4" fillId="2" borderId="0" xfId="0" applyNumberFormat="1" applyFont="1" applyFill="1"/>
    <xf numFmtId="43" fontId="4" fillId="2" borderId="0" xfId="1" applyFont="1" applyFill="1"/>
    <xf numFmtId="0" fontId="12" fillId="2" borderId="5" xfId="0" applyFont="1" applyFill="1" applyBorder="1"/>
    <xf numFmtId="1" fontId="14" fillId="2" borderId="11" xfId="3" applyNumberFormat="1" applyFont="1" applyFill="1" applyBorder="1" applyAlignment="1">
      <alignment horizontal="center" vertical="top" wrapText="1"/>
    </xf>
    <xf numFmtId="4" fontId="14" fillId="2" borderId="11" xfId="3" applyNumberFormat="1" applyFont="1" applyFill="1" applyBorder="1" applyAlignment="1">
      <alignment horizontal="left" vertical="top" wrapText="1"/>
    </xf>
    <xf numFmtId="4" fontId="16" fillId="2" borderId="11" xfId="3" applyNumberFormat="1" applyFont="1" applyFill="1" applyBorder="1" applyAlignment="1">
      <alignment horizontal="left" vertical="top" wrapText="1"/>
    </xf>
    <xf numFmtId="1" fontId="14" fillId="2" borderId="11" xfId="3" applyNumberFormat="1" applyFont="1" applyFill="1" applyBorder="1" applyAlignment="1">
      <alignment horizontal="left"/>
    </xf>
    <xf numFmtId="1" fontId="4" fillId="2" borderId="11" xfId="1" quotePrefix="1" applyNumberFormat="1" applyFont="1" applyFill="1" applyBorder="1" applyAlignment="1">
      <alignment horizontal="center"/>
    </xf>
    <xf numFmtId="0" fontId="4" fillId="2" borderId="11" xfId="0" applyFont="1" applyFill="1" applyBorder="1"/>
    <xf numFmtId="164" fontId="4" fillId="2" borderId="11" xfId="0" applyNumberFormat="1" applyFont="1" applyFill="1" applyBorder="1"/>
    <xf numFmtId="164" fontId="3" fillId="2" borderId="11" xfId="0" applyNumberFormat="1" applyFont="1" applyFill="1" applyBorder="1" applyAlignment="1">
      <alignment vertical="top"/>
    </xf>
    <xf numFmtId="166" fontId="4" fillId="2" borderId="11" xfId="0" applyNumberFormat="1" applyFont="1" applyFill="1" applyBorder="1" applyAlignment="1">
      <alignment vertical="top"/>
    </xf>
    <xf numFmtId="1" fontId="4" fillId="2" borderId="11" xfId="1" quotePrefix="1" applyNumberFormat="1" applyFont="1" applyFill="1" applyBorder="1" applyAlignment="1">
      <alignment horizontal="center" vertical="top"/>
    </xf>
    <xf numFmtId="0" fontId="4" fillId="2" borderId="11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/>
    </xf>
    <xf numFmtId="164" fontId="4" fillId="2" borderId="11" xfId="0" applyNumberFormat="1" applyFont="1" applyFill="1" applyBorder="1" applyAlignment="1">
      <alignment vertical="top"/>
    </xf>
    <xf numFmtId="166" fontId="14" fillId="2" borderId="11" xfId="7" applyNumberFormat="1" applyFont="1" applyFill="1" applyBorder="1" applyAlignment="1">
      <alignment horizontal="left" vertical="top" wrapText="1"/>
    </xf>
    <xf numFmtId="166" fontId="14" fillId="2" borderId="11" xfId="3" applyNumberFormat="1" applyFont="1" applyFill="1" applyBorder="1" applyAlignment="1">
      <alignment horizontal="left" vertical="top" wrapText="1"/>
    </xf>
    <xf numFmtId="166" fontId="16" fillId="2" borderId="11" xfId="3" applyNumberFormat="1" applyFont="1" applyFill="1" applyBorder="1" applyAlignment="1">
      <alignment horizontal="left" vertical="top" wrapText="1"/>
    </xf>
    <xf numFmtId="1" fontId="3" fillId="2" borderId="11" xfId="1" quotePrefix="1" applyNumberFormat="1" applyFont="1" applyFill="1" applyBorder="1" applyAlignment="1">
      <alignment horizontal="left"/>
    </xf>
    <xf numFmtId="0" fontId="12" fillId="2" borderId="11" xfId="0" applyFont="1" applyFill="1" applyBorder="1"/>
    <xf numFmtId="0" fontId="17" fillId="2" borderId="11" xfId="0" applyFont="1" applyFill="1" applyBorder="1"/>
    <xf numFmtId="166" fontId="12" fillId="2" borderId="11" xfId="0" applyNumberFormat="1" applyFont="1" applyFill="1" applyBorder="1"/>
    <xf numFmtId="1" fontId="12" fillId="2" borderId="11" xfId="0" applyNumberFormat="1" applyFont="1" applyFill="1" applyBorder="1" applyAlignment="1">
      <alignment horizontal="center"/>
    </xf>
    <xf numFmtId="164" fontId="7" fillId="2" borderId="11" xfId="0" applyNumberFormat="1" applyFont="1" applyFill="1" applyBorder="1"/>
    <xf numFmtId="164" fontId="6" fillId="2" borderId="11" xfId="0" applyNumberFormat="1" applyFont="1" applyFill="1" applyBorder="1"/>
    <xf numFmtId="1" fontId="4" fillId="2" borderId="11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/>
    </xf>
    <xf numFmtId="164" fontId="4" fillId="2" borderId="11" xfId="0" applyNumberFormat="1" applyFont="1" applyFill="1" applyBorder="1" applyAlignment="1">
      <alignment vertical="center"/>
    </xf>
    <xf numFmtId="164" fontId="3" fillId="2" borderId="11" xfId="0" applyNumberFormat="1" applyFont="1" applyFill="1" applyBorder="1" applyAlignment="1">
      <alignment vertical="center"/>
    </xf>
    <xf numFmtId="166" fontId="4" fillId="2" borderId="11" xfId="0" applyNumberFormat="1" applyFont="1" applyFill="1" applyBorder="1" applyAlignment="1">
      <alignment vertical="center"/>
    </xf>
    <xf numFmtId="1" fontId="14" fillId="3" borderId="8" xfId="3" applyNumberFormat="1" applyFont="1" applyFill="1" applyBorder="1" applyAlignment="1">
      <alignment horizontal="left" vertical="top"/>
    </xf>
    <xf numFmtId="165" fontId="14" fillId="3" borderId="6" xfId="3" applyFont="1" applyFill="1" applyBorder="1" applyAlignment="1">
      <alignment horizontal="left" vertical="top"/>
    </xf>
    <xf numFmtId="0" fontId="15" fillId="3" borderId="6" xfId="2" applyFont="1" applyFill="1" applyBorder="1" applyAlignment="1">
      <alignment horizontal="center" vertical="top"/>
    </xf>
    <xf numFmtId="165" fontId="14" fillId="3" borderId="6" xfId="3" applyFont="1" applyFill="1" applyBorder="1" applyAlignment="1">
      <alignment horizontal="left" vertical="top" wrapText="1"/>
    </xf>
    <xf numFmtId="1" fontId="15" fillId="3" borderId="6" xfId="3" applyNumberFormat="1" applyFont="1" applyFill="1" applyBorder="1" applyAlignment="1">
      <alignment horizontal="left" vertical="top" wrapText="1"/>
    </xf>
    <xf numFmtId="0" fontId="12" fillId="3" borderId="6" xfId="0" applyFont="1" applyFill="1" applyBorder="1"/>
    <xf numFmtId="0" fontId="12" fillId="3" borderId="9" xfId="0" applyFont="1" applyFill="1" applyBorder="1"/>
    <xf numFmtId="1" fontId="14" fillId="3" borderId="4" xfId="3" quotePrefix="1" applyNumberFormat="1" applyFont="1" applyFill="1" applyBorder="1" applyAlignment="1">
      <alignment horizontal="left" vertical="top"/>
    </xf>
    <xf numFmtId="1" fontId="15" fillId="3" borderId="0" xfId="3" quotePrefix="1" applyNumberFormat="1" applyFont="1" applyFill="1" applyBorder="1" applyAlignment="1">
      <alignment horizontal="left" vertical="top"/>
    </xf>
    <xf numFmtId="0" fontId="15" fillId="3" borderId="0" xfId="2" applyFont="1" applyFill="1" applyAlignment="1">
      <alignment horizontal="center" vertical="top"/>
    </xf>
    <xf numFmtId="1" fontId="15" fillId="3" borderId="0" xfId="3" quotePrefix="1" applyNumberFormat="1" applyFont="1" applyFill="1" applyBorder="1" applyAlignment="1">
      <alignment horizontal="left" vertical="top" wrapText="1"/>
    </xf>
    <xf numFmtId="0" fontId="15" fillId="3" borderId="0" xfId="2" applyFont="1" applyFill="1" applyAlignment="1">
      <alignment horizontal="right" vertical="top" wrapText="1"/>
    </xf>
    <xf numFmtId="0" fontId="12" fillId="3" borderId="0" xfId="0" applyFont="1" applyFill="1"/>
    <xf numFmtId="0" fontId="12" fillId="3" borderId="5" xfId="0" applyFont="1" applyFill="1" applyBorder="1"/>
    <xf numFmtId="1" fontId="13" fillId="3" borderId="2" xfId="3" applyNumberFormat="1" applyFont="1" applyFill="1" applyBorder="1" applyAlignment="1">
      <alignment horizontal="left" vertical="top"/>
    </xf>
    <xf numFmtId="1" fontId="15" fillId="3" borderId="3" xfId="3" quotePrefix="1" applyNumberFormat="1" applyFont="1" applyFill="1" applyBorder="1" applyAlignment="1">
      <alignment horizontal="left" vertical="top"/>
    </xf>
    <xf numFmtId="0" fontId="15" fillId="3" borderId="3" xfId="2" applyFont="1" applyFill="1" applyBorder="1" applyAlignment="1">
      <alignment horizontal="center" vertical="top"/>
    </xf>
    <xf numFmtId="1" fontId="15" fillId="3" borderId="3" xfId="3" quotePrefix="1" applyNumberFormat="1" applyFont="1" applyFill="1" applyBorder="1" applyAlignment="1">
      <alignment horizontal="left" vertical="top" wrapText="1"/>
    </xf>
    <xf numFmtId="1" fontId="15" fillId="3" borderId="3" xfId="3" applyNumberFormat="1" applyFont="1" applyFill="1" applyBorder="1" applyAlignment="1">
      <alignment horizontal="left" vertical="top" wrapText="1"/>
    </xf>
    <xf numFmtId="0" fontId="12" fillId="3" borderId="3" xfId="0" applyFont="1" applyFill="1" applyBorder="1"/>
    <xf numFmtId="0" fontId="12" fillId="3" borderId="7" xfId="0" applyFont="1" applyFill="1" applyBorder="1"/>
    <xf numFmtId="0" fontId="12" fillId="2" borderId="20" xfId="0" applyFont="1" applyFill="1" applyBorder="1"/>
    <xf numFmtId="0" fontId="12" fillId="2" borderId="21" xfId="0" applyFont="1" applyFill="1" applyBorder="1"/>
    <xf numFmtId="0" fontId="12" fillId="2" borderId="19" xfId="0" applyFont="1" applyFill="1" applyBorder="1"/>
    <xf numFmtId="0" fontId="12" fillId="2" borderId="22" xfId="0" applyFont="1" applyFill="1" applyBorder="1"/>
    <xf numFmtId="1" fontId="20" fillId="4" borderId="13" xfId="3" applyNumberFormat="1" applyFont="1" applyFill="1" applyBorder="1" applyAlignment="1">
      <alignment horizontal="center" vertical="center" wrapText="1"/>
    </xf>
    <xf numFmtId="1" fontId="20" fillId="4" borderId="10" xfId="3" applyNumberFormat="1" applyFont="1" applyFill="1" applyBorder="1" applyAlignment="1">
      <alignment horizontal="center" vertical="center" wrapText="1"/>
    </xf>
    <xf numFmtId="1" fontId="20" fillId="4" borderId="15" xfId="3" applyNumberFormat="1" applyFont="1" applyFill="1" applyBorder="1" applyAlignment="1">
      <alignment horizontal="center" vertical="center" wrapText="1"/>
    </xf>
    <xf numFmtId="1" fontId="20" fillId="4" borderId="16" xfId="3" applyNumberFormat="1" applyFont="1" applyFill="1" applyBorder="1" applyAlignment="1">
      <alignment horizontal="center" vertical="center" wrapText="1"/>
    </xf>
    <xf numFmtId="4" fontId="20" fillId="4" borderId="10" xfId="3" applyNumberFormat="1" applyFont="1" applyFill="1" applyBorder="1" applyAlignment="1">
      <alignment horizontal="center" vertical="center" wrapText="1"/>
    </xf>
    <xf numFmtId="4" fontId="20" fillId="4" borderId="16" xfId="3" applyNumberFormat="1" applyFont="1" applyFill="1" applyBorder="1" applyAlignment="1">
      <alignment horizontal="center" vertical="center" wrapText="1"/>
    </xf>
    <xf numFmtId="4" fontId="20" fillId="4" borderId="24" xfId="3" applyNumberFormat="1" applyFont="1" applyFill="1" applyBorder="1" applyAlignment="1">
      <alignment horizontal="center" vertical="center" wrapText="1"/>
    </xf>
    <xf numFmtId="4" fontId="20" fillId="4" borderId="25" xfId="3" applyNumberFormat="1" applyFont="1" applyFill="1" applyBorder="1" applyAlignment="1">
      <alignment horizontal="center" vertical="center" wrapText="1"/>
    </xf>
    <xf numFmtId="4" fontId="14" fillId="2" borderId="20" xfId="3" applyNumberFormat="1" applyFont="1" applyFill="1" applyBorder="1" applyAlignment="1">
      <alignment horizontal="left" vertical="top" wrapText="1"/>
    </xf>
    <xf numFmtId="164" fontId="4" fillId="2" borderId="20" xfId="0" applyNumberFormat="1" applyFont="1" applyFill="1" applyBorder="1"/>
    <xf numFmtId="164" fontId="4" fillId="2" borderId="20" xfId="0" applyNumberFormat="1" applyFont="1" applyFill="1" applyBorder="1" applyAlignment="1">
      <alignment vertical="top"/>
    </xf>
    <xf numFmtId="164" fontId="4" fillId="2" borderId="20" xfId="0" applyNumberFormat="1" applyFont="1" applyFill="1" applyBorder="1" applyAlignment="1">
      <alignment vertical="center"/>
    </xf>
    <xf numFmtId="4" fontId="16" fillId="2" borderId="21" xfId="3" applyNumberFormat="1" applyFont="1" applyFill="1" applyBorder="1" applyAlignment="1">
      <alignment horizontal="left" vertical="top" wrapText="1"/>
    </xf>
    <xf numFmtId="166" fontId="4" fillId="2" borderId="21" xfId="0" applyNumberFormat="1" applyFont="1" applyFill="1" applyBorder="1" applyAlignment="1">
      <alignment vertical="top"/>
    </xf>
    <xf numFmtId="166" fontId="14" fillId="2" borderId="21" xfId="7" applyNumberFormat="1" applyFont="1" applyFill="1" applyBorder="1" applyAlignment="1">
      <alignment horizontal="left" vertical="top" wrapText="1"/>
    </xf>
    <xf numFmtId="166" fontId="16" fillId="2" borderId="21" xfId="3" applyNumberFormat="1" applyFont="1" applyFill="1" applyBorder="1" applyAlignment="1">
      <alignment horizontal="left" vertical="top" wrapText="1"/>
    </xf>
    <xf numFmtId="166" fontId="12" fillId="2" borderId="21" xfId="0" applyNumberFormat="1" applyFont="1" applyFill="1" applyBorder="1"/>
    <xf numFmtId="4" fontId="20" fillId="4" borderId="13" xfId="3" applyNumberFormat="1" applyFont="1" applyFill="1" applyBorder="1" applyAlignment="1">
      <alignment horizontal="center" vertical="center" wrapText="1"/>
    </xf>
    <xf numFmtId="4" fontId="20" fillId="4" borderId="14" xfId="3" applyNumberFormat="1" applyFont="1" applyFill="1" applyBorder="1" applyAlignment="1">
      <alignment horizontal="center" vertical="center" wrapText="1"/>
    </xf>
    <xf numFmtId="4" fontId="20" fillId="4" borderId="15" xfId="3" applyNumberFormat="1" applyFont="1" applyFill="1" applyBorder="1" applyAlignment="1">
      <alignment horizontal="center" vertical="center" wrapText="1"/>
    </xf>
    <xf numFmtId="4" fontId="20" fillId="4" borderId="17" xfId="3" applyNumberFormat="1" applyFont="1" applyFill="1" applyBorder="1" applyAlignment="1">
      <alignment horizontal="center" vertical="center" wrapText="1"/>
    </xf>
    <xf numFmtId="4" fontId="14" fillId="2" borderId="30" xfId="3" applyNumberFormat="1" applyFont="1" applyFill="1" applyBorder="1" applyAlignment="1">
      <alignment horizontal="left" vertical="top" wrapText="1"/>
    </xf>
    <xf numFmtId="4" fontId="14" fillId="2" borderId="31" xfId="3" applyNumberFormat="1" applyFont="1" applyFill="1" applyBorder="1" applyAlignment="1">
      <alignment horizontal="left" vertical="top" wrapText="1"/>
    </xf>
    <xf numFmtId="166" fontId="4" fillId="2" borderId="30" xfId="0" applyNumberFormat="1" applyFont="1" applyFill="1" applyBorder="1" applyAlignment="1">
      <alignment vertical="top"/>
    </xf>
    <xf numFmtId="166" fontId="4" fillId="2" borderId="31" xfId="0" applyNumberFormat="1" applyFont="1" applyFill="1" applyBorder="1"/>
    <xf numFmtId="166" fontId="4" fillId="2" borderId="31" xfId="0" applyNumberFormat="1" applyFont="1" applyFill="1" applyBorder="1" applyAlignment="1">
      <alignment vertical="top"/>
    </xf>
    <xf numFmtId="166" fontId="14" fillId="2" borderId="30" xfId="7" applyNumberFormat="1" applyFont="1" applyFill="1" applyBorder="1" applyAlignment="1">
      <alignment horizontal="left" vertical="top" wrapText="1"/>
    </xf>
    <xf numFmtId="166" fontId="14" fillId="2" borderId="31" xfId="7" applyNumberFormat="1" applyFont="1" applyFill="1" applyBorder="1" applyAlignment="1">
      <alignment horizontal="left" vertical="top" wrapText="1"/>
    </xf>
    <xf numFmtId="166" fontId="14" fillId="2" borderId="30" xfId="3" applyNumberFormat="1" applyFont="1" applyFill="1" applyBorder="1" applyAlignment="1">
      <alignment horizontal="left" vertical="top" wrapText="1"/>
    </xf>
    <xf numFmtId="166" fontId="14" fillId="2" borderId="31" xfId="3" applyNumberFormat="1" applyFont="1" applyFill="1" applyBorder="1" applyAlignment="1">
      <alignment horizontal="left" vertical="top" wrapText="1"/>
    </xf>
    <xf numFmtId="166" fontId="12" fillId="2" borderId="30" xfId="0" applyNumberFormat="1" applyFont="1" applyFill="1" applyBorder="1"/>
    <xf numFmtId="166" fontId="12" fillId="2" borderId="31" xfId="0" applyNumberFormat="1" applyFont="1" applyFill="1" applyBorder="1"/>
    <xf numFmtId="166" fontId="4" fillId="2" borderId="30" xfId="0" applyNumberFormat="1" applyFont="1" applyFill="1" applyBorder="1" applyAlignment="1">
      <alignment vertical="center"/>
    </xf>
    <xf numFmtId="166" fontId="4" fillId="2" borderId="31" xfId="0" applyNumberFormat="1" applyFont="1" applyFill="1" applyBorder="1" applyAlignment="1">
      <alignment vertical="center"/>
    </xf>
    <xf numFmtId="1" fontId="14" fillId="5" borderId="1" xfId="3" applyNumberFormat="1" applyFont="1" applyFill="1" applyBorder="1" applyAlignment="1">
      <alignment horizontal="left" vertical="top"/>
    </xf>
    <xf numFmtId="4" fontId="14" fillId="5" borderId="1" xfId="3" applyNumberFormat="1" applyFont="1" applyFill="1" applyBorder="1" applyAlignment="1">
      <alignment horizontal="left" vertical="top" wrapText="1"/>
    </xf>
    <xf numFmtId="1" fontId="14" fillId="5" borderId="1" xfId="3" applyNumberFormat="1" applyFont="1" applyFill="1" applyBorder="1" applyAlignment="1">
      <alignment horizontal="center" vertical="top" wrapText="1"/>
    </xf>
    <xf numFmtId="4" fontId="14" fillId="5" borderId="11" xfId="3" applyNumberFormat="1" applyFont="1" applyFill="1" applyBorder="1" applyAlignment="1">
      <alignment horizontal="left" vertical="top" wrapText="1"/>
    </xf>
    <xf numFmtId="4" fontId="14" fillId="5" borderId="20" xfId="3" applyNumberFormat="1" applyFont="1" applyFill="1" applyBorder="1" applyAlignment="1">
      <alignment horizontal="left" vertical="top" wrapText="1"/>
    </xf>
    <xf numFmtId="166" fontId="14" fillId="5" borderId="32" xfId="7" applyNumberFormat="1" applyFont="1" applyFill="1" applyBorder="1" applyAlignment="1">
      <alignment horizontal="left" vertical="top" wrapText="1"/>
    </xf>
    <xf numFmtId="166" fontId="14" fillId="5" borderId="1" xfId="7" applyNumberFormat="1" applyFont="1" applyFill="1" applyBorder="1" applyAlignment="1">
      <alignment horizontal="left" vertical="top" wrapText="1"/>
    </xf>
    <xf numFmtId="166" fontId="14" fillId="5" borderId="33" xfId="7" applyNumberFormat="1" applyFont="1" applyFill="1" applyBorder="1" applyAlignment="1">
      <alignment horizontal="left" vertical="top" wrapText="1"/>
    </xf>
    <xf numFmtId="166" fontId="14" fillId="5" borderId="28" xfId="7" applyNumberFormat="1" applyFont="1" applyFill="1" applyBorder="1" applyAlignment="1">
      <alignment horizontal="left" vertical="top" wrapText="1"/>
    </xf>
    <xf numFmtId="1" fontId="19" fillId="5" borderId="1" xfId="1" quotePrefix="1" applyNumberFormat="1" applyFont="1" applyFill="1" applyBorder="1" applyAlignment="1">
      <alignment horizontal="left"/>
    </xf>
    <xf numFmtId="0" fontId="4" fillId="5" borderId="1" xfId="0" applyFont="1" applyFill="1" applyBorder="1"/>
    <xf numFmtId="164" fontId="4" fillId="5" borderId="11" xfId="0" applyNumberFormat="1" applyFont="1" applyFill="1" applyBorder="1"/>
    <xf numFmtId="164" fontId="3" fillId="5" borderId="11" xfId="0" applyNumberFormat="1" applyFont="1" applyFill="1" applyBorder="1" applyAlignment="1">
      <alignment vertical="top"/>
    </xf>
    <xf numFmtId="164" fontId="4" fillId="5" borderId="20" xfId="0" applyNumberFormat="1" applyFont="1" applyFill="1" applyBorder="1"/>
    <xf numFmtId="0" fontId="18" fillId="5" borderId="1" xfId="0" applyFont="1" applyFill="1" applyBorder="1"/>
    <xf numFmtId="0" fontId="12" fillId="5" borderId="1" xfId="0" applyFont="1" applyFill="1" applyBorder="1"/>
    <xf numFmtId="0" fontId="12" fillId="5" borderId="11" xfId="0" applyFont="1" applyFill="1" applyBorder="1"/>
    <xf numFmtId="0" fontId="12" fillId="5" borderId="20" xfId="0" applyFont="1" applyFill="1" applyBorder="1"/>
    <xf numFmtId="0" fontId="3" fillId="5" borderId="23" xfId="0" quotePrefix="1" applyFont="1" applyFill="1" applyBorder="1" applyAlignment="1">
      <alignment horizontal="left"/>
    </xf>
    <xf numFmtId="0" fontId="3" fillId="5" borderId="12" xfId="0" applyFont="1" applyFill="1" applyBorder="1"/>
    <xf numFmtId="0" fontId="3" fillId="5" borderId="12" xfId="0" applyFont="1" applyFill="1" applyBorder="1" applyAlignment="1">
      <alignment horizontal="left"/>
    </xf>
    <xf numFmtId="164" fontId="3" fillId="5" borderId="12" xfId="0" applyNumberFormat="1" applyFont="1" applyFill="1" applyBorder="1" applyAlignment="1">
      <alignment horizontal="left"/>
    </xf>
    <xf numFmtId="166" fontId="3" fillId="5" borderId="34" xfId="0" applyNumberFormat="1" applyFont="1" applyFill="1" applyBorder="1" applyAlignment="1">
      <alignment horizontal="left"/>
    </xf>
    <xf numFmtId="166" fontId="3" fillId="5" borderId="18" xfId="0" applyNumberFormat="1" applyFont="1" applyFill="1" applyBorder="1" applyAlignment="1">
      <alignment horizontal="left"/>
    </xf>
    <xf numFmtId="166" fontId="3" fillId="5" borderId="35" xfId="0" applyNumberFormat="1" applyFont="1" applyFill="1" applyBorder="1" applyAlignment="1">
      <alignment horizontal="left"/>
    </xf>
    <xf numFmtId="166" fontId="3" fillId="5" borderId="29" xfId="0" applyNumberFormat="1" applyFont="1" applyFill="1" applyBorder="1" applyAlignment="1">
      <alignment horizontal="left"/>
    </xf>
    <xf numFmtId="166" fontId="12" fillId="2" borderId="4" xfId="0" applyNumberFormat="1" applyFont="1" applyFill="1" applyBorder="1"/>
    <xf numFmtId="166" fontId="12" fillId="2" borderId="5" xfId="0" applyNumberFormat="1" applyFont="1" applyFill="1" applyBorder="1"/>
    <xf numFmtId="166" fontId="12" fillId="2" borderId="19" xfId="0" applyNumberFormat="1" applyFont="1" applyFill="1" applyBorder="1"/>
    <xf numFmtId="166" fontId="12" fillId="2" borderId="36" xfId="0" applyNumberFormat="1" applyFont="1" applyFill="1" applyBorder="1"/>
    <xf numFmtId="4" fontId="20" fillId="4" borderId="26" xfId="3" applyNumberFormat="1" applyFont="1" applyFill="1" applyBorder="1" applyAlignment="1">
      <alignment horizontal="center" vertical="center" wrapText="1"/>
    </xf>
    <xf numFmtId="4" fontId="20" fillId="4" borderId="27" xfId="3" applyNumberFormat="1" applyFont="1" applyFill="1" applyBorder="1" applyAlignment="1">
      <alignment horizontal="center" vertical="center" wrapText="1"/>
    </xf>
    <xf numFmtId="166" fontId="12" fillId="2" borderId="37" xfId="0" applyNumberFormat="1" applyFont="1" applyFill="1" applyBorder="1"/>
    <xf numFmtId="0" fontId="15" fillId="2" borderId="0" xfId="0" applyFont="1" applyFill="1" applyAlignment="1">
      <alignment horizontal="left" vertical="top"/>
    </xf>
    <xf numFmtId="0" fontId="0" fillId="2" borderId="0" xfId="0" applyFill="1"/>
    <xf numFmtId="0" fontId="12" fillId="2" borderId="13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12" fillId="2" borderId="3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31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 vertical="top"/>
    </xf>
    <xf numFmtId="0" fontId="12" fillId="2" borderId="16" xfId="0" applyFont="1" applyFill="1" applyBorder="1" applyAlignment="1">
      <alignment horizontal="center" vertical="top"/>
    </xf>
  </cellXfs>
  <cellStyles count="8">
    <cellStyle name="Comma 2" xfId="4" xr:uid="{E4A5C85E-809A-4F80-BE25-84DBF6CA7989}"/>
    <cellStyle name="Comma 3" xfId="3" xr:uid="{8B54505D-677D-4A8B-A23E-D43E66236188}"/>
    <cellStyle name="Komma" xfId="1" builtinId="3"/>
    <cellStyle name="Normal 2" xfId="6" xr:uid="{C358A176-033E-43D9-A80A-F4BD89FE90FF}"/>
    <cellStyle name="Normal 3" xfId="2" xr:uid="{61D08E75-718A-4777-9D4D-0B174A083833}"/>
    <cellStyle name="Normal 6" xfId="5" xr:uid="{AFD40DD1-3DE2-411D-A32D-289E5AFCB9C6}"/>
    <cellStyle name="Standaard" xfId="0" builtinId="0"/>
    <cellStyle name="Valuta" xfId="7" builtinId="4"/>
  </cellStyles>
  <dxfs count="17">
    <dxf>
      <font>
        <color theme="1"/>
      </font>
      <fill>
        <patternFill>
          <bgColor rgb="FFFFFFCC"/>
        </patternFill>
      </fill>
    </dxf>
    <dxf>
      <font>
        <color theme="1"/>
      </font>
      <fill>
        <patternFill>
          <bgColor rgb="FFFFFFCC"/>
        </patternFill>
      </fill>
    </dxf>
    <dxf>
      <font>
        <color theme="1"/>
      </font>
      <fill>
        <patternFill>
          <bgColor rgb="FFFFFFCC"/>
        </patternFill>
      </fill>
    </dxf>
    <dxf>
      <font>
        <color theme="1"/>
      </font>
      <fill>
        <patternFill>
          <bgColor rgb="FFFFFFCC"/>
        </patternFill>
      </fill>
    </dxf>
    <dxf>
      <font>
        <color theme="1"/>
      </font>
      <fill>
        <patternFill>
          <bgColor rgb="FFFFFFCC"/>
        </patternFill>
      </fill>
    </dxf>
    <dxf>
      <font>
        <color theme="1"/>
      </font>
      <fill>
        <patternFill>
          <bgColor rgb="FFFFFFCC"/>
        </patternFill>
      </fill>
    </dxf>
    <dxf>
      <font>
        <color theme="1"/>
      </font>
      <fill>
        <patternFill>
          <bgColor rgb="FFFFFFCC"/>
        </patternFill>
      </fill>
    </dxf>
    <dxf>
      <font>
        <color theme="1"/>
      </font>
      <fill>
        <patternFill>
          <bgColor rgb="FFFFFFCC"/>
        </patternFill>
      </fill>
    </dxf>
    <dxf>
      <font>
        <color theme="1"/>
      </font>
      <fill>
        <patternFill>
          <bgColor rgb="FFFFFFCC"/>
        </patternFill>
      </fill>
    </dxf>
    <dxf>
      <font>
        <color theme="1"/>
      </font>
      <fill>
        <patternFill>
          <bgColor rgb="FFFFFFCC"/>
        </patternFill>
      </fill>
    </dxf>
    <dxf>
      <font>
        <color theme="1"/>
      </font>
      <fill>
        <patternFill>
          <bgColor rgb="FFFFFFCC"/>
        </patternFill>
      </fill>
    </dxf>
    <dxf>
      <font>
        <color theme="1"/>
      </font>
      <fill>
        <patternFill>
          <bgColor rgb="FFFFFFCC"/>
        </patternFill>
      </fill>
    </dxf>
    <dxf>
      <font>
        <color theme="1"/>
      </font>
      <fill>
        <patternFill>
          <bgColor rgb="FFFFFFCC"/>
        </patternFill>
      </fill>
    </dxf>
    <dxf>
      <font>
        <color theme="1"/>
      </font>
      <fill>
        <patternFill>
          <bgColor rgb="FFFFFFCC"/>
        </patternFill>
      </fill>
    </dxf>
    <dxf>
      <font>
        <color theme="1"/>
      </font>
      <fill>
        <patternFill>
          <bgColor rgb="FFFFFFCC"/>
        </patternFill>
      </fill>
    </dxf>
    <dxf>
      <font>
        <color theme="1"/>
      </font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2724C-BAAD-4043-9996-6D5D81774043}">
  <dimension ref="A1:AI72"/>
  <sheetViews>
    <sheetView tabSelected="1" workbookViewId="0">
      <pane ySplit="5" topLeftCell="A6" activePane="bottomLeft" state="frozen"/>
      <selection pane="bottomLeft" activeCell="Z11" sqref="Z11"/>
    </sheetView>
  </sheetViews>
  <sheetFormatPr defaultColWidth="9.109375" defaultRowHeight="11.4" x14ac:dyDescent="0.2"/>
  <cols>
    <col min="1" max="1" width="16.6640625" style="1" customWidth="1"/>
    <col min="2" max="2" width="42.33203125" style="1" bestFit="1" customWidth="1"/>
    <col min="3" max="3" width="21.44140625" style="1" bestFit="1" customWidth="1"/>
    <col min="4" max="4" width="8.6640625" style="1" customWidth="1"/>
    <col min="5" max="5" width="7.6640625" style="1" customWidth="1"/>
    <col min="6" max="6" width="16.33203125" style="1" hidden="1" customWidth="1"/>
    <col min="7" max="10" width="13.6640625" style="1" hidden="1" customWidth="1"/>
    <col min="11" max="11" width="13.33203125" style="1" hidden="1" customWidth="1"/>
    <col min="12" max="12" width="14.44140625" style="1" hidden="1" customWidth="1"/>
    <col min="13" max="13" width="13.6640625" style="1" hidden="1" customWidth="1"/>
    <col min="14" max="14" width="14.44140625" style="1" hidden="1" customWidth="1"/>
    <col min="15" max="15" width="13.6640625" style="1" hidden="1" customWidth="1"/>
    <col min="16" max="16" width="16.44140625" style="1" hidden="1" customWidth="1"/>
    <col min="17" max="17" width="14.44140625" style="1" hidden="1" customWidth="1"/>
    <col min="18" max="18" width="13.6640625" style="1" hidden="1" customWidth="1"/>
    <col min="19" max="21" width="14.6640625" style="1" hidden="1" customWidth="1"/>
    <col min="22" max="24" width="14.6640625" style="1" customWidth="1"/>
    <col min="25" max="35" width="12.6640625" style="1" customWidth="1"/>
    <col min="36" max="16384" width="9.109375" style="1"/>
  </cols>
  <sheetData>
    <row r="1" spans="1:35" x14ac:dyDescent="0.2">
      <c r="A1" s="37" t="s">
        <v>116</v>
      </c>
      <c r="B1" s="38"/>
      <c r="C1" s="39"/>
      <c r="D1" s="40"/>
      <c r="E1" s="41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3"/>
      <c r="AF1" s="129" t="s">
        <v>165</v>
      </c>
      <c r="AG1" s="129" t="s">
        <v>165</v>
      </c>
    </row>
    <row r="2" spans="1:35" x14ac:dyDescent="0.2">
      <c r="A2" s="44" t="s">
        <v>115</v>
      </c>
      <c r="B2" s="45"/>
      <c r="C2" s="46"/>
      <c r="D2" s="47"/>
      <c r="E2" s="48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50"/>
      <c r="AF2" s="129" t="s">
        <v>166</v>
      </c>
      <c r="AG2" s="129" t="s">
        <v>166</v>
      </c>
    </row>
    <row r="3" spans="1:35" ht="16.2" thickBot="1" x14ac:dyDescent="0.35">
      <c r="A3" s="51" t="s">
        <v>99</v>
      </c>
      <c r="B3" s="52"/>
      <c r="C3" s="53"/>
      <c r="D3" s="54"/>
      <c r="E3" s="55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7"/>
      <c r="AF3" s="130" t="s">
        <v>167</v>
      </c>
      <c r="AG3" s="130" t="s">
        <v>168</v>
      </c>
    </row>
    <row r="4" spans="1:35" ht="79.8" x14ac:dyDescent="0.2">
      <c r="A4" s="62" t="s">
        <v>140</v>
      </c>
      <c r="B4" s="66" t="s">
        <v>0</v>
      </c>
      <c r="C4" s="63" t="s">
        <v>1</v>
      </c>
      <c r="D4" s="66" t="s">
        <v>2</v>
      </c>
      <c r="E4" s="66" t="s">
        <v>3</v>
      </c>
      <c r="F4" s="66" t="s">
        <v>100</v>
      </c>
      <c r="G4" s="66" t="s">
        <v>101</v>
      </c>
      <c r="H4" s="66" t="s">
        <v>102</v>
      </c>
      <c r="I4" s="66" t="s">
        <v>103</v>
      </c>
      <c r="J4" s="66" t="s">
        <v>104</v>
      </c>
      <c r="K4" s="66" t="s">
        <v>105</v>
      </c>
      <c r="L4" s="66" t="s">
        <v>106</v>
      </c>
      <c r="M4" s="66" t="s">
        <v>107</v>
      </c>
      <c r="N4" s="66" t="s">
        <v>108</v>
      </c>
      <c r="O4" s="66" t="s">
        <v>113</v>
      </c>
      <c r="P4" s="66" t="s">
        <v>109</v>
      </c>
      <c r="Q4" s="66" t="s">
        <v>110</v>
      </c>
      <c r="R4" s="68" t="s">
        <v>111</v>
      </c>
      <c r="S4" s="79" t="s">
        <v>112</v>
      </c>
      <c r="T4" s="66" t="s">
        <v>147</v>
      </c>
      <c r="U4" s="80" t="s">
        <v>114</v>
      </c>
      <c r="V4" s="126" t="s">
        <v>146</v>
      </c>
      <c r="W4" s="68" t="s">
        <v>145</v>
      </c>
      <c r="X4" s="80" t="s">
        <v>142</v>
      </c>
      <c r="Y4" s="80" t="s">
        <v>154</v>
      </c>
      <c r="Z4" s="80" t="s">
        <v>155</v>
      </c>
      <c r="AA4" s="80" t="s">
        <v>156</v>
      </c>
      <c r="AB4" s="80" t="s">
        <v>157</v>
      </c>
      <c r="AC4" s="80" t="s">
        <v>158</v>
      </c>
      <c r="AD4" s="80" t="s">
        <v>159</v>
      </c>
      <c r="AE4" s="80" t="s">
        <v>160</v>
      </c>
      <c r="AF4" s="80" t="s">
        <v>161</v>
      </c>
      <c r="AG4" s="80" t="s">
        <v>162</v>
      </c>
      <c r="AH4" s="80" t="s">
        <v>163</v>
      </c>
      <c r="AI4" s="80" t="s">
        <v>164</v>
      </c>
    </row>
    <row r="5" spans="1:35" ht="12" customHeight="1" thickBot="1" x14ac:dyDescent="0.25">
      <c r="A5" s="64"/>
      <c r="B5" s="67"/>
      <c r="C5" s="65"/>
      <c r="D5" s="67"/>
      <c r="E5" s="67"/>
      <c r="F5" s="67" t="s">
        <v>4</v>
      </c>
      <c r="G5" s="67" t="s">
        <v>5</v>
      </c>
      <c r="H5" s="67" t="s">
        <v>6</v>
      </c>
      <c r="I5" s="67" t="s">
        <v>7</v>
      </c>
      <c r="J5" s="67"/>
      <c r="K5" s="67" t="s">
        <v>8</v>
      </c>
      <c r="L5" s="67" t="s">
        <v>9</v>
      </c>
      <c r="M5" s="67" t="s">
        <v>10</v>
      </c>
      <c r="N5" s="67" t="s">
        <v>11</v>
      </c>
      <c r="O5" s="67"/>
      <c r="P5" s="67" t="s">
        <v>10</v>
      </c>
      <c r="Q5" s="67" t="s">
        <v>11</v>
      </c>
      <c r="R5" s="69"/>
      <c r="S5" s="81" t="s">
        <v>12</v>
      </c>
      <c r="T5" s="67" t="s">
        <v>13</v>
      </c>
      <c r="U5" s="82"/>
      <c r="V5" s="127" t="s">
        <v>144</v>
      </c>
      <c r="W5" s="69" t="s">
        <v>12</v>
      </c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</row>
    <row r="6" spans="1:35" ht="12" customHeight="1" x14ac:dyDescent="0.2">
      <c r="A6" s="11" t="s">
        <v>117</v>
      </c>
      <c r="B6" s="9"/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70"/>
      <c r="S6" s="83"/>
      <c r="T6" s="9"/>
      <c r="U6" s="84"/>
      <c r="V6" s="74"/>
      <c r="W6" s="10"/>
      <c r="X6" s="7"/>
      <c r="Y6" s="131"/>
      <c r="Z6" s="132"/>
      <c r="AA6" s="132"/>
      <c r="AB6" s="132"/>
      <c r="AC6" s="132"/>
      <c r="AD6" s="132"/>
      <c r="AE6" s="132"/>
      <c r="AF6" s="132"/>
      <c r="AG6" s="132"/>
      <c r="AH6" s="132"/>
      <c r="AI6" s="133"/>
    </row>
    <row r="7" spans="1:35" ht="12" customHeight="1" x14ac:dyDescent="0.2">
      <c r="A7" s="12">
        <v>630035</v>
      </c>
      <c r="B7" s="13" t="s">
        <v>14</v>
      </c>
      <c r="C7" s="13" t="s">
        <v>15</v>
      </c>
      <c r="D7" s="13" t="s">
        <v>16</v>
      </c>
      <c r="E7" s="13" t="s">
        <v>17</v>
      </c>
      <c r="F7" s="14">
        <v>0</v>
      </c>
      <c r="G7" s="14">
        <f>ROUND(F7/131.5*140.3,0)</f>
        <v>0</v>
      </c>
      <c r="H7" s="14">
        <f>ROUND(G7/140.3*150.8,0)</f>
        <v>0</v>
      </c>
      <c r="I7" s="14"/>
      <c r="J7" s="14">
        <f>55000*1.21</f>
        <v>66550</v>
      </c>
      <c r="K7" s="15">
        <f>ROUND(I7/110.4*124,0)</f>
        <v>0</v>
      </c>
      <c r="L7" s="15">
        <f>ROUND(J7/105.2*122.3,0)</f>
        <v>77368</v>
      </c>
      <c r="M7" s="15">
        <f>ROUNDUP(K7*128.4/124,-3)</f>
        <v>0</v>
      </c>
      <c r="N7" s="15">
        <f>ROUNDUP(L7*124.4/122.3,-3)</f>
        <v>79000</v>
      </c>
      <c r="O7" s="14">
        <f>M7+N7</f>
        <v>79000</v>
      </c>
      <c r="P7" s="14">
        <f>M7</f>
        <v>0</v>
      </c>
      <c r="Q7" s="14">
        <f>N7</f>
        <v>79000</v>
      </c>
      <c r="R7" s="71">
        <f>Q7+P7</f>
        <v>79000</v>
      </c>
      <c r="S7" s="85">
        <f>ROUNDUP(P7*133.4/128.4,-3)</f>
        <v>0</v>
      </c>
      <c r="T7" s="16">
        <v>83000</v>
      </c>
      <c r="U7" s="86">
        <f>S7+T7</f>
        <v>83000</v>
      </c>
      <c r="V7" s="75">
        <f t="shared" ref="V7:V9" si="0">ROUNDUP(S7*138.1/133.4,-3)</f>
        <v>0</v>
      </c>
      <c r="W7" s="16">
        <f t="shared" ref="W7:W8" si="1">ROUNDUP(T7*133.4/129.6,-3)</f>
        <v>86000</v>
      </c>
      <c r="X7" s="123">
        <f>+V7+W7</f>
        <v>86000</v>
      </c>
      <c r="Y7" s="134" t="s">
        <v>166</v>
      </c>
      <c r="Z7" s="135" t="s">
        <v>166</v>
      </c>
      <c r="AA7" s="135" t="s">
        <v>166</v>
      </c>
      <c r="AB7" s="135" t="s">
        <v>166</v>
      </c>
      <c r="AC7" s="140" t="str">
        <f t="shared" ref="AC7:AC9" si="2">IF(AB7="Nee","n.v.t.","")</f>
        <v>n.v.t.</v>
      </c>
      <c r="AD7" s="135" t="s">
        <v>166</v>
      </c>
      <c r="AE7" s="140" t="str">
        <f t="shared" ref="AE7:AE9" si="3">IF(AD7="Nee","n.v.t.","")</f>
        <v>n.v.t.</v>
      </c>
      <c r="AF7" s="135" t="s">
        <v>167</v>
      </c>
      <c r="AG7" s="135" t="s">
        <v>166</v>
      </c>
      <c r="AH7" s="135" t="s">
        <v>166</v>
      </c>
      <c r="AI7" s="136" t="s">
        <v>166</v>
      </c>
    </row>
    <row r="8" spans="1:35" ht="12" customHeight="1" x14ac:dyDescent="0.2">
      <c r="A8" s="17">
        <v>630037</v>
      </c>
      <c r="B8" s="18" t="s">
        <v>143</v>
      </c>
      <c r="C8" s="19" t="s">
        <v>97</v>
      </c>
      <c r="D8" s="19" t="s">
        <v>98</v>
      </c>
      <c r="E8" s="19" t="s">
        <v>17</v>
      </c>
      <c r="F8" s="20"/>
      <c r="G8" s="20"/>
      <c r="H8" s="20"/>
      <c r="I8" s="20"/>
      <c r="J8" s="20"/>
      <c r="K8" s="20"/>
      <c r="L8" s="20"/>
      <c r="M8" s="15">
        <v>0</v>
      </c>
      <c r="N8" s="20">
        <v>0</v>
      </c>
      <c r="O8" s="20">
        <f>M8+N8</f>
        <v>0</v>
      </c>
      <c r="P8" s="20">
        <v>14043000</v>
      </c>
      <c r="Q8" s="20">
        <v>500000</v>
      </c>
      <c r="R8" s="72">
        <f>Q8+P8</f>
        <v>14543000</v>
      </c>
      <c r="S8" s="85">
        <f>ROUNDUP(15000000*(133.4/128.4),-3)</f>
        <v>15585000</v>
      </c>
      <c r="T8" s="16">
        <v>0</v>
      </c>
      <c r="U8" s="87">
        <f>S8+T8</f>
        <v>15585000</v>
      </c>
      <c r="V8" s="75">
        <f t="shared" si="0"/>
        <v>16135000</v>
      </c>
      <c r="W8" s="16">
        <f t="shared" si="1"/>
        <v>0</v>
      </c>
      <c r="X8" s="123">
        <f t="shared" ref="X8:X9" si="4">+V8+W8</f>
        <v>16135000</v>
      </c>
      <c r="Y8" s="134" t="s">
        <v>165</v>
      </c>
      <c r="Z8" s="135" t="s">
        <v>165</v>
      </c>
      <c r="AA8" s="135" t="s">
        <v>166</v>
      </c>
      <c r="AB8" s="135" t="s">
        <v>166</v>
      </c>
      <c r="AC8" s="140" t="str">
        <f t="shared" si="2"/>
        <v>n.v.t.</v>
      </c>
      <c r="AD8" s="135" t="s">
        <v>165</v>
      </c>
      <c r="AE8" s="140" t="s">
        <v>169</v>
      </c>
      <c r="AF8" s="135" t="s">
        <v>167</v>
      </c>
      <c r="AG8" s="135" t="s">
        <v>166</v>
      </c>
      <c r="AH8" s="135" t="s">
        <v>166</v>
      </c>
      <c r="AI8" s="136" t="s">
        <v>166</v>
      </c>
    </row>
    <row r="9" spans="1:35" ht="12" customHeight="1" x14ac:dyDescent="0.2">
      <c r="A9" s="12">
        <v>630035</v>
      </c>
      <c r="B9" s="13" t="s">
        <v>55</v>
      </c>
      <c r="C9" s="13" t="s">
        <v>56</v>
      </c>
      <c r="D9" s="13" t="s">
        <v>57</v>
      </c>
      <c r="E9" s="13" t="s">
        <v>58</v>
      </c>
      <c r="F9" s="14">
        <v>0</v>
      </c>
      <c r="G9" s="14">
        <f>ROUND(F9/131.5*140.3,0)</f>
        <v>0</v>
      </c>
      <c r="H9" s="14">
        <f>ROUND(G9/140.3*150.8,0)</f>
        <v>0</v>
      </c>
      <c r="I9" s="14"/>
      <c r="J9" s="14">
        <f>50000*1.21</f>
        <v>60500</v>
      </c>
      <c r="K9" s="15">
        <f>ROUND(I9/110.4*124,0)</f>
        <v>0</v>
      </c>
      <c r="L9" s="15">
        <f>ROUND(J9/105.2*122.3,0)</f>
        <v>70334</v>
      </c>
      <c r="M9" s="15">
        <f>ROUNDUP(K9*128.4/124,-3)</f>
        <v>0</v>
      </c>
      <c r="N9" s="15">
        <f>ROUNDUP(L9*124.4/122.3,-3)</f>
        <v>72000</v>
      </c>
      <c r="O9" s="14">
        <f>M9+N9</f>
        <v>72000</v>
      </c>
      <c r="P9" s="14">
        <f>M9</f>
        <v>0</v>
      </c>
      <c r="Q9" s="14">
        <f>N9</f>
        <v>72000</v>
      </c>
      <c r="R9" s="71">
        <f>Q9+P9</f>
        <v>72000</v>
      </c>
      <c r="S9" s="85">
        <f>ROUNDUP(P9*133.4/128.4,-3)</f>
        <v>0</v>
      </c>
      <c r="T9" s="16">
        <f>ROUNDUP(Q9*129.6/124.4,-3)</f>
        <v>76000</v>
      </c>
      <c r="U9" s="86">
        <f>S9+T9</f>
        <v>76000</v>
      </c>
      <c r="V9" s="75">
        <f t="shared" si="0"/>
        <v>0</v>
      </c>
      <c r="W9" s="16">
        <f>ROUNDUP(T9*133.4/129.6,-3)</f>
        <v>79000</v>
      </c>
      <c r="X9" s="123">
        <f t="shared" si="4"/>
        <v>79000</v>
      </c>
      <c r="Y9" s="134" t="s">
        <v>166</v>
      </c>
      <c r="Z9" s="135" t="s">
        <v>166</v>
      </c>
      <c r="AA9" s="135" t="s">
        <v>166</v>
      </c>
      <c r="AB9" s="135" t="s">
        <v>166</v>
      </c>
      <c r="AC9" s="140" t="str">
        <f t="shared" si="2"/>
        <v>n.v.t.</v>
      </c>
      <c r="AD9" s="135" t="s">
        <v>166</v>
      </c>
      <c r="AE9" s="140" t="str">
        <f t="shared" si="3"/>
        <v>n.v.t.</v>
      </c>
      <c r="AF9" s="135" t="s">
        <v>167</v>
      </c>
      <c r="AG9" s="135" t="s">
        <v>166</v>
      </c>
      <c r="AH9" s="135" t="s">
        <v>166</v>
      </c>
      <c r="AI9" s="136" t="s">
        <v>166</v>
      </c>
    </row>
    <row r="10" spans="1:35" ht="12" customHeight="1" x14ac:dyDescent="0.2">
      <c r="A10" s="96" t="s">
        <v>125</v>
      </c>
      <c r="B10" s="97"/>
      <c r="C10" s="98"/>
      <c r="D10" s="97"/>
      <c r="E10" s="97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100"/>
      <c r="S10" s="101">
        <f>SUM(S7:S9)</f>
        <v>15585000</v>
      </c>
      <c r="T10" s="102">
        <f t="shared" ref="T10:X10" si="5">SUM(T7:T9)</f>
        <v>159000</v>
      </c>
      <c r="U10" s="103">
        <f t="shared" si="5"/>
        <v>15744000</v>
      </c>
      <c r="V10" s="104">
        <f t="shared" si="5"/>
        <v>16135000</v>
      </c>
      <c r="W10" s="102">
        <f t="shared" si="5"/>
        <v>165000</v>
      </c>
      <c r="X10" s="103">
        <f t="shared" si="5"/>
        <v>16300000</v>
      </c>
      <c r="Y10" s="134"/>
      <c r="Z10" s="135"/>
      <c r="AA10" s="135"/>
      <c r="AB10" s="135"/>
      <c r="AC10" s="135"/>
      <c r="AD10" s="135"/>
      <c r="AE10" s="135"/>
      <c r="AF10" s="135"/>
      <c r="AG10" s="135"/>
      <c r="AH10" s="135"/>
      <c r="AI10" s="136"/>
    </row>
    <row r="11" spans="1:35" ht="12" customHeight="1" x14ac:dyDescent="0.2">
      <c r="A11" s="8"/>
      <c r="B11" s="9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70"/>
      <c r="S11" s="88"/>
      <c r="T11" s="21"/>
      <c r="U11" s="89"/>
      <c r="V11" s="76"/>
      <c r="W11" s="21"/>
      <c r="X11" s="7"/>
      <c r="Y11" s="134"/>
      <c r="Z11" s="135"/>
      <c r="AA11" s="135"/>
      <c r="AB11" s="135"/>
      <c r="AC11" s="135"/>
      <c r="AD11" s="135"/>
      <c r="AE11" s="135"/>
      <c r="AF11" s="135"/>
      <c r="AG11" s="135"/>
      <c r="AH11" s="135"/>
      <c r="AI11" s="136"/>
    </row>
    <row r="12" spans="1:35" ht="12" customHeight="1" x14ac:dyDescent="0.2">
      <c r="A12" s="11" t="s">
        <v>126</v>
      </c>
      <c r="B12" s="9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70"/>
      <c r="S12" s="90"/>
      <c r="T12" s="22"/>
      <c r="U12" s="91"/>
      <c r="V12" s="77"/>
      <c r="W12" s="23"/>
      <c r="X12" s="7"/>
      <c r="Y12" s="134"/>
      <c r="Z12" s="135"/>
      <c r="AA12" s="135"/>
      <c r="AB12" s="135"/>
      <c r="AC12" s="135"/>
      <c r="AD12" s="135"/>
      <c r="AE12" s="135"/>
      <c r="AF12" s="135"/>
      <c r="AG12" s="135"/>
      <c r="AH12" s="135"/>
      <c r="AI12" s="136"/>
    </row>
    <row r="13" spans="1:35" ht="12" customHeight="1" x14ac:dyDescent="0.2">
      <c r="A13" s="12">
        <v>627017</v>
      </c>
      <c r="B13" s="13" t="s">
        <v>71</v>
      </c>
      <c r="C13" s="13" t="s">
        <v>72</v>
      </c>
      <c r="D13" s="13" t="s">
        <v>73</v>
      </c>
      <c r="E13" s="13" t="s">
        <v>17</v>
      </c>
      <c r="F13" s="14">
        <v>1488722</v>
      </c>
      <c r="G13" s="14">
        <f t="shared" ref="G13:G18" si="6">ROUND(F13/131.5*140.3,0)</f>
        <v>1588348</v>
      </c>
      <c r="H13" s="14">
        <f t="shared" ref="H13:H18" si="7">ROUND(G13/140.3*150.8,0)</f>
        <v>1707219</v>
      </c>
      <c r="I13" s="14">
        <v>2310000</v>
      </c>
      <c r="J13" s="14">
        <f>270000*1.21</f>
        <v>326700</v>
      </c>
      <c r="K13" s="15">
        <f t="shared" ref="K13:K18" si="8">ROUND(I13/110.4*124,0)</f>
        <v>2594565</v>
      </c>
      <c r="L13" s="15">
        <f t="shared" ref="L13:L18" si="9">ROUND(J13/105.2*122.3,0)</f>
        <v>379804</v>
      </c>
      <c r="M13" s="15">
        <f t="shared" ref="M13:M18" si="10">ROUNDUP(K13*128.4/124,-3)</f>
        <v>2687000</v>
      </c>
      <c r="N13" s="15">
        <f t="shared" ref="N13:N18" si="11">ROUNDUP(L13*124.4/122.3,-3)</f>
        <v>387000</v>
      </c>
      <c r="O13" s="14">
        <f t="shared" ref="O13:O18" si="12">M13+N13</f>
        <v>3074000</v>
      </c>
      <c r="P13" s="14">
        <f t="shared" ref="P13:Q18" si="13">M13</f>
        <v>2687000</v>
      </c>
      <c r="Q13" s="14">
        <f t="shared" si="13"/>
        <v>387000</v>
      </c>
      <c r="R13" s="71">
        <f t="shared" ref="R13:R18" si="14">Q13+P13</f>
        <v>3074000</v>
      </c>
      <c r="S13" s="85">
        <f t="shared" ref="S13:S18" si="15">ROUNDUP(P13*133.4/128.4,-3)</f>
        <v>2792000</v>
      </c>
      <c r="T13" s="16">
        <f t="shared" ref="T13:T18" si="16">ROUNDUP(Q13*129.6/124.4,-3)</f>
        <v>404000</v>
      </c>
      <c r="U13" s="86">
        <f t="shared" ref="U13:U18" si="17">S13+T13</f>
        <v>3196000</v>
      </c>
      <c r="V13" s="75">
        <f t="shared" ref="V13:V18" si="18">ROUNDUP(S13*138.1/133.4,-3)</f>
        <v>2891000</v>
      </c>
      <c r="W13" s="16">
        <f t="shared" ref="W13:W18" si="19">ROUNDUP(T13*133.4/129.6,-3)</f>
        <v>416000</v>
      </c>
      <c r="X13" s="123">
        <f>+V13+W13</f>
        <v>3307000</v>
      </c>
      <c r="Y13" s="134" t="s">
        <v>165</v>
      </c>
      <c r="Z13" s="135" t="s">
        <v>165</v>
      </c>
      <c r="AA13" s="135" t="s">
        <v>166</v>
      </c>
      <c r="AB13" s="135" t="s">
        <v>166</v>
      </c>
      <c r="AC13" s="140" t="str">
        <f t="shared" ref="AC13:AC18" si="20">IF(AB13="Nee","n.v.t.","")</f>
        <v>n.v.t.</v>
      </c>
      <c r="AD13" s="135" t="s">
        <v>169</v>
      </c>
      <c r="AE13" s="140" t="s">
        <v>165</v>
      </c>
      <c r="AF13" s="135" t="s">
        <v>167</v>
      </c>
      <c r="AG13" s="135" t="s">
        <v>166</v>
      </c>
      <c r="AH13" s="135" t="s">
        <v>166</v>
      </c>
      <c r="AI13" s="136" t="s">
        <v>166</v>
      </c>
    </row>
    <row r="14" spans="1:35" ht="12" customHeight="1" x14ac:dyDescent="0.2">
      <c r="A14" s="12">
        <v>627017</v>
      </c>
      <c r="B14" s="13" t="s">
        <v>74</v>
      </c>
      <c r="C14" s="13" t="s">
        <v>75</v>
      </c>
      <c r="D14" s="13" t="s">
        <v>76</v>
      </c>
      <c r="E14" s="13" t="s">
        <v>77</v>
      </c>
      <c r="F14" s="14">
        <v>2130908</v>
      </c>
      <c r="G14" s="14">
        <f t="shared" si="6"/>
        <v>2273509</v>
      </c>
      <c r="H14" s="14">
        <f t="shared" si="7"/>
        <v>2443658</v>
      </c>
      <c r="I14" s="14">
        <v>2400000</v>
      </c>
      <c r="J14" s="14">
        <f>235000*1.21</f>
        <v>284350</v>
      </c>
      <c r="K14" s="15">
        <f t="shared" si="8"/>
        <v>2695652</v>
      </c>
      <c r="L14" s="15">
        <f t="shared" si="9"/>
        <v>330570</v>
      </c>
      <c r="M14" s="15">
        <f t="shared" si="10"/>
        <v>2792000</v>
      </c>
      <c r="N14" s="15">
        <f t="shared" si="11"/>
        <v>337000</v>
      </c>
      <c r="O14" s="14">
        <f t="shared" si="12"/>
        <v>3129000</v>
      </c>
      <c r="P14" s="14">
        <f t="shared" si="13"/>
        <v>2792000</v>
      </c>
      <c r="Q14" s="14">
        <f t="shared" si="13"/>
        <v>337000</v>
      </c>
      <c r="R14" s="71">
        <f t="shared" si="14"/>
        <v>3129000</v>
      </c>
      <c r="S14" s="85">
        <f t="shared" si="15"/>
        <v>2901000</v>
      </c>
      <c r="T14" s="16">
        <f t="shared" si="16"/>
        <v>352000</v>
      </c>
      <c r="U14" s="86">
        <f t="shared" si="17"/>
        <v>3253000</v>
      </c>
      <c r="V14" s="75">
        <f t="shared" si="18"/>
        <v>3004000</v>
      </c>
      <c r="W14" s="16">
        <f t="shared" si="19"/>
        <v>363000</v>
      </c>
      <c r="X14" s="123">
        <f t="shared" ref="X14:X18" si="21">+V14+W14</f>
        <v>3367000</v>
      </c>
      <c r="Y14" s="134" t="s">
        <v>165</v>
      </c>
      <c r="Z14" s="135" t="s">
        <v>165</v>
      </c>
      <c r="AA14" s="135" t="s">
        <v>166</v>
      </c>
      <c r="AB14" s="135" t="s">
        <v>166</v>
      </c>
      <c r="AC14" s="140" t="str">
        <f t="shared" si="20"/>
        <v>n.v.t.</v>
      </c>
      <c r="AD14" s="135" t="s">
        <v>169</v>
      </c>
      <c r="AE14" s="140" t="s">
        <v>165</v>
      </c>
      <c r="AF14" s="135" t="s">
        <v>167</v>
      </c>
      <c r="AG14" s="135" t="s">
        <v>166</v>
      </c>
      <c r="AH14" s="135" t="s">
        <v>166</v>
      </c>
      <c r="AI14" s="136" t="s">
        <v>166</v>
      </c>
    </row>
    <row r="15" spans="1:35" ht="12" customHeight="1" x14ac:dyDescent="0.2">
      <c r="A15" s="12">
        <v>627017</v>
      </c>
      <c r="B15" s="13" t="s">
        <v>78</v>
      </c>
      <c r="C15" s="13" t="s">
        <v>79</v>
      </c>
      <c r="D15" s="13" t="s">
        <v>80</v>
      </c>
      <c r="E15" s="13" t="s">
        <v>27</v>
      </c>
      <c r="F15" s="14">
        <v>4920851</v>
      </c>
      <c r="G15" s="14">
        <f t="shared" si="6"/>
        <v>5250155</v>
      </c>
      <c r="H15" s="14">
        <f t="shared" si="7"/>
        <v>5643075</v>
      </c>
      <c r="I15" s="14">
        <v>7350000</v>
      </c>
      <c r="J15" s="14">
        <f>770000*1.21</f>
        <v>931700</v>
      </c>
      <c r="K15" s="15">
        <f t="shared" si="8"/>
        <v>8255435</v>
      </c>
      <c r="L15" s="15">
        <f t="shared" si="9"/>
        <v>1083146</v>
      </c>
      <c r="M15" s="15">
        <f t="shared" si="10"/>
        <v>8549000</v>
      </c>
      <c r="N15" s="15">
        <f t="shared" si="11"/>
        <v>1102000</v>
      </c>
      <c r="O15" s="14">
        <f t="shared" si="12"/>
        <v>9651000</v>
      </c>
      <c r="P15" s="14">
        <f t="shared" si="13"/>
        <v>8549000</v>
      </c>
      <c r="Q15" s="14">
        <f t="shared" si="13"/>
        <v>1102000</v>
      </c>
      <c r="R15" s="71">
        <f t="shared" si="14"/>
        <v>9651000</v>
      </c>
      <c r="S15" s="85">
        <f t="shared" si="15"/>
        <v>8882000</v>
      </c>
      <c r="T15" s="16">
        <f t="shared" si="16"/>
        <v>1149000</v>
      </c>
      <c r="U15" s="86">
        <f t="shared" si="17"/>
        <v>10031000</v>
      </c>
      <c r="V15" s="75">
        <f t="shared" si="18"/>
        <v>9195000</v>
      </c>
      <c r="W15" s="16">
        <f t="shared" si="19"/>
        <v>1183000</v>
      </c>
      <c r="X15" s="123">
        <f t="shared" si="21"/>
        <v>10378000</v>
      </c>
      <c r="Y15" s="134" t="s">
        <v>165</v>
      </c>
      <c r="Z15" s="135" t="s">
        <v>165</v>
      </c>
      <c r="AA15" s="135" t="s">
        <v>166</v>
      </c>
      <c r="AB15" s="135" t="s">
        <v>166</v>
      </c>
      <c r="AC15" s="140" t="str">
        <f t="shared" si="20"/>
        <v>n.v.t.</v>
      </c>
      <c r="AD15" s="135" t="s">
        <v>169</v>
      </c>
      <c r="AE15" s="140" t="s">
        <v>165</v>
      </c>
      <c r="AF15" s="135" t="s">
        <v>167</v>
      </c>
      <c r="AG15" s="135" t="s">
        <v>166</v>
      </c>
      <c r="AH15" s="135" t="s">
        <v>166</v>
      </c>
      <c r="AI15" s="136" t="s">
        <v>166</v>
      </c>
    </row>
    <row r="16" spans="1:35" ht="12" customHeight="1" x14ac:dyDescent="0.2">
      <c r="A16" s="12">
        <v>627017</v>
      </c>
      <c r="B16" s="13" t="s">
        <v>84</v>
      </c>
      <c r="C16" s="13" t="s">
        <v>85</v>
      </c>
      <c r="D16" s="13" t="s">
        <v>86</v>
      </c>
      <c r="E16" s="13" t="s">
        <v>27</v>
      </c>
      <c r="F16" s="14">
        <v>2271608</v>
      </c>
      <c r="G16" s="14">
        <f t="shared" si="6"/>
        <v>2423624</v>
      </c>
      <c r="H16" s="14">
        <f t="shared" si="7"/>
        <v>2605007</v>
      </c>
      <c r="I16" s="14">
        <v>4100000</v>
      </c>
      <c r="J16" s="14">
        <f>635000*1.21</f>
        <v>768350</v>
      </c>
      <c r="K16" s="15">
        <f t="shared" si="8"/>
        <v>4605072</v>
      </c>
      <c r="L16" s="15">
        <f t="shared" si="9"/>
        <v>893243</v>
      </c>
      <c r="M16" s="15">
        <f t="shared" si="10"/>
        <v>4769000</v>
      </c>
      <c r="N16" s="15">
        <f t="shared" si="11"/>
        <v>909000</v>
      </c>
      <c r="O16" s="14">
        <f t="shared" si="12"/>
        <v>5678000</v>
      </c>
      <c r="P16" s="14">
        <f t="shared" si="13"/>
        <v>4769000</v>
      </c>
      <c r="Q16" s="14">
        <f t="shared" si="13"/>
        <v>909000</v>
      </c>
      <c r="R16" s="71">
        <f t="shared" si="14"/>
        <v>5678000</v>
      </c>
      <c r="S16" s="85">
        <f t="shared" si="15"/>
        <v>4955000</v>
      </c>
      <c r="T16" s="16">
        <f t="shared" si="16"/>
        <v>947000</v>
      </c>
      <c r="U16" s="86">
        <f t="shared" si="17"/>
        <v>5902000</v>
      </c>
      <c r="V16" s="75">
        <f t="shared" si="18"/>
        <v>5130000</v>
      </c>
      <c r="W16" s="16">
        <f t="shared" si="19"/>
        <v>975000</v>
      </c>
      <c r="X16" s="123">
        <f t="shared" si="21"/>
        <v>6105000</v>
      </c>
      <c r="Y16" s="134" t="s">
        <v>165</v>
      </c>
      <c r="Z16" s="135" t="s">
        <v>165</v>
      </c>
      <c r="AA16" s="135" t="s">
        <v>166</v>
      </c>
      <c r="AB16" s="135" t="s">
        <v>166</v>
      </c>
      <c r="AC16" s="140" t="str">
        <f t="shared" si="20"/>
        <v>n.v.t.</v>
      </c>
      <c r="AD16" s="135" t="s">
        <v>169</v>
      </c>
      <c r="AE16" s="140" t="s">
        <v>165</v>
      </c>
      <c r="AF16" s="135" t="s">
        <v>167</v>
      </c>
      <c r="AG16" s="135" t="s">
        <v>166</v>
      </c>
      <c r="AH16" s="135" t="s">
        <v>166</v>
      </c>
      <c r="AI16" s="136" t="s">
        <v>166</v>
      </c>
    </row>
    <row r="17" spans="1:35" ht="12" customHeight="1" x14ac:dyDescent="0.2">
      <c r="A17" s="12">
        <v>627017</v>
      </c>
      <c r="B17" s="13" t="s">
        <v>87</v>
      </c>
      <c r="C17" s="13" t="s">
        <v>88</v>
      </c>
      <c r="D17" s="13" t="s">
        <v>89</v>
      </c>
      <c r="E17" s="13" t="s">
        <v>54</v>
      </c>
      <c r="F17" s="14">
        <v>2216164</v>
      </c>
      <c r="G17" s="14">
        <f t="shared" si="6"/>
        <v>2364470</v>
      </c>
      <c r="H17" s="14">
        <f t="shared" si="7"/>
        <v>2541426</v>
      </c>
      <c r="I17" s="14">
        <v>2550000</v>
      </c>
      <c r="J17" s="14">
        <f>300000*1.21</f>
        <v>363000</v>
      </c>
      <c r="K17" s="15">
        <f t="shared" si="8"/>
        <v>2864130</v>
      </c>
      <c r="L17" s="15">
        <f t="shared" si="9"/>
        <v>422005</v>
      </c>
      <c r="M17" s="15">
        <f t="shared" si="10"/>
        <v>2966000</v>
      </c>
      <c r="N17" s="15">
        <f t="shared" si="11"/>
        <v>430000</v>
      </c>
      <c r="O17" s="14">
        <f t="shared" si="12"/>
        <v>3396000</v>
      </c>
      <c r="P17" s="14">
        <f t="shared" si="13"/>
        <v>2966000</v>
      </c>
      <c r="Q17" s="14">
        <f t="shared" si="13"/>
        <v>430000</v>
      </c>
      <c r="R17" s="71">
        <f t="shared" si="14"/>
        <v>3396000</v>
      </c>
      <c r="S17" s="85">
        <f t="shared" si="15"/>
        <v>3082000</v>
      </c>
      <c r="T17" s="16">
        <f t="shared" si="16"/>
        <v>448000</v>
      </c>
      <c r="U17" s="86">
        <f t="shared" si="17"/>
        <v>3530000</v>
      </c>
      <c r="V17" s="75">
        <f t="shared" si="18"/>
        <v>3191000</v>
      </c>
      <c r="W17" s="16">
        <f t="shared" si="19"/>
        <v>462000</v>
      </c>
      <c r="X17" s="123">
        <f t="shared" si="21"/>
        <v>3653000</v>
      </c>
      <c r="Y17" s="134" t="s">
        <v>165</v>
      </c>
      <c r="Z17" s="135" t="s">
        <v>165</v>
      </c>
      <c r="AA17" s="135" t="s">
        <v>166</v>
      </c>
      <c r="AB17" s="135" t="s">
        <v>166</v>
      </c>
      <c r="AC17" s="140" t="str">
        <f t="shared" si="20"/>
        <v>n.v.t.</v>
      </c>
      <c r="AD17" s="135" t="s">
        <v>169</v>
      </c>
      <c r="AE17" s="140" t="s">
        <v>165</v>
      </c>
      <c r="AF17" s="135" t="s">
        <v>167</v>
      </c>
      <c r="AG17" s="135" t="s">
        <v>166</v>
      </c>
      <c r="AH17" s="135" t="s">
        <v>166</v>
      </c>
      <c r="AI17" s="136" t="s">
        <v>166</v>
      </c>
    </row>
    <row r="18" spans="1:35" ht="12" customHeight="1" x14ac:dyDescent="0.2">
      <c r="A18" s="12">
        <v>627017</v>
      </c>
      <c r="B18" s="13" t="s">
        <v>121</v>
      </c>
      <c r="C18" s="13" t="s">
        <v>90</v>
      </c>
      <c r="D18" s="13" t="s">
        <v>91</v>
      </c>
      <c r="E18" s="13" t="s">
        <v>58</v>
      </c>
      <c r="F18" s="14">
        <v>1833386</v>
      </c>
      <c r="G18" s="14">
        <f t="shared" si="6"/>
        <v>1956076</v>
      </c>
      <c r="H18" s="14">
        <f t="shared" si="7"/>
        <v>2102468</v>
      </c>
      <c r="I18" s="14">
        <v>2600000</v>
      </c>
      <c r="J18" s="14">
        <f>355000*1.21</f>
        <v>429550</v>
      </c>
      <c r="K18" s="15">
        <f t="shared" si="8"/>
        <v>2920290</v>
      </c>
      <c r="L18" s="15">
        <f t="shared" si="9"/>
        <v>499372</v>
      </c>
      <c r="M18" s="15">
        <f t="shared" si="10"/>
        <v>3024000</v>
      </c>
      <c r="N18" s="15">
        <f t="shared" si="11"/>
        <v>508000</v>
      </c>
      <c r="O18" s="14">
        <f t="shared" si="12"/>
        <v>3532000</v>
      </c>
      <c r="P18" s="14">
        <f t="shared" si="13"/>
        <v>3024000</v>
      </c>
      <c r="Q18" s="14">
        <f t="shared" si="13"/>
        <v>508000</v>
      </c>
      <c r="R18" s="71">
        <f t="shared" si="14"/>
        <v>3532000</v>
      </c>
      <c r="S18" s="85">
        <f t="shared" si="15"/>
        <v>3142000</v>
      </c>
      <c r="T18" s="16">
        <f t="shared" si="16"/>
        <v>530000</v>
      </c>
      <c r="U18" s="86">
        <f t="shared" si="17"/>
        <v>3672000</v>
      </c>
      <c r="V18" s="75">
        <f t="shared" si="18"/>
        <v>3253000</v>
      </c>
      <c r="W18" s="16">
        <f t="shared" si="19"/>
        <v>546000</v>
      </c>
      <c r="X18" s="123">
        <f t="shared" si="21"/>
        <v>3799000</v>
      </c>
      <c r="Y18" s="134" t="s">
        <v>165</v>
      </c>
      <c r="Z18" s="135" t="s">
        <v>165</v>
      </c>
      <c r="AA18" s="135" t="s">
        <v>166</v>
      </c>
      <c r="AB18" s="135" t="s">
        <v>166</v>
      </c>
      <c r="AC18" s="140" t="str">
        <f t="shared" si="20"/>
        <v>n.v.t.</v>
      </c>
      <c r="AD18" s="135" t="s">
        <v>169</v>
      </c>
      <c r="AE18" s="140" t="s">
        <v>165</v>
      </c>
      <c r="AF18" s="135" t="s">
        <v>167</v>
      </c>
      <c r="AG18" s="135" t="s">
        <v>166</v>
      </c>
      <c r="AH18" s="135" t="s">
        <v>166</v>
      </c>
      <c r="AI18" s="136" t="s">
        <v>166</v>
      </c>
    </row>
    <row r="19" spans="1:35" ht="12" customHeight="1" x14ac:dyDescent="0.2">
      <c r="A19" s="105" t="s">
        <v>124</v>
      </c>
      <c r="B19" s="106"/>
      <c r="C19" s="106"/>
      <c r="D19" s="106"/>
      <c r="E19" s="106"/>
      <c r="F19" s="107"/>
      <c r="G19" s="107"/>
      <c r="H19" s="107"/>
      <c r="I19" s="107"/>
      <c r="J19" s="107"/>
      <c r="K19" s="108"/>
      <c r="L19" s="108"/>
      <c r="M19" s="108"/>
      <c r="N19" s="108"/>
      <c r="O19" s="107"/>
      <c r="P19" s="107"/>
      <c r="Q19" s="107"/>
      <c r="R19" s="109"/>
      <c r="S19" s="101">
        <f t="shared" ref="S19:X19" si="22">SUM(S13:S18)</f>
        <v>25754000</v>
      </c>
      <c r="T19" s="102">
        <f t="shared" si="22"/>
        <v>3830000</v>
      </c>
      <c r="U19" s="103">
        <f t="shared" si="22"/>
        <v>29584000</v>
      </c>
      <c r="V19" s="104">
        <f t="shared" si="22"/>
        <v>26664000</v>
      </c>
      <c r="W19" s="102">
        <f t="shared" si="22"/>
        <v>3945000</v>
      </c>
      <c r="X19" s="103">
        <f t="shared" si="22"/>
        <v>30609000</v>
      </c>
      <c r="Y19" s="134"/>
      <c r="Z19" s="135"/>
      <c r="AA19" s="135"/>
      <c r="AB19" s="135"/>
      <c r="AC19" s="135"/>
      <c r="AD19" s="135"/>
      <c r="AE19" s="135"/>
      <c r="AF19" s="135"/>
      <c r="AG19" s="135"/>
      <c r="AH19" s="135"/>
      <c r="AI19" s="136"/>
    </row>
    <row r="20" spans="1:35" ht="12" customHeight="1" x14ac:dyDescent="0.2">
      <c r="A20" s="12"/>
      <c r="B20" s="13"/>
      <c r="C20" s="13"/>
      <c r="D20" s="13"/>
      <c r="E20" s="13"/>
      <c r="F20" s="14"/>
      <c r="G20" s="14"/>
      <c r="H20" s="14"/>
      <c r="I20" s="14"/>
      <c r="J20" s="14"/>
      <c r="K20" s="15"/>
      <c r="L20" s="15"/>
      <c r="M20" s="15"/>
      <c r="N20" s="15"/>
      <c r="O20" s="14"/>
      <c r="P20" s="14"/>
      <c r="Q20" s="14"/>
      <c r="R20" s="71"/>
      <c r="S20" s="88"/>
      <c r="T20" s="21"/>
      <c r="U20" s="89"/>
      <c r="V20" s="76"/>
      <c r="W20" s="21"/>
      <c r="X20" s="7"/>
      <c r="Y20" s="134"/>
      <c r="Z20" s="135"/>
      <c r="AA20" s="135"/>
      <c r="AB20" s="135"/>
      <c r="AC20" s="135"/>
      <c r="AD20" s="135"/>
      <c r="AE20" s="135"/>
      <c r="AF20" s="135"/>
      <c r="AG20" s="135"/>
      <c r="AH20" s="135"/>
      <c r="AI20" s="136"/>
    </row>
    <row r="21" spans="1:35" ht="12" customHeight="1" x14ac:dyDescent="0.25">
      <c r="A21" s="24" t="s">
        <v>128</v>
      </c>
      <c r="B21" s="13"/>
      <c r="C21" s="13"/>
      <c r="D21" s="13"/>
      <c r="E21" s="13"/>
      <c r="F21" s="14"/>
      <c r="G21" s="14"/>
      <c r="H21" s="14"/>
      <c r="I21" s="14"/>
      <c r="J21" s="14"/>
      <c r="K21" s="15"/>
      <c r="L21" s="15"/>
      <c r="M21" s="15"/>
      <c r="N21" s="15"/>
      <c r="O21" s="14"/>
      <c r="P21" s="14"/>
      <c r="Q21" s="14"/>
      <c r="R21" s="71"/>
      <c r="S21" s="88"/>
      <c r="T21" s="21"/>
      <c r="U21" s="89"/>
      <c r="V21" s="76"/>
      <c r="W21" s="21"/>
      <c r="X21" s="7"/>
      <c r="Y21" s="134"/>
      <c r="Z21" s="135"/>
      <c r="AA21" s="135"/>
      <c r="AB21" s="135"/>
      <c r="AC21" s="135"/>
      <c r="AD21" s="135"/>
      <c r="AE21" s="135"/>
      <c r="AF21" s="135"/>
      <c r="AG21" s="135"/>
      <c r="AH21" s="135"/>
      <c r="AI21" s="136"/>
    </row>
    <row r="22" spans="1:35" ht="12" customHeight="1" x14ac:dyDescent="0.2">
      <c r="A22" s="12">
        <v>627012</v>
      </c>
      <c r="B22" s="13" t="s">
        <v>81</v>
      </c>
      <c r="C22" s="13" t="s">
        <v>82</v>
      </c>
      <c r="D22" s="13" t="s">
        <v>83</v>
      </c>
      <c r="E22" s="13" t="s">
        <v>27</v>
      </c>
      <c r="F22" s="14">
        <v>3206352</v>
      </c>
      <c r="G22" s="14">
        <f>ROUND(F22/131.5*140.3,0)</f>
        <v>3420922</v>
      </c>
      <c r="H22" s="14">
        <f>ROUND(G22/140.3*150.8,0)</f>
        <v>3676943</v>
      </c>
      <c r="I22" s="14">
        <v>6700000</v>
      </c>
      <c r="J22" s="14">
        <f>850000*1.21</f>
        <v>1028500</v>
      </c>
      <c r="K22" s="15">
        <f>ROUND(I22/110.4*124,0)</f>
        <v>7525362</v>
      </c>
      <c r="L22" s="15">
        <f>ROUND(J22/105.2*122.3,0)</f>
        <v>1195680</v>
      </c>
      <c r="M22" s="15">
        <f>ROUNDUP(K22*128.4/124,-3)</f>
        <v>7793000</v>
      </c>
      <c r="N22" s="15">
        <f>ROUNDUP(L22*124.4/122.3,-3)</f>
        <v>1217000</v>
      </c>
      <c r="O22" s="14">
        <f>M22+N22</f>
        <v>9010000</v>
      </c>
      <c r="P22" s="14">
        <f>M22</f>
        <v>7793000</v>
      </c>
      <c r="Q22" s="14">
        <f>N22</f>
        <v>1217000</v>
      </c>
      <c r="R22" s="71">
        <f>Q22+P22</f>
        <v>9010000</v>
      </c>
      <c r="S22" s="85">
        <f>ROUNDUP(P22*133.4/128.4,-3)</f>
        <v>8097000</v>
      </c>
      <c r="T22" s="16">
        <f>ROUNDUP(Q22*129.6/124.4,-3)</f>
        <v>1268000</v>
      </c>
      <c r="U22" s="86">
        <f>S22+T22</f>
        <v>9365000</v>
      </c>
      <c r="V22" s="75">
        <f>ROUNDUP(S22*138.1/133.4,-3)</f>
        <v>8383000</v>
      </c>
      <c r="W22" s="16">
        <f>ROUNDUP(T22*133.4/129.6,-3)</f>
        <v>1306000</v>
      </c>
      <c r="X22" s="123">
        <f>+V22+W22</f>
        <v>9689000</v>
      </c>
      <c r="Y22" s="135" t="s">
        <v>167</v>
      </c>
      <c r="Z22" s="135" t="s">
        <v>167</v>
      </c>
      <c r="AA22" s="135" t="s">
        <v>167</v>
      </c>
      <c r="AB22" s="135" t="s">
        <v>167</v>
      </c>
      <c r="AC22" s="135" t="s">
        <v>167</v>
      </c>
      <c r="AD22" s="135" t="s">
        <v>167</v>
      </c>
      <c r="AE22" s="135" t="s">
        <v>167</v>
      </c>
      <c r="AF22" s="135" t="s">
        <v>167</v>
      </c>
      <c r="AG22" s="135" t="s">
        <v>167</v>
      </c>
      <c r="AH22" s="135" t="s">
        <v>167</v>
      </c>
      <c r="AI22" s="136" t="s">
        <v>167</v>
      </c>
    </row>
    <row r="23" spans="1:35" ht="12" customHeight="1" x14ac:dyDescent="0.2">
      <c r="A23" s="105" t="s">
        <v>127</v>
      </c>
      <c r="B23" s="106"/>
      <c r="C23" s="106"/>
      <c r="D23" s="106"/>
      <c r="E23" s="106"/>
      <c r="F23" s="107"/>
      <c r="G23" s="107"/>
      <c r="H23" s="107"/>
      <c r="I23" s="107"/>
      <c r="J23" s="107"/>
      <c r="K23" s="108"/>
      <c r="L23" s="108"/>
      <c r="M23" s="108"/>
      <c r="N23" s="108"/>
      <c r="O23" s="107"/>
      <c r="P23" s="107"/>
      <c r="Q23" s="107"/>
      <c r="R23" s="109"/>
      <c r="S23" s="101">
        <f>SUM(S22)</f>
        <v>8097000</v>
      </c>
      <c r="T23" s="102">
        <f t="shared" ref="T23:X23" si="23">SUM(T22)</f>
        <v>1268000</v>
      </c>
      <c r="U23" s="103">
        <f t="shared" si="23"/>
        <v>9365000</v>
      </c>
      <c r="V23" s="104">
        <f t="shared" si="23"/>
        <v>8383000</v>
      </c>
      <c r="W23" s="102">
        <f t="shared" si="23"/>
        <v>1306000</v>
      </c>
      <c r="X23" s="103">
        <f t="shared" si="23"/>
        <v>9689000</v>
      </c>
      <c r="Y23" s="134"/>
      <c r="Z23" s="135"/>
      <c r="AA23" s="135"/>
      <c r="AB23" s="135"/>
      <c r="AC23" s="135"/>
      <c r="AD23" s="135"/>
      <c r="AE23" s="135"/>
      <c r="AF23" s="135"/>
      <c r="AG23" s="135"/>
      <c r="AH23" s="135"/>
      <c r="AI23" s="136"/>
    </row>
    <row r="24" spans="1:35" ht="12" customHeight="1" x14ac:dyDescent="0.2">
      <c r="A24" s="12"/>
      <c r="B24" s="13"/>
      <c r="C24" s="13"/>
      <c r="D24" s="13"/>
      <c r="E24" s="13"/>
      <c r="F24" s="14"/>
      <c r="G24" s="14"/>
      <c r="H24" s="14"/>
      <c r="I24" s="14"/>
      <c r="J24" s="14"/>
      <c r="K24" s="15"/>
      <c r="L24" s="15"/>
      <c r="M24" s="15"/>
      <c r="N24" s="15"/>
      <c r="O24" s="14"/>
      <c r="P24" s="14"/>
      <c r="Q24" s="14"/>
      <c r="R24" s="71"/>
      <c r="S24" s="88"/>
      <c r="T24" s="21"/>
      <c r="U24" s="89"/>
      <c r="V24" s="76"/>
      <c r="W24" s="21"/>
      <c r="X24" s="7"/>
      <c r="Y24" s="134"/>
      <c r="Z24" s="135"/>
      <c r="AA24" s="135"/>
      <c r="AB24" s="135"/>
      <c r="AC24" s="135"/>
      <c r="AD24" s="135"/>
      <c r="AE24" s="135"/>
      <c r="AF24" s="135"/>
      <c r="AG24" s="135"/>
      <c r="AH24" s="135"/>
      <c r="AI24" s="136"/>
    </row>
    <row r="25" spans="1:35" ht="12" customHeight="1" x14ac:dyDescent="0.25">
      <c r="A25" s="24" t="s">
        <v>132</v>
      </c>
      <c r="B25" s="13"/>
      <c r="C25" s="13"/>
      <c r="D25" s="13"/>
      <c r="E25" s="13"/>
      <c r="F25" s="14"/>
      <c r="G25" s="14"/>
      <c r="H25" s="14"/>
      <c r="I25" s="14"/>
      <c r="J25" s="14"/>
      <c r="K25" s="15"/>
      <c r="L25" s="15"/>
      <c r="M25" s="15"/>
      <c r="N25" s="15"/>
      <c r="O25" s="14"/>
      <c r="P25" s="14"/>
      <c r="Q25" s="14"/>
      <c r="R25" s="71"/>
      <c r="S25" s="85"/>
      <c r="T25" s="16"/>
      <c r="U25" s="86"/>
      <c r="V25" s="75"/>
      <c r="W25" s="16"/>
      <c r="X25" s="7"/>
      <c r="Y25" s="134"/>
      <c r="Z25" s="135"/>
      <c r="AA25" s="135"/>
      <c r="AB25" s="135"/>
      <c r="AC25" s="135"/>
      <c r="AD25" s="135"/>
      <c r="AE25" s="135"/>
      <c r="AF25" s="135"/>
      <c r="AG25" s="135"/>
      <c r="AH25" s="135"/>
      <c r="AI25" s="136"/>
    </row>
    <row r="26" spans="1:35" ht="12" customHeight="1" x14ac:dyDescent="0.2">
      <c r="A26" s="12">
        <v>627018</v>
      </c>
      <c r="B26" s="13" t="s">
        <v>122</v>
      </c>
      <c r="C26" s="13" t="s">
        <v>92</v>
      </c>
      <c r="D26" s="13" t="s">
        <v>93</v>
      </c>
      <c r="E26" s="13" t="s">
        <v>27</v>
      </c>
      <c r="F26" s="14">
        <v>6193573</v>
      </c>
      <c r="G26" s="14">
        <f>ROUND(F26/131.5*140.3,0)</f>
        <v>6608048</v>
      </c>
      <c r="H26" s="14">
        <f>ROUND(G26/140.3*150.8,0)</f>
        <v>7102592</v>
      </c>
      <c r="I26" s="14">
        <v>12400000</v>
      </c>
      <c r="J26" s="14">
        <f>1420000*1.21</f>
        <v>1718200</v>
      </c>
      <c r="K26" s="15">
        <f t="shared" ref="K26" si="24">ROUND(I26/110.4*124,0)</f>
        <v>13927536</v>
      </c>
      <c r="L26" s="15">
        <f>ROUND(J26/105.2*122.3,0)</f>
        <v>1997489</v>
      </c>
      <c r="M26" s="15">
        <f>ROUNDUP(K26*128.4/124,-3)</f>
        <v>14422000</v>
      </c>
      <c r="N26" s="15">
        <f>ROUNDUP(L26*124.4/122.3,-3)</f>
        <v>2032000</v>
      </c>
      <c r="O26" s="14">
        <f>M26+N26</f>
        <v>16454000</v>
      </c>
      <c r="P26" s="14">
        <f>M26</f>
        <v>14422000</v>
      </c>
      <c r="Q26" s="14">
        <f>N26</f>
        <v>2032000</v>
      </c>
      <c r="R26" s="71">
        <f>Q26+P26</f>
        <v>16454000</v>
      </c>
      <c r="S26" s="85">
        <f>ROUNDUP(P26*133.4/128.4,-3)</f>
        <v>14984000</v>
      </c>
      <c r="T26" s="16">
        <f>ROUNDUP(Q26*129.6/124.4,-3)</f>
        <v>2117000</v>
      </c>
      <c r="U26" s="86">
        <f>S26+T26</f>
        <v>17101000</v>
      </c>
      <c r="V26" s="75">
        <f t="shared" ref="V26:V27" si="25">ROUNDUP(S26*138.1/133.4,-3)</f>
        <v>15512000</v>
      </c>
      <c r="W26" s="16">
        <f t="shared" ref="W26:W27" si="26">ROUNDUP(T26*133.4/129.6,-3)</f>
        <v>2180000</v>
      </c>
      <c r="X26" s="123">
        <f>+V26+W26</f>
        <v>17692000</v>
      </c>
      <c r="Y26" s="134" t="s">
        <v>165</v>
      </c>
      <c r="Z26" s="135" t="s">
        <v>165</v>
      </c>
      <c r="AA26" s="135" t="s">
        <v>166</v>
      </c>
      <c r="AB26" s="135" t="s">
        <v>166</v>
      </c>
      <c r="AC26" s="140" t="str">
        <f t="shared" ref="AC26:AC27" si="27">IF(AB26="Nee","n.v.t.","")</f>
        <v>n.v.t.</v>
      </c>
      <c r="AD26" s="135" t="s">
        <v>169</v>
      </c>
      <c r="AE26" s="140" t="s">
        <v>165</v>
      </c>
      <c r="AF26" s="135" t="s">
        <v>167</v>
      </c>
      <c r="AG26" s="135" t="s">
        <v>165</v>
      </c>
      <c r="AH26" s="135" t="s">
        <v>166</v>
      </c>
      <c r="AI26" s="136" t="s">
        <v>166</v>
      </c>
    </row>
    <row r="27" spans="1:35" ht="12" customHeight="1" x14ac:dyDescent="0.2">
      <c r="A27" s="12">
        <v>627018</v>
      </c>
      <c r="B27" s="13" t="s">
        <v>123</v>
      </c>
      <c r="C27" s="13" t="s">
        <v>94</v>
      </c>
      <c r="D27" s="13" t="s">
        <v>95</v>
      </c>
      <c r="E27" s="13" t="s">
        <v>27</v>
      </c>
      <c r="F27" s="14">
        <v>18986576</v>
      </c>
      <c r="G27" s="14">
        <f>ROUND(F27/131.5*140.3,0)</f>
        <v>20257161</v>
      </c>
      <c r="H27" s="14">
        <f>ROUND(G27/140.3*150.8,0)</f>
        <v>21773199</v>
      </c>
      <c r="I27" s="14">
        <v>28450000</v>
      </c>
      <c r="J27" s="14">
        <f>2065000*1.21</f>
        <v>2498650</v>
      </c>
      <c r="K27" s="15">
        <f>ROUND(I27/110.4*124,0)</f>
        <v>31954710</v>
      </c>
      <c r="L27" s="15">
        <f>ROUND(J27/105.2*122.3,0)</f>
        <v>2904799</v>
      </c>
      <c r="M27" s="15">
        <f>ROUNDUP(K27*128.4/124,-3)</f>
        <v>33089000</v>
      </c>
      <c r="N27" s="15">
        <f>ROUNDUP(L27*124.4/122.3,-3)</f>
        <v>2955000</v>
      </c>
      <c r="O27" s="14">
        <f>M27+N27</f>
        <v>36044000</v>
      </c>
      <c r="P27" s="14">
        <f>M27</f>
        <v>33089000</v>
      </c>
      <c r="Q27" s="14">
        <f>N27</f>
        <v>2955000</v>
      </c>
      <c r="R27" s="71">
        <f>Q27+P27</f>
        <v>36044000</v>
      </c>
      <c r="S27" s="85">
        <f>ROUNDUP(P27*133.4/128.4,-3)</f>
        <v>34378000</v>
      </c>
      <c r="T27" s="16">
        <f>ROUNDUP(Q27*129.6/124.4,-3)</f>
        <v>3079000</v>
      </c>
      <c r="U27" s="86">
        <f>S27+T27</f>
        <v>37457000</v>
      </c>
      <c r="V27" s="75">
        <f t="shared" si="25"/>
        <v>35590000</v>
      </c>
      <c r="W27" s="16">
        <f t="shared" si="26"/>
        <v>3170000</v>
      </c>
      <c r="X27" s="123">
        <f>+V27+W27</f>
        <v>38760000</v>
      </c>
      <c r="Y27" s="134" t="s">
        <v>165</v>
      </c>
      <c r="Z27" s="135" t="s">
        <v>165</v>
      </c>
      <c r="AA27" s="135" t="s">
        <v>166</v>
      </c>
      <c r="AB27" s="135" t="s">
        <v>166</v>
      </c>
      <c r="AC27" s="140" t="str">
        <f t="shared" si="27"/>
        <v>n.v.t.</v>
      </c>
      <c r="AD27" s="135" t="s">
        <v>165</v>
      </c>
      <c r="AE27" s="140" t="s">
        <v>165</v>
      </c>
      <c r="AF27" s="135" t="s">
        <v>167</v>
      </c>
      <c r="AG27" s="135" t="s">
        <v>165</v>
      </c>
      <c r="AH27" s="135" t="s">
        <v>166</v>
      </c>
      <c r="AI27" s="136" t="s">
        <v>166</v>
      </c>
    </row>
    <row r="28" spans="1:35" ht="12" customHeight="1" x14ac:dyDescent="0.2">
      <c r="A28" s="110" t="s">
        <v>139</v>
      </c>
      <c r="B28" s="111"/>
      <c r="C28" s="111"/>
      <c r="D28" s="111"/>
      <c r="E28" s="111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3"/>
      <c r="S28" s="101">
        <f>SUM(S26:S27)</f>
        <v>49362000</v>
      </c>
      <c r="T28" s="102">
        <f t="shared" ref="T28:X28" si="28">SUM(T26:T27)</f>
        <v>5196000</v>
      </c>
      <c r="U28" s="103">
        <f t="shared" si="28"/>
        <v>54558000</v>
      </c>
      <c r="V28" s="104">
        <f t="shared" si="28"/>
        <v>51102000</v>
      </c>
      <c r="W28" s="102">
        <f t="shared" si="28"/>
        <v>5350000</v>
      </c>
      <c r="X28" s="103">
        <f t="shared" si="28"/>
        <v>56452000</v>
      </c>
      <c r="Y28" s="134"/>
      <c r="Z28" s="135"/>
      <c r="AA28" s="135"/>
      <c r="AB28" s="135"/>
      <c r="AC28" s="135"/>
      <c r="AD28" s="135"/>
      <c r="AE28" s="135"/>
      <c r="AF28" s="135"/>
      <c r="AG28" s="135"/>
      <c r="AH28" s="135"/>
      <c r="AI28" s="136"/>
    </row>
    <row r="29" spans="1:35" ht="12" customHeight="1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58"/>
      <c r="S29" s="88"/>
      <c r="T29" s="21"/>
      <c r="U29" s="89"/>
      <c r="V29" s="76"/>
      <c r="W29" s="21"/>
      <c r="X29" s="7"/>
      <c r="Y29" s="134"/>
      <c r="Z29" s="135"/>
      <c r="AA29" s="135"/>
      <c r="AB29" s="135"/>
      <c r="AC29" s="135"/>
      <c r="AD29" s="135"/>
      <c r="AE29" s="135"/>
      <c r="AF29" s="135"/>
      <c r="AG29" s="135"/>
      <c r="AH29" s="135"/>
      <c r="AI29" s="136"/>
    </row>
    <row r="30" spans="1:35" ht="12" customHeight="1" x14ac:dyDescent="0.25">
      <c r="A30" s="26" t="s">
        <v>133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58"/>
      <c r="S30" s="92"/>
      <c r="T30" s="27"/>
      <c r="U30" s="93"/>
      <c r="V30" s="78"/>
      <c r="W30" s="27"/>
      <c r="X30" s="7"/>
      <c r="Y30" s="134"/>
      <c r="Z30" s="135"/>
      <c r="AA30" s="135"/>
      <c r="AB30" s="135"/>
      <c r="AC30" s="135"/>
      <c r="AD30" s="135"/>
      <c r="AE30" s="135"/>
      <c r="AF30" s="135"/>
      <c r="AG30" s="135"/>
      <c r="AH30" s="135"/>
      <c r="AI30" s="136"/>
    </row>
    <row r="31" spans="1:35" ht="12" customHeight="1" x14ac:dyDescent="0.2">
      <c r="A31" s="12">
        <v>633014</v>
      </c>
      <c r="B31" s="13" t="s">
        <v>21</v>
      </c>
      <c r="C31" s="13" t="s">
        <v>22</v>
      </c>
      <c r="D31" s="13" t="s">
        <v>23</v>
      </c>
      <c r="E31" s="13" t="s">
        <v>17</v>
      </c>
      <c r="F31" s="14">
        <v>1017140</v>
      </c>
      <c r="G31" s="14">
        <f>ROUND(F31/131.5*140.3,0)</f>
        <v>1085207</v>
      </c>
      <c r="H31" s="14">
        <f>ROUND(G31/140.3*150.8,0)</f>
        <v>1166423</v>
      </c>
      <c r="I31" s="14">
        <v>1800000</v>
      </c>
      <c r="J31" s="14"/>
      <c r="K31" s="15">
        <f>ROUND(I31/110.4*124,0)</f>
        <v>2021739</v>
      </c>
      <c r="L31" s="20">
        <f>ROUND(J31/105.2*122.3,0)</f>
        <v>0</v>
      </c>
      <c r="M31" s="20">
        <f>ROUNDUP(K31*128.4/124,-3)</f>
        <v>2094000</v>
      </c>
      <c r="N31" s="20">
        <f>ROUNDUP(L31*124.4/122.3,-3)</f>
        <v>0</v>
      </c>
      <c r="O31" s="14">
        <f>M31+N31</f>
        <v>2094000</v>
      </c>
      <c r="P31" s="14">
        <f t="shared" ref="P31:Q33" si="29">M31</f>
        <v>2094000</v>
      </c>
      <c r="Q31" s="14">
        <f t="shared" si="29"/>
        <v>0</v>
      </c>
      <c r="R31" s="71">
        <f>Q31+P31</f>
        <v>2094000</v>
      </c>
      <c r="S31" s="85">
        <f>ROUNDUP(P31*133.4/128.4,-3)</f>
        <v>2176000</v>
      </c>
      <c r="T31" s="16">
        <f>ROUNDUP(Q31*129.6/124.4,-3)</f>
        <v>0</v>
      </c>
      <c r="U31" s="86">
        <f>S31+T31</f>
        <v>2176000</v>
      </c>
      <c r="V31" s="75">
        <f t="shared" ref="V31:V33" si="30">ROUNDUP(S31*138.1/133.4,-3)</f>
        <v>2253000</v>
      </c>
      <c r="W31" s="16">
        <f t="shared" ref="W31:W33" si="31">ROUNDUP(T31*133.4/129.6,-3)</f>
        <v>0</v>
      </c>
      <c r="X31" s="123">
        <f>+V31+W31</f>
        <v>2253000</v>
      </c>
      <c r="Y31" s="134" t="s">
        <v>166</v>
      </c>
      <c r="Z31" s="135" t="s">
        <v>166</v>
      </c>
      <c r="AA31" s="135" t="s">
        <v>166</v>
      </c>
      <c r="AB31" s="135" t="s">
        <v>166</v>
      </c>
      <c r="AC31" s="140" t="str">
        <f t="shared" ref="AC31:AC33" si="32">IF(AB31="Nee","n.v.t.","")</f>
        <v>n.v.t.</v>
      </c>
      <c r="AD31" s="135" t="s">
        <v>166</v>
      </c>
      <c r="AE31" s="140" t="str">
        <f t="shared" ref="AE31:AE33" si="33">IF(AD31="Nee","n.v.t.","")</f>
        <v>n.v.t.</v>
      </c>
      <c r="AF31" s="135" t="s">
        <v>167</v>
      </c>
      <c r="AG31" s="135" t="s">
        <v>166</v>
      </c>
      <c r="AH31" s="135" t="s">
        <v>165</v>
      </c>
      <c r="AI31" s="136" t="s">
        <v>166</v>
      </c>
    </row>
    <row r="32" spans="1:35" ht="12" customHeight="1" x14ac:dyDescent="0.2">
      <c r="A32" s="28">
        <v>633014</v>
      </c>
      <c r="B32" s="13" t="s">
        <v>68</v>
      </c>
      <c r="C32" s="13" t="s">
        <v>69</v>
      </c>
      <c r="D32" s="13" t="s">
        <v>70</v>
      </c>
      <c r="E32" s="13" t="s">
        <v>58</v>
      </c>
      <c r="F32" s="29"/>
      <c r="G32" s="14">
        <v>1500000</v>
      </c>
      <c r="H32" s="14">
        <f>ROUND(G32/140.3*150.8,0)</f>
        <v>1612259</v>
      </c>
      <c r="I32" s="14">
        <v>1150000</v>
      </c>
      <c r="J32" s="14"/>
      <c r="K32" s="15">
        <f>ROUND(I32/110.4*124,0)</f>
        <v>1291667</v>
      </c>
      <c r="L32" s="20">
        <f>ROUND(J32/105.2*122.3,0)</f>
        <v>0</v>
      </c>
      <c r="M32" s="20">
        <f>ROUNDUP(K32*128.4/124,-3)</f>
        <v>1338000</v>
      </c>
      <c r="N32" s="20">
        <f>ROUNDUP(L32*124.4/122.3,-3)</f>
        <v>0</v>
      </c>
      <c r="O32" s="14">
        <f>M32+N32</f>
        <v>1338000</v>
      </c>
      <c r="P32" s="14">
        <f t="shared" si="29"/>
        <v>1338000</v>
      </c>
      <c r="Q32" s="14">
        <f t="shared" si="29"/>
        <v>0</v>
      </c>
      <c r="R32" s="71">
        <f>Q32+P32</f>
        <v>1338000</v>
      </c>
      <c r="S32" s="85">
        <f>ROUNDUP(P32*133.4/128.4,-3)</f>
        <v>1391000</v>
      </c>
      <c r="T32" s="16">
        <f>ROUNDUP(Q32*129.6/124.4,-3)</f>
        <v>0</v>
      </c>
      <c r="U32" s="86">
        <f>S32+T32</f>
        <v>1391000</v>
      </c>
      <c r="V32" s="75">
        <f t="shared" si="30"/>
        <v>1441000</v>
      </c>
      <c r="W32" s="16">
        <f t="shared" si="31"/>
        <v>0</v>
      </c>
      <c r="X32" s="123">
        <f>+V32+W32</f>
        <v>1441000</v>
      </c>
      <c r="Y32" s="134" t="s">
        <v>166</v>
      </c>
      <c r="Z32" s="135" t="s">
        <v>166</v>
      </c>
      <c r="AA32" s="135" t="s">
        <v>166</v>
      </c>
      <c r="AB32" s="135" t="s">
        <v>166</v>
      </c>
      <c r="AC32" s="140" t="str">
        <f t="shared" si="32"/>
        <v>n.v.t.</v>
      </c>
      <c r="AD32" s="135" t="s">
        <v>166</v>
      </c>
      <c r="AE32" s="140" t="str">
        <f t="shared" si="33"/>
        <v>n.v.t.</v>
      </c>
      <c r="AF32" s="135" t="s">
        <v>167</v>
      </c>
      <c r="AG32" s="135" t="s">
        <v>166</v>
      </c>
      <c r="AH32" s="135" t="s">
        <v>165</v>
      </c>
      <c r="AI32" s="136" t="s">
        <v>166</v>
      </c>
    </row>
    <row r="33" spans="1:35" ht="12" customHeight="1" x14ac:dyDescent="0.2">
      <c r="A33" s="12">
        <v>633014</v>
      </c>
      <c r="B33" s="13" t="s">
        <v>49</v>
      </c>
      <c r="C33" s="13" t="s">
        <v>50</v>
      </c>
      <c r="D33" s="13" t="s">
        <v>51</v>
      </c>
      <c r="E33" s="13" t="s">
        <v>27</v>
      </c>
      <c r="F33" s="14">
        <v>91359</v>
      </c>
      <c r="G33" s="14">
        <f>ROUND(F33/131.5*140.3,0)</f>
        <v>97473</v>
      </c>
      <c r="H33" s="14">
        <f>ROUND(G33/140.3*150.8,0)</f>
        <v>104768</v>
      </c>
      <c r="I33" s="14">
        <v>160000</v>
      </c>
      <c r="J33" s="14"/>
      <c r="K33" s="15">
        <f>ROUND(I33/110.4*124,0)</f>
        <v>179710</v>
      </c>
      <c r="L33" s="20">
        <f>ROUND(J33/105.2*122.3,0)</f>
        <v>0</v>
      </c>
      <c r="M33" s="20">
        <f>ROUNDUP(K33*128.4/124,-3)</f>
        <v>187000</v>
      </c>
      <c r="N33" s="20">
        <f>ROUNDUP(L33*124.4/122.3,-3)</f>
        <v>0</v>
      </c>
      <c r="O33" s="14">
        <f>M33+N33</f>
        <v>187000</v>
      </c>
      <c r="P33" s="14">
        <f t="shared" si="29"/>
        <v>187000</v>
      </c>
      <c r="Q33" s="14">
        <f t="shared" si="29"/>
        <v>0</v>
      </c>
      <c r="R33" s="71">
        <f>Q33+P33</f>
        <v>187000</v>
      </c>
      <c r="S33" s="85">
        <f>ROUNDUP(P33*133.4/128.4,-3)</f>
        <v>195000</v>
      </c>
      <c r="T33" s="16">
        <f>ROUNDUP(Q33*129.6/124.4,-3)</f>
        <v>0</v>
      </c>
      <c r="U33" s="86">
        <f>S33+T33</f>
        <v>195000</v>
      </c>
      <c r="V33" s="75">
        <f t="shared" si="30"/>
        <v>202000</v>
      </c>
      <c r="W33" s="16">
        <f t="shared" si="31"/>
        <v>0</v>
      </c>
      <c r="X33" s="123">
        <f>+V33+W33</f>
        <v>202000</v>
      </c>
      <c r="Y33" s="134" t="s">
        <v>166</v>
      </c>
      <c r="Z33" s="135" t="s">
        <v>166</v>
      </c>
      <c r="AA33" s="135" t="s">
        <v>166</v>
      </c>
      <c r="AB33" s="135" t="s">
        <v>166</v>
      </c>
      <c r="AC33" s="140" t="str">
        <f t="shared" si="32"/>
        <v>n.v.t.</v>
      </c>
      <c r="AD33" s="135" t="s">
        <v>166</v>
      </c>
      <c r="AE33" s="140" t="str">
        <f t="shared" si="33"/>
        <v>n.v.t.</v>
      </c>
      <c r="AF33" s="135" t="s">
        <v>167</v>
      </c>
      <c r="AG33" s="135" t="s">
        <v>166</v>
      </c>
      <c r="AH33" s="135" t="s">
        <v>165</v>
      </c>
      <c r="AI33" s="136" t="s">
        <v>166</v>
      </c>
    </row>
    <row r="34" spans="1:35" ht="12" customHeight="1" x14ac:dyDescent="0.2">
      <c r="A34" s="110" t="s">
        <v>129</v>
      </c>
      <c r="B34" s="111"/>
      <c r="C34" s="111"/>
      <c r="D34" s="111"/>
      <c r="E34" s="111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3"/>
      <c r="S34" s="101">
        <f>SUM(S31:S33)</f>
        <v>3762000</v>
      </c>
      <c r="T34" s="102">
        <f t="shared" ref="T34:X34" si="34">SUM(T31:T33)</f>
        <v>0</v>
      </c>
      <c r="U34" s="103">
        <f t="shared" si="34"/>
        <v>3762000</v>
      </c>
      <c r="V34" s="104">
        <f t="shared" si="34"/>
        <v>3896000</v>
      </c>
      <c r="W34" s="102">
        <f t="shared" si="34"/>
        <v>0</v>
      </c>
      <c r="X34" s="103">
        <f t="shared" si="34"/>
        <v>3896000</v>
      </c>
      <c r="Y34" s="134"/>
      <c r="Z34" s="135"/>
      <c r="AA34" s="135"/>
      <c r="AB34" s="135"/>
      <c r="AC34" s="135"/>
      <c r="AD34" s="135"/>
      <c r="AE34" s="135"/>
      <c r="AF34" s="135"/>
      <c r="AG34" s="135"/>
      <c r="AH34" s="135"/>
      <c r="AI34" s="136"/>
    </row>
    <row r="35" spans="1:35" ht="12" customHeight="1" x14ac:dyDescent="0.25">
      <c r="A35" s="26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58"/>
      <c r="S35" s="88"/>
      <c r="T35" s="21"/>
      <c r="U35" s="89"/>
      <c r="V35" s="76"/>
      <c r="W35" s="21"/>
      <c r="X35" s="7"/>
      <c r="Y35" s="134"/>
      <c r="Z35" s="135"/>
      <c r="AA35" s="135"/>
      <c r="AB35" s="135"/>
      <c r="AC35" s="135"/>
      <c r="AD35" s="135"/>
      <c r="AE35" s="135"/>
      <c r="AF35" s="135"/>
      <c r="AG35" s="135"/>
      <c r="AH35" s="135"/>
      <c r="AI35" s="136"/>
    </row>
    <row r="36" spans="1:35" ht="12" customHeight="1" x14ac:dyDescent="0.25">
      <c r="A36" s="26" t="s">
        <v>130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58"/>
      <c r="S36" s="92"/>
      <c r="T36" s="27"/>
      <c r="U36" s="93"/>
      <c r="V36" s="78"/>
      <c r="W36" s="27"/>
      <c r="X36" s="7"/>
      <c r="Y36" s="134"/>
      <c r="Z36" s="135"/>
      <c r="AA36" s="135"/>
      <c r="AB36" s="135"/>
      <c r="AC36" s="135"/>
      <c r="AD36" s="135"/>
      <c r="AE36" s="135"/>
      <c r="AF36" s="135"/>
      <c r="AG36" s="135"/>
      <c r="AH36" s="135"/>
      <c r="AI36" s="136"/>
    </row>
    <row r="37" spans="1:35" ht="12" customHeight="1" x14ac:dyDescent="0.2">
      <c r="A37" s="12">
        <v>604047</v>
      </c>
      <c r="B37" s="13" t="s">
        <v>31</v>
      </c>
      <c r="C37" s="13" t="s">
        <v>32</v>
      </c>
      <c r="D37" s="13" t="s">
        <v>33</v>
      </c>
      <c r="E37" s="13" t="s">
        <v>27</v>
      </c>
      <c r="F37" s="14">
        <v>6736945</v>
      </c>
      <c r="G37" s="14">
        <f>ROUND(F37/131.5*140.3,0)</f>
        <v>7187782</v>
      </c>
      <c r="H37" s="14">
        <f>ROUND(G37/140.3*150.8,0)</f>
        <v>7725713</v>
      </c>
      <c r="I37" s="14">
        <v>6100000</v>
      </c>
      <c r="J37" s="14">
        <f>790000*1.21</f>
        <v>955900</v>
      </c>
      <c r="K37" s="15">
        <f>ROUND(I37/110.4*124,0)</f>
        <v>6851449</v>
      </c>
      <c r="L37" s="15">
        <f>ROUND(J37/105.2*122.3,0)</f>
        <v>1111279</v>
      </c>
      <c r="M37" s="15">
        <f>ROUNDUP(K37*128.4/124,-3)</f>
        <v>7095000</v>
      </c>
      <c r="N37" s="15">
        <f>ROUNDUP(L37*124.4/122.3,-3)</f>
        <v>1131000</v>
      </c>
      <c r="O37" s="14">
        <f>M37+N37</f>
        <v>8226000</v>
      </c>
      <c r="P37" s="14">
        <f>M37</f>
        <v>7095000</v>
      </c>
      <c r="Q37" s="14">
        <f>N37</f>
        <v>1131000</v>
      </c>
      <c r="R37" s="71">
        <f>Q37+P37</f>
        <v>8226000</v>
      </c>
      <c r="S37" s="85">
        <f>ROUNDUP(P37*133.4/128.4,-3)</f>
        <v>7372000</v>
      </c>
      <c r="T37" s="16">
        <f>ROUNDUP(Q37*129.6/124.4,-3)</f>
        <v>1179000</v>
      </c>
      <c r="U37" s="86">
        <f>S37+T37</f>
        <v>8551000</v>
      </c>
      <c r="V37" s="75">
        <f t="shared" ref="V37:V38" si="35">ROUNDUP(S37*138.1/133.4,-3)</f>
        <v>7632000</v>
      </c>
      <c r="W37" s="16">
        <f t="shared" ref="W37:W38" si="36">ROUNDUP(T37*133.4/129.6,-3)</f>
        <v>1214000</v>
      </c>
      <c r="X37" s="123">
        <f>+V37+W37</f>
        <v>8846000</v>
      </c>
      <c r="Y37" s="134" t="s">
        <v>165</v>
      </c>
      <c r="Z37" s="135" t="s">
        <v>165</v>
      </c>
      <c r="AA37" s="135" t="s">
        <v>166</v>
      </c>
      <c r="AB37" s="135" t="s">
        <v>166</v>
      </c>
      <c r="AC37" s="140" t="str">
        <f t="shared" ref="AC37:AC38" si="37">IF(AB37="Nee","n.v.t.","")</f>
        <v>n.v.t.</v>
      </c>
      <c r="AD37" s="135" t="s">
        <v>165</v>
      </c>
      <c r="AE37" s="140" t="s">
        <v>165</v>
      </c>
      <c r="AF37" s="135" t="s">
        <v>165</v>
      </c>
      <c r="AG37" s="135" t="s">
        <v>166</v>
      </c>
      <c r="AH37" s="135" t="s">
        <v>166</v>
      </c>
      <c r="AI37" s="136" t="s">
        <v>166</v>
      </c>
    </row>
    <row r="38" spans="1:35" ht="12" customHeight="1" x14ac:dyDescent="0.2">
      <c r="A38" s="12">
        <v>604050</v>
      </c>
      <c r="B38" s="13" t="s">
        <v>46</v>
      </c>
      <c r="C38" s="13" t="s">
        <v>29</v>
      </c>
      <c r="D38" s="13" t="s">
        <v>30</v>
      </c>
      <c r="E38" s="13" t="s">
        <v>27</v>
      </c>
      <c r="F38" s="14">
        <v>1389816</v>
      </c>
      <c r="G38" s="14">
        <f>ROUND(F38/131.5*140.3,0)</f>
        <v>1482823</v>
      </c>
      <c r="H38" s="14">
        <f>ROUND(G38/140.3*150.8,0)</f>
        <v>1593797</v>
      </c>
      <c r="I38" s="14">
        <v>1310000</v>
      </c>
      <c r="J38" s="30"/>
      <c r="K38" s="15">
        <f>ROUND(I38/110.4*124,0)</f>
        <v>1471377</v>
      </c>
      <c r="L38" s="20">
        <f>ROUND(J38/105.2*122.3,0)</f>
        <v>0</v>
      </c>
      <c r="M38" s="20">
        <f>ROUNDUP(K38*128.4/124,-3)</f>
        <v>1524000</v>
      </c>
      <c r="N38" s="20">
        <f>ROUNDUP(L38*124.4/122.3,-3)</f>
        <v>0</v>
      </c>
      <c r="O38" s="14">
        <f>M38+N38</f>
        <v>1524000</v>
      </c>
      <c r="P38" s="14">
        <f>M38</f>
        <v>1524000</v>
      </c>
      <c r="Q38" s="14">
        <f>N38</f>
        <v>0</v>
      </c>
      <c r="R38" s="71">
        <f>Q38+P38</f>
        <v>1524000</v>
      </c>
      <c r="S38" s="85">
        <f>ROUNDUP(P38*133.4/128.4,-3)</f>
        <v>1584000</v>
      </c>
      <c r="T38" s="16">
        <f>ROUNDUP(Q38*129.6/124.4,-3)</f>
        <v>0</v>
      </c>
      <c r="U38" s="86">
        <f>S38+T38</f>
        <v>1584000</v>
      </c>
      <c r="V38" s="75">
        <f t="shared" si="35"/>
        <v>1640000</v>
      </c>
      <c r="W38" s="16">
        <f t="shared" si="36"/>
        <v>0</v>
      </c>
      <c r="X38" s="123">
        <f>+V38+W38</f>
        <v>1640000</v>
      </c>
      <c r="Y38" s="134" t="s">
        <v>165</v>
      </c>
      <c r="Z38" s="135" t="s">
        <v>165</v>
      </c>
      <c r="AA38" s="135" t="s">
        <v>166</v>
      </c>
      <c r="AB38" s="135" t="s">
        <v>166</v>
      </c>
      <c r="AC38" s="140" t="str">
        <f t="shared" si="37"/>
        <v>n.v.t.</v>
      </c>
      <c r="AD38" s="135" t="s">
        <v>166</v>
      </c>
      <c r="AE38" s="140" t="str">
        <f t="shared" ref="AE38" si="38">IF(AD38="Nee","n.v.t.","")</f>
        <v>n.v.t.</v>
      </c>
      <c r="AF38" s="135" t="s">
        <v>166</v>
      </c>
      <c r="AG38" s="135" t="s">
        <v>166</v>
      </c>
      <c r="AH38" s="135" t="s">
        <v>166</v>
      </c>
      <c r="AI38" s="136" t="s">
        <v>166</v>
      </c>
    </row>
    <row r="39" spans="1:35" ht="12" customHeight="1" x14ac:dyDescent="0.2">
      <c r="A39" s="110" t="s">
        <v>131</v>
      </c>
      <c r="B39" s="111"/>
      <c r="C39" s="111"/>
      <c r="D39" s="111"/>
      <c r="E39" s="111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3"/>
      <c r="S39" s="101">
        <f>SUM(S37:S38)</f>
        <v>8956000</v>
      </c>
      <c r="T39" s="102">
        <f t="shared" ref="T39:X39" si="39">SUM(T37:T38)</f>
        <v>1179000</v>
      </c>
      <c r="U39" s="103">
        <f t="shared" si="39"/>
        <v>10135000</v>
      </c>
      <c r="V39" s="104">
        <f t="shared" si="39"/>
        <v>9272000</v>
      </c>
      <c r="W39" s="102">
        <f t="shared" si="39"/>
        <v>1214000</v>
      </c>
      <c r="X39" s="103">
        <f t="shared" si="39"/>
        <v>10486000</v>
      </c>
      <c r="Y39" s="134"/>
      <c r="Z39" s="135"/>
      <c r="AA39" s="135"/>
      <c r="AB39" s="135"/>
      <c r="AC39" s="135"/>
      <c r="AD39" s="135"/>
      <c r="AE39" s="135"/>
      <c r="AF39" s="135"/>
      <c r="AG39" s="135"/>
      <c r="AH39" s="135"/>
      <c r="AI39" s="136"/>
    </row>
    <row r="40" spans="1:35" ht="12" customHeight="1" x14ac:dyDescent="0.25">
      <c r="A40" s="26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58"/>
      <c r="S40" s="88"/>
      <c r="T40" s="21"/>
      <c r="U40" s="89"/>
      <c r="V40" s="76"/>
      <c r="W40" s="21"/>
      <c r="X40" s="7"/>
      <c r="Y40" s="134"/>
      <c r="Z40" s="135"/>
      <c r="AA40" s="135"/>
      <c r="AB40" s="135"/>
      <c r="AC40" s="135"/>
      <c r="AD40" s="135"/>
      <c r="AE40" s="135"/>
      <c r="AF40" s="135"/>
      <c r="AG40" s="135"/>
      <c r="AH40" s="135"/>
      <c r="AI40" s="136"/>
    </row>
    <row r="41" spans="1:35" ht="12" customHeight="1" x14ac:dyDescent="0.25">
      <c r="A41" s="26" t="s">
        <v>134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58"/>
      <c r="S41" s="92"/>
      <c r="T41" s="27"/>
      <c r="U41" s="93"/>
      <c r="V41" s="78"/>
      <c r="W41" s="27"/>
      <c r="X41" s="7"/>
      <c r="Y41" s="134"/>
      <c r="Z41" s="135"/>
      <c r="AA41" s="135"/>
      <c r="AB41" s="135"/>
      <c r="AC41" s="135"/>
      <c r="AD41" s="135"/>
      <c r="AE41" s="135"/>
      <c r="AF41" s="135"/>
      <c r="AG41" s="135"/>
      <c r="AH41" s="135"/>
      <c r="AI41" s="136"/>
    </row>
    <row r="42" spans="1:35" ht="12" customHeight="1" x14ac:dyDescent="0.2">
      <c r="A42" s="12">
        <v>631020</v>
      </c>
      <c r="B42" s="13" t="s">
        <v>47</v>
      </c>
      <c r="C42" s="13" t="s">
        <v>48</v>
      </c>
      <c r="D42" s="13" t="s">
        <v>30</v>
      </c>
      <c r="E42" s="13" t="s">
        <v>27</v>
      </c>
      <c r="F42" s="14">
        <v>5842424</v>
      </c>
      <c r="G42" s="14">
        <f>ROUND(F42/131.5*140.3,0)</f>
        <v>6233400</v>
      </c>
      <c r="H42" s="14">
        <f>ROUND(G42/140.3*150.8,0)</f>
        <v>6699905</v>
      </c>
      <c r="I42" s="14">
        <v>6900000</v>
      </c>
      <c r="J42" s="14"/>
      <c r="K42" s="15">
        <f>ROUND(I42/110.4*124,0)</f>
        <v>7750000</v>
      </c>
      <c r="L42" s="20">
        <f>ROUND(J42/105.2*122.3,0)</f>
        <v>0</v>
      </c>
      <c r="M42" s="20">
        <f>ROUNDUP(K42*128.4/124,-3)</f>
        <v>8025000</v>
      </c>
      <c r="N42" s="20">
        <f>ROUNDUP(L42*124.4/122.3,-3)</f>
        <v>0</v>
      </c>
      <c r="O42" s="14">
        <f>M42+N42</f>
        <v>8025000</v>
      </c>
      <c r="P42" s="14">
        <f t="shared" ref="P42:Q44" si="40">M42</f>
        <v>8025000</v>
      </c>
      <c r="Q42" s="14">
        <f t="shared" si="40"/>
        <v>0</v>
      </c>
      <c r="R42" s="71">
        <f>Q42+P42</f>
        <v>8025000</v>
      </c>
      <c r="S42" s="85">
        <f>ROUNDUP(P42*133.4/128.4,-3)</f>
        <v>8338000</v>
      </c>
      <c r="T42" s="16">
        <f>ROUNDUP(Q42*129.6/124.4,-3)</f>
        <v>0</v>
      </c>
      <c r="U42" s="86">
        <f>S42+T42</f>
        <v>8338000</v>
      </c>
      <c r="V42" s="75">
        <f t="shared" ref="V42:V44" si="41">ROUNDUP(S42*138.1/133.4,-3)</f>
        <v>8632000</v>
      </c>
      <c r="W42" s="16">
        <f t="shared" ref="W42:W44" si="42">ROUNDUP(T42*133.4/129.6,-3)</f>
        <v>0</v>
      </c>
      <c r="X42" s="123">
        <f>+V42+W42</f>
        <v>8632000</v>
      </c>
      <c r="Y42" s="134" t="s">
        <v>165</v>
      </c>
      <c r="Z42" s="135" t="s">
        <v>165</v>
      </c>
      <c r="AA42" s="135" t="s">
        <v>166</v>
      </c>
      <c r="AB42" s="135" t="s">
        <v>166</v>
      </c>
      <c r="AC42" s="140" t="str">
        <f t="shared" ref="AC42:AC44" si="43">IF(AB42="Nee","n.v.t.","")</f>
        <v>n.v.t.</v>
      </c>
      <c r="AD42" s="135" t="s">
        <v>165</v>
      </c>
      <c r="AE42" s="140" t="s">
        <v>165</v>
      </c>
      <c r="AF42" s="135" t="s">
        <v>166</v>
      </c>
      <c r="AG42" s="135" t="s">
        <v>165</v>
      </c>
      <c r="AH42" s="135" t="s">
        <v>166</v>
      </c>
      <c r="AI42" s="136" t="s">
        <v>166</v>
      </c>
    </row>
    <row r="43" spans="1:35" ht="12" customHeight="1" x14ac:dyDescent="0.2">
      <c r="A43" s="28">
        <v>603017</v>
      </c>
      <c r="B43" s="13" t="s">
        <v>59</v>
      </c>
      <c r="C43" s="13" t="s">
        <v>60</v>
      </c>
      <c r="D43" s="13" t="s">
        <v>61</v>
      </c>
      <c r="E43" s="13" t="s">
        <v>27</v>
      </c>
      <c r="F43" s="29"/>
      <c r="G43" s="14">
        <v>50000</v>
      </c>
      <c r="H43" s="14">
        <f>ROUND(G43/140.3*150.8,0)</f>
        <v>53742</v>
      </c>
      <c r="I43" s="14">
        <v>160000</v>
      </c>
      <c r="J43" s="14"/>
      <c r="K43" s="15">
        <f>ROUND(I43/110.4*124,0)</f>
        <v>179710</v>
      </c>
      <c r="L43" s="20">
        <f>ROUND(J43/105.2*122.3,0)</f>
        <v>0</v>
      </c>
      <c r="M43" s="20">
        <f>ROUNDUP(K43*128.4/124,-3)</f>
        <v>187000</v>
      </c>
      <c r="N43" s="20">
        <f>ROUNDUP(L43*124.4/122.3,-3)</f>
        <v>0</v>
      </c>
      <c r="O43" s="14">
        <f>M43+N43</f>
        <v>187000</v>
      </c>
      <c r="P43" s="14">
        <f t="shared" si="40"/>
        <v>187000</v>
      </c>
      <c r="Q43" s="14">
        <f t="shared" si="40"/>
        <v>0</v>
      </c>
      <c r="R43" s="71">
        <f>Q43+P43</f>
        <v>187000</v>
      </c>
      <c r="S43" s="85">
        <f>ROUNDUP(P43*133.4/128.4,-3)</f>
        <v>195000</v>
      </c>
      <c r="T43" s="16">
        <f>ROUNDUP(Q43*129.6/124.4,-3)</f>
        <v>0</v>
      </c>
      <c r="U43" s="86">
        <f>S43+T43</f>
        <v>195000</v>
      </c>
      <c r="V43" s="75">
        <f t="shared" si="41"/>
        <v>202000</v>
      </c>
      <c r="W43" s="16">
        <f t="shared" si="42"/>
        <v>0</v>
      </c>
      <c r="X43" s="123">
        <f t="shared" ref="X43:X44" si="44">+V43+W43</f>
        <v>202000</v>
      </c>
      <c r="Y43" s="134" t="s">
        <v>166</v>
      </c>
      <c r="Z43" s="135" t="s">
        <v>166</v>
      </c>
      <c r="AA43" s="135" t="s">
        <v>166</v>
      </c>
      <c r="AB43" s="135" t="s">
        <v>166</v>
      </c>
      <c r="AC43" s="140" t="str">
        <f t="shared" si="43"/>
        <v>n.v.t.</v>
      </c>
      <c r="AD43" s="135" t="s">
        <v>166</v>
      </c>
      <c r="AE43" s="140" t="str">
        <f t="shared" ref="AE43:AE44" si="45">IF(AD43="Nee","n.v.t.","")</f>
        <v>n.v.t.</v>
      </c>
      <c r="AF43" s="135" t="s">
        <v>166</v>
      </c>
      <c r="AG43" s="135" t="s">
        <v>166</v>
      </c>
      <c r="AH43" s="135" t="s">
        <v>166</v>
      </c>
      <c r="AI43" s="136" t="s">
        <v>166</v>
      </c>
    </row>
    <row r="44" spans="1:35" ht="12" customHeight="1" x14ac:dyDescent="0.2">
      <c r="A44" s="28">
        <v>603014</v>
      </c>
      <c r="B44" s="13" t="s">
        <v>65</v>
      </c>
      <c r="C44" s="13" t="s">
        <v>66</v>
      </c>
      <c r="D44" s="13" t="s">
        <v>67</v>
      </c>
      <c r="E44" s="13" t="s">
        <v>17</v>
      </c>
      <c r="F44" s="29"/>
      <c r="G44" s="14">
        <v>30000</v>
      </c>
      <c r="H44" s="14">
        <f>ROUND(G44/140.3*150.8,0)</f>
        <v>32245</v>
      </c>
      <c r="I44" s="14">
        <v>50000</v>
      </c>
      <c r="J44" s="14"/>
      <c r="K44" s="15">
        <f>ROUND(I44/110.4*124,0)</f>
        <v>56159</v>
      </c>
      <c r="L44" s="20">
        <f>ROUND(J44/105.2*122.3,0)</f>
        <v>0</v>
      </c>
      <c r="M44" s="20">
        <f>ROUNDUP(K44*128.4/124,-3)</f>
        <v>59000</v>
      </c>
      <c r="N44" s="20">
        <f>ROUNDUP(L44*124.4/122.3,-3)</f>
        <v>0</v>
      </c>
      <c r="O44" s="14">
        <f>M44+N44</f>
        <v>59000</v>
      </c>
      <c r="P44" s="14">
        <f t="shared" si="40"/>
        <v>59000</v>
      </c>
      <c r="Q44" s="14">
        <f t="shared" si="40"/>
        <v>0</v>
      </c>
      <c r="R44" s="71">
        <f>Q44+P44</f>
        <v>59000</v>
      </c>
      <c r="S44" s="85">
        <f>ROUNDUP(P44*133.4/128.4,-3)</f>
        <v>62000</v>
      </c>
      <c r="T44" s="16">
        <f>ROUNDUP(Q44*129.6/124.4,-3)</f>
        <v>0</v>
      </c>
      <c r="U44" s="86">
        <f>S44+T44</f>
        <v>62000</v>
      </c>
      <c r="V44" s="75">
        <f t="shared" si="41"/>
        <v>65000</v>
      </c>
      <c r="W44" s="16">
        <f t="shared" si="42"/>
        <v>0</v>
      </c>
      <c r="X44" s="123">
        <f t="shared" si="44"/>
        <v>65000</v>
      </c>
      <c r="Y44" s="134" t="s">
        <v>166</v>
      </c>
      <c r="Z44" s="135" t="s">
        <v>166</v>
      </c>
      <c r="AA44" s="135" t="s">
        <v>166</v>
      </c>
      <c r="AB44" s="135" t="s">
        <v>166</v>
      </c>
      <c r="AC44" s="140" t="str">
        <f t="shared" si="43"/>
        <v>n.v.t.</v>
      </c>
      <c r="AD44" s="135" t="s">
        <v>166</v>
      </c>
      <c r="AE44" s="140" t="str">
        <f t="shared" si="45"/>
        <v>n.v.t.</v>
      </c>
      <c r="AF44" s="135" t="s">
        <v>166</v>
      </c>
      <c r="AG44" s="135" t="s">
        <v>166</v>
      </c>
      <c r="AH44" s="135" t="s">
        <v>166</v>
      </c>
      <c r="AI44" s="136" t="s">
        <v>166</v>
      </c>
    </row>
    <row r="45" spans="1:35" ht="12" customHeight="1" x14ac:dyDescent="0.2">
      <c r="A45" s="110" t="s">
        <v>135</v>
      </c>
      <c r="B45" s="111"/>
      <c r="C45" s="111"/>
      <c r="D45" s="111"/>
      <c r="E45" s="111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3"/>
      <c r="S45" s="101">
        <f>SUM(S42:S44)</f>
        <v>8595000</v>
      </c>
      <c r="T45" s="102">
        <f t="shared" ref="T45:X45" si="46">SUM(T42:T44)</f>
        <v>0</v>
      </c>
      <c r="U45" s="103">
        <f t="shared" si="46"/>
        <v>8595000</v>
      </c>
      <c r="V45" s="104">
        <f t="shared" si="46"/>
        <v>8899000</v>
      </c>
      <c r="W45" s="102">
        <f t="shared" si="46"/>
        <v>0</v>
      </c>
      <c r="X45" s="103">
        <f t="shared" si="46"/>
        <v>8899000</v>
      </c>
      <c r="Y45" s="134"/>
      <c r="Z45" s="135"/>
      <c r="AA45" s="135"/>
      <c r="AB45" s="135"/>
      <c r="AC45" s="135"/>
      <c r="AD45" s="135"/>
      <c r="AE45" s="135"/>
      <c r="AF45" s="135"/>
      <c r="AG45" s="135"/>
      <c r="AH45" s="135"/>
      <c r="AI45" s="136"/>
    </row>
    <row r="46" spans="1:35" ht="12" customHeight="1" x14ac:dyDescent="0.25">
      <c r="A46" s="26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58"/>
      <c r="S46" s="88"/>
      <c r="T46" s="21"/>
      <c r="U46" s="89"/>
      <c r="V46" s="76"/>
      <c r="W46" s="21"/>
      <c r="X46" s="7"/>
      <c r="Y46" s="134"/>
      <c r="Z46" s="135"/>
      <c r="AA46" s="135"/>
      <c r="AB46" s="135"/>
      <c r="AC46" s="135"/>
      <c r="AD46" s="135"/>
      <c r="AE46" s="135"/>
      <c r="AF46" s="135"/>
      <c r="AG46" s="135"/>
      <c r="AH46" s="135"/>
      <c r="AI46" s="136"/>
    </row>
    <row r="47" spans="1:35" ht="12" customHeight="1" x14ac:dyDescent="0.25">
      <c r="A47" s="26" t="s">
        <v>119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58"/>
      <c r="S47" s="92"/>
      <c r="T47" s="27"/>
      <c r="U47" s="93"/>
      <c r="V47" s="78"/>
      <c r="W47" s="27"/>
      <c r="X47" s="7"/>
      <c r="Y47" s="134"/>
      <c r="Z47" s="135"/>
      <c r="AA47" s="135"/>
      <c r="AB47" s="135"/>
      <c r="AC47" s="135"/>
      <c r="AD47" s="135"/>
      <c r="AE47" s="135"/>
      <c r="AF47" s="135"/>
      <c r="AG47" s="135"/>
      <c r="AH47" s="135"/>
      <c r="AI47" s="136"/>
    </row>
    <row r="48" spans="1:35" ht="12" customHeight="1" x14ac:dyDescent="0.2">
      <c r="A48" s="12">
        <v>636043</v>
      </c>
      <c r="B48" s="13" t="s">
        <v>37</v>
      </c>
      <c r="C48" s="13" t="s">
        <v>38</v>
      </c>
      <c r="D48" s="13" t="s">
        <v>39</v>
      </c>
      <c r="E48" s="13" t="s">
        <v>27</v>
      </c>
      <c r="F48" s="14">
        <v>0</v>
      </c>
      <c r="G48" s="14">
        <v>3200000</v>
      </c>
      <c r="H48" s="14">
        <f>ROUND(G48/140.3*150.8,0)</f>
        <v>3439487</v>
      </c>
      <c r="I48" s="14">
        <v>3450000</v>
      </c>
      <c r="J48" s="14">
        <f>90000*1.21</f>
        <v>108900</v>
      </c>
      <c r="K48" s="15">
        <f>ROUND(I48/110.4*124,0)</f>
        <v>3875000</v>
      </c>
      <c r="L48" s="15">
        <f>ROUND(J48/105.2*122.3,0)</f>
        <v>126601</v>
      </c>
      <c r="M48" s="15">
        <f>ROUNDUP(K48*128.4/124,-3)</f>
        <v>4013000</v>
      </c>
      <c r="N48" s="15">
        <f>ROUNDUP(L48*124.4/122.3,-3)</f>
        <v>129000</v>
      </c>
      <c r="O48" s="14">
        <f>M48+N48</f>
        <v>4142000</v>
      </c>
      <c r="P48" s="14">
        <f t="shared" ref="P48:Q51" si="47">M48</f>
        <v>4013000</v>
      </c>
      <c r="Q48" s="14">
        <f t="shared" si="47"/>
        <v>129000</v>
      </c>
      <c r="R48" s="71">
        <f>Q48+P48</f>
        <v>4142000</v>
      </c>
      <c r="S48" s="85">
        <f>ROUNDUP(P48*133.4/128.4,-3)</f>
        <v>4170000</v>
      </c>
      <c r="T48" s="16">
        <f>ROUNDUP(Q48*129.6/124.4,-3)</f>
        <v>135000</v>
      </c>
      <c r="U48" s="86">
        <f>S48+T48</f>
        <v>4305000</v>
      </c>
      <c r="V48" s="75">
        <f>ROUNDUP(S48*138.1/133.4,-3)</f>
        <v>4317000</v>
      </c>
      <c r="W48" s="16">
        <f t="shared" ref="W48:W51" si="48">ROUNDUP(T48*133.4/129.6,-3)</f>
        <v>139000</v>
      </c>
      <c r="X48" s="123">
        <f>+V48+W48</f>
        <v>4456000</v>
      </c>
      <c r="Y48" s="134" t="s">
        <v>165</v>
      </c>
      <c r="Z48" s="135" t="s">
        <v>165</v>
      </c>
      <c r="AA48" s="135" t="s">
        <v>166</v>
      </c>
      <c r="AB48" s="135" t="s">
        <v>166</v>
      </c>
      <c r="AC48" s="140" t="str">
        <f t="shared" ref="AC48:AC51" si="49">IF(AB48="Nee","n.v.t.","")</f>
        <v>n.v.t.</v>
      </c>
      <c r="AD48" s="135" t="s">
        <v>166</v>
      </c>
      <c r="AE48" s="140" t="str">
        <f t="shared" ref="AE48:AE51" si="50">IF(AD48="Nee","n.v.t.","")</f>
        <v>n.v.t.</v>
      </c>
      <c r="AF48" s="135" t="s">
        <v>166</v>
      </c>
      <c r="AG48" s="135" t="s">
        <v>166</v>
      </c>
      <c r="AH48" s="135" t="s">
        <v>166</v>
      </c>
      <c r="AI48" s="136" t="s">
        <v>166</v>
      </c>
    </row>
    <row r="49" spans="1:35" ht="12" customHeight="1" x14ac:dyDescent="0.2">
      <c r="A49" s="31">
        <v>603014</v>
      </c>
      <c r="B49" s="32" t="s">
        <v>118</v>
      </c>
      <c r="C49" s="33" t="s">
        <v>96</v>
      </c>
      <c r="D49" s="33" t="s">
        <v>70</v>
      </c>
      <c r="E49" s="33" t="s">
        <v>58</v>
      </c>
      <c r="F49" s="34"/>
      <c r="G49" s="34"/>
      <c r="H49" s="34"/>
      <c r="I49" s="34">
        <v>1000000</v>
      </c>
      <c r="J49" s="34"/>
      <c r="K49" s="34">
        <v>1088861</v>
      </c>
      <c r="L49" s="34"/>
      <c r="M49" s="35">
        <f>ROUNDUP(K49*128.4/124,-3)</f>
        <v>1128000</v>
      </c>
      <c r="N49" s="34"/>
      <c r="O49" s="34">
        <f>M49+N49</f>
        <v>1128000</v>
      </c>
      <c r="P49" s="34">
        <f t="shared" si="47"/>
        <v>1128000</v>
      </c>
      <c r="Q49" s="34">
        <f t="shared" si="47"/>
        <v>0</v>
      </c>
      <c r="R49" s="73">
        <f>Q49+P49</f>
        <v>1128000</v>
      </c>
      <c r="S49" s="94">
        <f>ROUNDUP(P49*133.4/128.4,-3)</f>
        <v>1172000</v>
      </c>
      <c r="T49" s="36">
        <f>ROUNDUP(Q49*129.6/124.4,-3)</f>
        <v>0</v>
      </c>
      <c r="U49" s="95">
        <f>S49+T49</f>
        <v>1172000</v>
      </c>
      <c r="V49" s="75">
        <f t="shared" ref="V49:V50" si="51">ROUNDUP(S49*138.1/133.4,-3)</f>
        <v>1214000</v>
      </c>
      <c r="W49" s="36">
        <f t="shared" si="48"/>
        <v>0</v>
      </c>
      <c r="X49" s="123">
        <f t="shared" ref="X49:X51" si="52">+V49+W49</f>
        <v>1214000</v>
      </c>
      <c r="Y49" s="134" t="s">
        <v>166</v>
      </c>
      <c r="Z49" s="135" t="s">
        <v>166</v>
      </c>
      <c r="AA49" s="135" t="s">
        <v>166</v>
      </c>
      <c r="AB49" s="135" t="s">
        <v>165</v>
      </c>
      <c r="AC49" s="140" t="s">
        <v>169</v>
      </c>
      <c r="AD49" s="135" t="s">
        <v>166</v>
      </c>
      <c r="AE49" s="140" t="str">
        <f t="shared" si="50"/>
        <v>n.v.t.</v>
      </c>
      <c r="AF49" s="135" t="s">
        <v>165</v>
      </c>
      <c r="AG49" s="135" t="s">
        <v>166</v>
      </c>
      <c r="AH49" s="135" t="s">
        <v>166</v>
      </c>
      <c r="AI49" s="136" t="s">
        <v>166</v>
      </c>
    </row>
    <row r="50" spans="1:35" ht="12" customHeight="1" x14ac:dyDescent="0.2">
      <c r="A50" s="28">
        <v>636044</v>
      </c>
      <c r="B50" s="13" t="s">
        <v>62</v>
      </c>
      <c r="C50" s="13" t="s">
        <v>63</v>
      </c>
      <c r="D50" s="13" t="s">
        <v>64</v>
      </c>
      <c r="E50" s="13" t="s">
        <v>27</v>
      </c>
      <c r="F50" s="29"/>
      <c r="G50" s="14">
        <v>0</v>
      </c>
      <c r="H50" s="14">
        <v>300000</v>
      </c>
      <c r="I50" s="14">
        <v>400000</v>
      </c>
      <c r="J50" s="14"/>
      <c r="K50" s="15">
        <f>ROUND(I50/110.4*124,0)</f>
        <v>449275</v>
      </c>
      <c r="L50" s="20">
        <f>ROUND(J50/105.2*122.3,0)</f>
        <v>0</v>
      </c>
      <c r="M50" s="20">
        <f>ROUNDUP(K50*128.4/124,-3)</f>
        <v>466000</v>
      </c>
      <c r="N50" s="20">
        <f>ROUNDUP(L50*124.4/122.3,-3)</f>
        <v>0</v>
      </c>
      <c r="O50" s="14">
        <f>M50+N50</f>
        <v>466000</v>
      </c>
      <c r="P50" s="14">
        <f t="shared" si="47"/>
        <v>466000</v>
      </c>
      <c r="Q50" s="14">
        <f t="shared" si="47"/>
        <v>0</v>
      </c>
      <c r="R50" s="71">
        <f>Q50+P50</f>
        <v>466000</v>
      </c>
      <c r="S50" s="85">
        <f>ROUNDUP(P50*133.4/128.4,-3)</f>
        <v>485000</v>
      </c>
      <c r="T50" s="16">
        <f>ROUNDUP(Q50*129.6/124.4,-3)</f>
        <v>0</v>
      </c>
      <c r="U50" s="86">
        <f>S50+T50</f>
        <v>485000</v>
      </c>
      <c r="V50" s="75">
        <f t="shared" si="51"/>
        <v>503000</v>
      </c>
      <c r="W50" s="16">
        <f t="shared" si="48"/>
        <v>0</v>
      </c>
      <c r="X50" s="123">
        <f t="shared" si="52"/>
        <v>503000</v>
      </c>
      <c r="Y50" s="134" t="s">
        <v>166</v>
      </c>
      <c r="Z50" s="135" t="s">
        <v>166</v>
      </c>
      <c r="AA50" s="135" t="s">
        <v>166</v>
      </c>
      <c r="AB50" s="135" t="s">
        <v>166</v>
      </c>
      <c r="AC50" s="140" t="str">
        <f t="shared" si="49"/>
        <v>n.v.t.</v>
      </c>
      <c r="AD50" s="135" t="s">
        <v>166</v>
      </c>
      <c r="AE50" s="140" t="str">
        <f t="shared" si="50"/>
        <v>n.v.t.</v>
      </c>
      <c r="AF50" s="135" t="s">
        <v>166</v>
      </c>
      <c r="AG50" s="135" t="s">
        <v>165</v>
      </c>
      <c r="AH50" s="135" t="s">
        <v>166</v>
      </c>
      <c r="AI50" s="136" t="s">
        <v>166</v>
      </c>
    </row>
    <row r="51" spans="1:35" ht="12" customHeight="1" x14ac:dyDescent="0.2">
      <c r="A51" s="12">
        <v>636044</v>
      </c>
      <c r="B51" s="13" t="s">
        <v>18</v>
      </c>
      <c r="C51" s="13" t="s">
        <v>19</v>
      </c>
      <c r="D51" s="13" t="s">
        <v>20</v>
      </c>
      <c r="E51" s="13" t="s">
        <v>17</v>
      </c>
      <c r="F51" s="14">
        <v>156395</v>
      </c>
      <c r="G51" s="14">
        <f>ROUND(F51/131.5*140.3,0)</f>
        <v>166861</v>
      </c>
      <c r="H51" s="14">
        <f>ROUND(G51/140.3*150.8,0)</f>
        <v>179349</v>
      </c>
      <c r="I51" s="14">
        <v>690000</v>
      </c>
      <c r="J51" s="14"/>
      <c r="K51" s="15">
        <f>ROUND(I51/110.4*124,0)</f>
        <v>775000</v>
      </c>
      <c r="L51" s="20">
        <f>ROUND(J51/105.2*122.3,0)</f>
        <v>0</v>
      </c>
      <c r="M51" s="20">
        <f>ROUNDUP(K51*128.4/124,-3)</f>
        <v>803000</v>
      </c>
      <c r="N51" s="20">
        <f>ROUNDUP(L51*124.4/122.3,-3)</f>
        <v>0</v>
      </c>
      <c r="O51" s="14">
        <f>M51+N51</f>
        <v>803000</v>
      </c>
      <c r="P51" s="14">
        <f t="shared" si="47"/>
        <v>803000</v>
      </c>
      <c r="Q51" s="14">
        <f t="shared" si="47"/>
        <v>0</v>
      </c>
      <c r="R51" s="71">
        <f>Q51+P51</f>
        <v>803000</v>
      </c>
      <c r="S51" s="85">
        <f>ROUNDUP(P51*133.4/128.4,-3)</f>
        <v>835000</v>
      </c>
      <c r="T51" s="16">
        <f>ROUNDUP(Q51*129.6/124.4,-3)</f>
        <v>0</v>
      </c>
      <c r="U51" s="86">
        <f>S51+T51</f>
        <v>835000</v>
      </c>
      <c r="V51" s="75">
        <f>ROUNDUP(S51*138.1/133.4,-3)</f>
        <v>865000</v>
      </c>
      <c r="W51" s="16">
        <f t="shared" si="48"/>
        <v>0</v>
      </c>
      <c r="X51" s="123">
        <f t="shared" si="52"/>
        <v>865000</v>
      </c>
      <c r="Y51" s="134" t="s">
        <v>166</v>
      </c>
      <c r="Z51" s="135" t="s">
        <v>166</v>
      </c>
      <c r="AA51" s="135" t="s">
        <v>166</v>
      </c>
      <c r="AB51" s="135" t="s">
        <v>166</v>
      </c>
      <c r="AC51" s="140" t="str">
        <f t="shared" si="49"/>
        <v>n.v.t.</v>
      </c>
      <c r="AD51" s="135" t="s">
        <v>166</v>
      </c>
      <c r="AE51" s="140" t="str">
        <f t="shared" si="50"/>
        <v>n.v.t.</v>
      </c>
      <c r="AF51" s="135" t="s">
        <v>165</v>
      </c>
      <c r="AG51" s="135" t="s">
        <v>166</v>
      </c>
      <c r="AH51" s="135" t="s">
        <v>166</v>
      </c>
      <c r="AI51" s="136" t="s">
        <v>166</v>
      </c>
    </row>
    <row r="52" spans="1:35" ht="12" customHeight="1" x14ac:dyDescent="0.2">
      <c r="A52" s="105" t="s">
        <v>136</v>
      </c>
      <c r="B52" s="106"/>
      <c r="C52" s="106"/>
      <c r="D52" s="106"/>
      <c r="E52" s="106"/>
      <c r="F52" s="107"/>
      <c r="G52" s="107"/>
      <c r="H52" s="107"/>
      <c r="I52" s="107"/>
      <c r="J52" s="107"/>
      <c r="K52" s="108"/>
      <c r="L52" s="108"/>
      <c r="M52" s="108"/>
      <c r="N52" s="108"/>
      <c r="O52" s="107"/>
      <c r="P52" s="107"/>
      <c r="Q52" s="107"/>
      <c r="R52" s="109"/>
      <c r="S52" s="101">
        <f>SUM(S48:S51)</f>
        <v>6662000</v>
      </c>
      <c r="T52" s="102">
        <f t="shared" ref="T52:X52" si="53">SUM(T48:T51)</f>
        <v>135000</v>
      </c>
      <c r="U52" s="103">
        <f t="shared" si="53"/>
        <v>6797000</v>
      </c>
      <c r="V52" s="104">
        <f t="shared" si="53"/>
        <v>6899000</v>
      </c>
      <c r="W52" s="102">
        <f t="shared" si="53"/>
        <v>139000</v>
      </c>
      <c r="X52" s="103">
        <f t="shared" si="53"/>
        <v>7038000</v>
      </c>
      <c r="Y52" s="134"/>
      <c r="Z52" s="135"/>
      <c r="AA52" s="135"/>
      <c r="AB52" s="135"/>
      <c r="AC52" s="135"/>
      <c r="AD52" s="135"/>
      <c r="AE52" s="135"/>
      <c r="AF52" s="135"/>
      <c r="AG52" s="135"/>
      <c r="AH52" s="135"/>
      <c r="AI52" s="136"/>
    </row>
    <row r="53" spans="1:35" ht="12" customHeight="1" x14ac:dyDescent="0.2">
      <c r="A53" s="12"/>
      <c r="B53" s="13"/>
      <c r="C53" s="13"/>
      <c r="D53" s="13"/>
      <c r="E53" s="13"/>
      <c r="F53" s="14"/>
      <c r="G53" s="14"/>
      <c r="H53" s="14"/>
      <c r="I53" s="14"/>
      <c r="J53" s="14"/>
      <c r="K53" s="15"/>
      <c r="L53" s="15"/>
      <c r="M53" s="15"/>
      <c r="N53" s="15"/>
      <c r="O53" s="14"/>
      <c r="P53" s="14"/>
      <c r="Q53" s="14"/>
      <c r="R53" s="71"/>
      <c r="S53" s="88"/>
      <c r="T53" s="21"/>
      <c r="U53" s="89"/>
      <c r="V53" s="76"/>
      <c r="W53" s="21"/>
      <c r="X53" s="7"/>
      <c r="Y53" s="134"/>
      <c r="Z53" s="135"/>
      <c r="AA53" s="135"/>
      <c r="AB53" s="135"/>
      <c r="AC53" s="135"/>
      <c r="AD53" s="135"/>
      <c r="AE53" s="135"/>
      <c r="AF53" s="135"/>
      <c r="AG53" s="135"/>
      <c r="AH53" s="135"/>
      <c r="AI53" s="136"/>
    </row>
    <row r="54" spans="1:35" ht="12" customHeight="1" x14ac:dyDescent="0.25">
      <c r="A54" s="24" t="s">
        <v>137</v>
      </c>
      <c r="B54" s="13"/>
      <c r="C54" s="13"/>
      <c r="D54" s="13"/>
      <c r="E54" s="13"/>
      <c r="F54" s="14"/>
      <c r="G54" s="14"/>
      <c r="H54" s="14"/>
      <c r="I54" s="14"/>
      <c r="J54" s="14"/>
      <c r="K54" s="15"/>
      <c r="L54" s="15"/>
      <c r="M54" s="15"/>
      <c r="N54" s="15"/>
      <c r="O54" s="14"/>
      <c r="P54" s="14"/>
      <c r="Q54" s="14"/>
      <c r="R54" s="71"/>
      <c r="S54" s="85"/>
      <c r="T54" s="16"/>
      <c r="U54" s="86"/>
      <c r="V54" s="75"/>
      <c r="W54" s="16"/>
      <c r="X54" s="7"/>
      <c r="Y54" s="134"/>
      <c r="Z54" s="135"/>
      <c r="AA54" s="135"/>
      <c r="AB54" s="135"/>
      <c r="AC54" s="135"/>
      <c r="AD54" s="135"/>
      <c r="AE54" s="135"/>
      <c r="AF54" s="135"/>
      <c r="AG54" s="135"/>
      <c r="AH54" s="135"/>
      <c r="AI54" s="136"/>
    </row>
    <row r="55" spans="1:35" ht="12" customHeight="1" x14ac:dyDescent="0.2">
      <c r="A55" s="12">
        <v>603014</v>
      </c>
      <c r="B55" s="13" t="s">
        <v>24</v>
      </c>
      <c r="C55" s="13" t="s">
        <v>25</v>
      </c>
      <c r="D55" s="13" t="s">
        <v>26</v>
      </c>
      <c r="E55" s="13" t="s">
        <v>27</v>
      </c>
      <c r="F55" s="14">
        <v>44348</v>
      </c>
      <c r="G55" s="14">
        <f t="shared" ref="G55:G59" si="54">ROUND(F55/131.5*140.3,0)</f>
        <v>47316</v>
      </c>
      <c r="H55" s="14">
        <f t="shared" ref="H55:H61" si="55">ROUND(G55/140.3*150.8,0)</f>
        <v>50857</v>
      </c>
      <c r="I55" s="14">
        <v>135000</v>
      </c>
      <c r="J55" s="14"/>
      <c r="K55" s="15">
        <f t="shared" ref="K55:K61" si="56">ROUND(I55/110.4*124,0)</f>
        <v>151630</v>
      </c>
      <c r="L55" s="20">
        <f t="shared" ref="L55:L61" si="57">ROUND(J55/105.2*122.3,0)</f>
        <v>0</v>
      </c>
      <c r="M55" s="20">
        <f t="shared" ref="M55:M61" si="58">ROUNDUP(K55*128.4/124,-3)</f>
        <v>158000</v>
      </c>
      <c r="N55" s="20">
        <f t="shared" ref="N55:N61" si="59">ROUNDUP(L55*124.4/122.3,-3)</f>
        <v>0</v>
      </c>
      <c r="O55" s="14">
        <f>M55+N55</f>
        <v>158000</v>
      </c>
      <c r="P55" s="14">
        <f t="shared" ref="P55:Q61" si="60">M55</f>
        <v>158000</v>
      </c>
      <c r="Q55" s="14">
        <f t="shared" si="60"/>
        <v>0</v>
      </c>
      <c r="R55" s="71">
        <f t="shared" ref="R55:R61" si="61">Q55+P55</f>
        <v>158000</v>
      </c>
      <c r="S55" s="85">
        <f t="shared" ref="S55:S61" si="62">ROUNDUP(P55*133.4/128.4,-3)</f>
        <v>165000</v>
      </c>
      <c r="T55" s="16">
        <f t="shared" ref="T55:T61" si="63">ROUNDUP(Q55*129.6/124.4,-3)</f>
        <v>0</v>
      </c>
      <c r="U55" s="86">
        <f t="shared" ref="U55:U63" si="64">S55+T55</f>
        <v>165000</v>
      </c>
      <c r="V55" s="75">
        <f>ROUNDUP(S55*138.1/133.4,-3)</f>
        <v>171000</v>
      </c>
      <c r="W55" s="16">
        <f t="shared" ref="W55:W60" si="65">ROUNDUP(T55*133.4/129.6,-3)</f>
        <v>0</v>
      </c>
      <c r="X55" s="123">
        <f>+V55+W55</f>
        <v>171000</v>
      </c>
      <c r="Y55" s="134" t="s">
        <v>166</v>
      </c>
      <c r="Z55" s="135" t="s">
        <v>166</v>
      </c>
      <c r="AA55" s="135" t="s">
        <v>166</v>
      </c>
      <c r="AB55" s="135" t="s">
        <v>166</v>
      </c>
      <c r="AC55" s="140" t="str">
        <f t="shared" ref="AC55:AC61" si="66">IF(AB55="Nee","n.v.t.","")</f>
        <v>n.v.t.</v>
      </c>
      <c r="AD55" s="135" t="s">
        <v>166</v>
      </c>
      <c r="AE55" s="140" t="str">
        <f t="shared" ref="AE55:AE63" si="67">IF(AD55="Nee","n.v.t.","")</f>
        <v>n.v.t.</v>
      </c>
      <c r="AF55" s="135" t="s">
        <v>166</v>
      </c>
      <c r="AG55" s="135" t="s">
        <v>166</v>
      </c>
      <c r="AH55" s="135" t="s">
        <v>166</v>
      </c>
      <c r="AI55" s="136" t="s">
        <v>166</v>
      </c>
    </row>
    <row r="56" spans="1:35" ht="12" customHeight="1" x14ac:dyDescent="0.2">
      <c r="A56" s="12">
        <v>603014</v>
      </c>
      <c r="B56" s="13" t="s">
        <v>24</v>
      </c>
      <c r="C56" s="13" t="s">
        <v>44</v>
      </c>
      <c r="D56" s="13" t="s">
        <v>45</v>
      </c>
      <c r="E56" s="13" t="s">
        <v>27</v>
      </c>
      <c r="F56" s="14">
        <v>55470</v>
      </c>
      <c r="G56" s="14">
        <f>ROUND(F56/131.5*140.3,0)</f>
        <v>59182</v>
      </c>
      <c r="H56" s="14">
        <f>ROUND(G56/140.3*150.8,0)</f>
        <v>63611</v>
      </c>
      <c r="I56" s="14">
        <v>115000</v>
      </c>
      <c r="J56" s="14"/>
      <c r="K56" s="15">
        <f>ROUND(I56/110.4*124,0)</f>
        <v>129167</v>
      </c>
      <c r="L56" s="20">
        <f>ROUND(J56/105.2*122.3,0)</f>
        <v>0</v>
      </c>
      <c r="M56" s="20">
        <f>ROUNDUP(K56*128.4/124,-3)</f>
        <v>134000</v>
      </c>
      <c r="N56" s="20">
        <f>ROUNDUP(L56*124.4/122.3,-3)</f>
        <v>0</v>
      </c>
      <c r="O56" s="14">
        <f>M56+N56</f>
        <v>134000</v>
      </c>
      <c r="P56" s="14">
        <f>M56</f>
        <v>134000</v>
      </c>
      <c r="Q56" s="14">
        <f>N56</f>
        <v>0</v>
      </c>
      <c r="R56" s="71">
        <f>Q56+P56</f>
        <v>134000</v>
      </c>
      <c r="S56" s="85">
        <f t="shared" si="62"/>
        <v>140000</v>
      </c>
      <c r="T56" s="16">
        <f t="shared" si="63"/>
        <v>0</v>
      </c>
      <c r="U56" s="86">
        <f>S56+T56</f>
        <v>140000</v>
      </c>
      <c r="V56" s="75">
        <f t="shared" ref="V56:V61" si="68">ROUNDUP(S56*138.1/133.4,-3)</f>
        <v>145000</v>
      </c>
      <c r="W56" s="16">
        <f t="shared" si="65"/>
        <v>0</v>
      </c>
      <c r="X56" s="123">
        <f t="shared" ref="X56:X63" si="69">+V56+W56</f>
        <v>145000</v>
      </c>
      <c r="Y56" s="134" t="s">
        <v>166</v>
      </c>
      <c r="Z56" s="135" t="s">
        <v>166</v>
      </c>
      <c r="AA56" s="135" t="s">
        <v>166</v>
      </c>
      <c r="AB56" s="135" t="s">
        <v>166</v>
      </c>
      <c r="AC56" s="140" t="str">
        <f t="shared" si="66"/>
        <v>n.v.t.</v>
      </c>
      <c r="AD56" s="135" t="s">
        <v>166</v>
      </c>
      <c r="AE56" s="140" t="str">
        <f t="shared" si="67"/>
        <v>n.v.t.</v>
      </c>
      <c r="AF56" s="135" t="s">
        <v>166</v>
      </c>
      <c r="AG56" s="135" t="s">
        <v>166</v>
      </c>
      <c r="AH56" s="135" t="s">
        <v>166</v>
      </c>
      <c r="AI56" s="136" t="s">
        <v>165</v>
      </c>
    </row>
    <row r="57" spans="1:35" ht="12" customHeight="1" x14ac:dyDescent="0.2">
      <c r="A57" s="12">
        <v>641013</v>
      </c>
      <c r="B57" s="13" t="s">
        <v>28</v>
      </c>
      <c r="C57" s="13" t="s">
        <v>29</v>
      </c>
      <c r="D57" s="13" t="s">
        <v>30</v>
      </c>
      <c r="E57" s="13" t="s">
        <v>27</v>
      </c>
      <c r="F57" s="14">
        <v>33719</v>
      </c>
      <c r="G57" s="14">
        <f t="shared" si="54"/>
        <v>35975</v>
      </c>
      <c r="H57" s="14">
        <f t="shared" si="55"/>
        <v>38667</v>
      </c>
      <c r="I57" s="14">
        <v>65000</v>
      </c>
      <c r="J57" s="14"/>
      <c r="K57" s="15">
        <f>ROUND(I57/110.4*124,0)</f>
        <v>73007</v>
      </c>
      <c r="L57" s="20">
        <f t="shared" si="57"/>
        <v>0</v>
      </c>
      <c r="M57" s="20">
        <f t="shared" si="58"/>
        <v>76000</v>
      </c>
      <c r="N57" s="20">
        <f t="shared" si="59"/>
        <v>0</v>
      </c>
      <c r="O57" s="14">
        <f t="shared" ref="O57:O61" si="70">M57+N57</f>
        <v>76000</v>
      </c>
      <c r="P57" s="14">
        <f t="shared" si="60"/>
        <v>76000</v>
      </c>
      <c r="Q57" s="14">
        <f t="shared" si="60"/>
        <v>0</v>
      </c>
      <c r="R57" s="71">
        <f t="shared" si="61"/>
        <v>76000</v>
      </c>
      <c r="S57" s="85">
        <f t="shared" si="62"/>
        <v>79000</v>
      </c>
      <c r="T57" s="16">
        <f t="shared" si="63"/>
        <v>0</v>
      </c>
      <c r="U57" s="86">
        <f t="shared" si="64"/>
        <v>79000</v>
      </c>
      <c r="V57" s="75">
        <f t="shared" si="68"/>
        <v>82000</v>
      </c>
      <c r="W57" s="16">
        <f t="shared" si="65"/>
        <v>0</v>
      </c>
      <c r="X57" s="123">
        <f t="shared" si="69"/>
        <v>82000</v>
      </c>
      <c r="Y57" s="134" t="s">
        <v>166</v>
      </c>
      <c r="Z57" s="135" t="s">
        <v>166</v>
      </c>
      <c r="AA57" s="135" t="s">
        <v>166</v>
      </c>
      <c r="AB57" s="135" t="s">
        <v>166</v>
      </c>
      <c r="AC57" s="140" t="str">
        <f t="shared" si="66"/>
        <v>n.v.t.</v>
      </c>
      <c r="AD57" s="135" t="s">
        <v>166</v>
      </c>
      <c r="AE57" s="140" t="str">
        <f t="shared" si="67"/>
        <v>n.v.t.</v>
      </c>
      <c r="AF57" s="135" t="s">
        <v>166</v>
      </c>
      <c r="AG57" s="135" t="s">
        <v>166</v>
      </c>
      <c r="AH57" s="135" t="s">
        <v>166</v>
      </c>
      <c r="AI57" s="136" t="s">
        <v>166</v>
      </c>
    </row>
    <row r="58" spans="1:35" ht="12" customHeight="1" x14ac:dyDescent="0.2">
      <c r="A58" s="12">
        <v>641013</v>
      </c>
      <c r="B58" s="13" t="s">
        <v>43</v>
      </c>
      <c r="C58" s="13" t="s">
        <v>29</v>
      </c>
      <c r="D58" s="13" t="s">
        <v>30</v>
      </c>
      <c r="E58" s="13" t="s">
        <v>27</v>
      </c>
      <c r="F58" s="14">
        <v>57949</v>
      </c>
      <c r="G58" s="14">
        <f>ROUND(F58/131.5*140.3,0)</f>
        <v>61827</v>
      </c>
      <c r="H58" s="14">
        <f>ROUND(G58/140.3*150.8,0)</f>
        <v>66454</v>
      </c>
      <c r="I58" s="14">
        <v>65000</v>
      </c>
      <c r="J58" s="14"/>
      <c r="K58" s="15">
        <f>ROUND(I58/110.4*124,0)</f>
        <v>73007</v>
      </c>
      <c r="L58" s="20">
        <f>ROUND(J58/105.2*122.3,0)</f>
        <v>0</v>
      </c>
      <c r="M58" s="20">
        <f>ROUNDUP(K58*128.4/124,-3)</f>
        <v>76000</v>
      </c>
      <c r="N58" s="20">
        <f>ROUNDUP(L58*124.4/122.3,-3)</f>
        <v>0</v>
      </c>
      <c r="O58" s="14">
        <f>M58+N58</f>
        <v>76000</v>
      </c>
      <c r="P58" s="14">
        <f>M58</f>
        <v>76000</v>
      </c>
      <c r="Q58" s="14">
        <f>N58</f>
        <v>0</v>
      </c>
      <c r="R58" s="71">
        <f>Q58+P58</f>
        <v>76000</v>
      </c>
      <c r="S58" s="85">
        <f t="shared" si="62"/>
        <v>79000</v>
      </c>
      <c r="T58" s="16">
        <f t="shared" si="63"/>
        <v>0</v>
      </c>
      <c r="U58" s="86">
        <f>S58+T58</f>
        <v>79000</v>
      </c>
      <c r="V58" s="75">
        <f t="shared" si="68"/>
        <v>82000</v>
      </c>
      <c r="W58" s="16">
        <f t="shared" si="65"/>
        <v>0</v>
      </c>
      <c r="X58" s="123">
        <f t="shared" si="69"/>
        <v>82000</v>
      </c>
      <c r="Y58" s="134" t="s">
        <v>166</v>
      </c>
      <c r="Z58" s="135" t="s">
        <v>166</v>
      </c>
      <c r="AA58" s="135" t="s">
        <v>166</v>
      </c>
      <c r="AB58" s="135" t="s">
        <v>166</v>
      </c>
      <c r="AC58" s="140" t="str">
        <f t="shared" si="66"/>
        <v>n.v.t.</v>
      </c>
      <c r="AD58" s="135" t="s">
        <v>166</v>
      </c>
      <c r="AE58" s="140" t="str">
        <f t="shared" si="67"/>
        <v>n.v.t.</v>
      </c>
      <c r="AF58" s="135" t="s">
        <v>166</v>
      </c>
      <c r="AG58" s="135" t="s">
        <v>166</v>
      </c>
      <c r="AH58" s="135" t="s">
        <v>166</v>
      </c>
      <c r="AI58" s="136" t="s">
        <v>166</v>
      </c>
    </row>
    <row r="59" spans="1:35" ht="12" customHeight="1" x14ac:dyDescent="0.2">
      <c r="A59" s="12">
        <v>603014</v>
      </c>
      <c r="B59" s="13" t="s">
        <v>34</v>
      </c>
      <c r="C59" s="13" t="s">
        <v>35</v>
      </c>
      <c r="D59" s="13" t="s">
        <v>36</v>
      </c>
      <c r="E59" s="13" t="s">
        <v>27</v>
      </c>
      <c r="F59" s="14">
        <v>234402</v>
      </c>
      <c r="G59" s="14">
        <f t="shared" si="54"/>
        <v>250088</v>
      </c>
      <c r="H59" s="14">
        <f t="shared" si="55"/>
        <v>268804</v>
      </c>
      <c r="I59" s="14">
        <v>285000</v>
      </c>
      <c r="J59" s="14"/>
      <c r="K59" s="15">
        <f t="shared" si="56"/>
        <v>320109</v>
      </c>
      <c r="L59" s="20">
        <f t="shared" si="57"/>
        <v>0</v>
      </c>
      <c r="M59" s="20">
        <f t="shared" si="58"/>
        <v>332000</v>
      </c>
      <c r="N59" s="20">
        <f t="shared" si="59"/>
        <v>0</v>
      </c>
      <c r="O59" s="14">
        <f t="shared" si="70"/>
        <v>332000</v>
      </c>
      <c r="P59" s="14">
        <f t="shared" si="60"/>
        <v>332000</v>
      </c>
      <c r="Q59" s="14">
        <f t="shared" si="60"/>
        <v>0</v>
      </c>
      <c r="R59" s="71">
        <f t="shared" si="61"/>
        <v>332000</v>
      </c>
      <c r="S59" s="85">
        <f t="shared" si="62"/>
        <v>345000</v>
      </c>
      <c r="T59" s="16">
        <f t="shared" si="63"/>
        <v>0</v>
      </c>
      <c r="U59" s="86">
        <f t="shared" si="64"/>
        <v>345000</v>
      </c>
      <c r="V59" s="75">
        <f t="shared" si="68"/>
        <v>358000</v>
      </c>
      <c r="W59" s="16">
        <f t="shared" si="65"/>
        <v>0</v>
      </c>
      <c r="X59" s="123">
        <f t="shared" si="69"/>
        <v>358000</v>
      </c>
      <c r="Y59" s="134" t="s">
        <v>166</v>
      </c>
      <c r="Z59" s="135" t="s">
        <v>166</v>
      </c>
      <c r="AA59" s="135" t="s">
        <v>166</v>
      </c>
      <c r="AB59" s="135" t="s">
        <v>166</v>
      </c>
      <c r="AC59" s="140" t="str">
        <f t="shared" si="66"/>
        <v>n.v.t.</v>
      </c>
      <c r="AD59" s="135" t="s">
        <v>166</v>
      </c>
      <c r="AE59" s="140" t="str">
        <f t="shared" si="67"/>
        <v>n.v.t.</v>
      </c>
      <c r="AF59" s="135" t="s">
        <v>165</v>
      </c>
      <c r="AG59" s="135" t="s">
        <v>166</v>
      </c>
      <c r="AH59" s="135" t="s">
        <v>166</v>
      </c>
      <c r="AI59" s="136" t="s">
        <v>166</v>
      </c>
    </row>
    <row r="60" spans="1:35" ht="12" customHeight="1" x14ac:dyDescent="0.2">
      <c r="A60" s="12">
        <v>647001</v>
      </c>
      <c r="B60" s="13" t="s">
        <v>40</v>
      </c>
      <c r="C60" s="13" t="s">
        <v>41</v>
      </c>
      <c r="D60" s="13" t="s">
        <v>42</v>
      </c>
      <c r="E60" s="13" t="s">
        <v>27</v>
      </c>
      <c r="F60" s="14">
        <v>67809</v>
      </c>
      <c r="G60" s="14">
        <f t="shared" ref="G60:G61" si="71">ROUND(F60/131.5*140.3,0)</f>
        <v>72347</v>
      </c>
      <c r="H60" s="14">
        <f t="shared" si="55"/>
        <v>77761</v>
      </c>
      <c r="I60" s="14">
        <v>100000</v>
      </c>
      <c r="J60" s="14">
        <f>25000*1.21</f>
        <v>30250</v>
      </c>
      <c r="K60" s="15">
        <f t="shared" si="56"/>
        <v>112319</v>
      </c>
      <c r="L60" s="15">
        <f t="shared" si="57"/>
        <v>35167</v>
      </c>
      <c r="M60" s="15">
        <f t="shared" si="58"/>
        <v>117000</v>
      </c>
      <c r="N60" s="15">
        <f t="shared" si="59"/>
        <v>36000</v>
      </c>
      <c r="O60" s="14">
        <f t="shared" si="70"/>
        <v>153000</v>
      </c>
      <c r="P60" s="14">
        <f t="shared" si="60"/>
        <v>117000</v>
      </c>
      <c r="Q60" s="14">
        <f t="shared" si="60"/>
        <v>36000</v>
      </c>
      <c r="R60" s="71">
        <f t="shared" si="61"/>
        <v>153000</v>
      </c>
      <c r="S60" s="85">
        <f t="shared" si="62"/>
        <v>122000</v>
      </c>
      <c r="T60" s="16">
        <f t="shared" si="63"/>
        <v>38000</v>
      </c>
      <c r="U60" s="86">
        <f t="shared" si="64"/>
        <v>160000</v>
      </c>
      <c r="V60" s="75">
        <f t="shared" si="68"/>
        <v>127000</v>
      </c>
      <c r="W60" s="16">
        <f t="shared" si="65"/>
        <v>40000</v>
      </c>
      <c r="X60" s="123">
        <f t="shared" si="69"/>
        <v>167000</v>
      </c>
      <c r="Y60" s="134" t="s">
        <v>166</v>
      </c>
      <c r="Z60" s="135" t="s">
        <v>166</v>
      </c>
      <c r="AA60" s="135" t="s">
        <v>166</v>
      </c>
      <c r="AB60" s="135" t="s">
        <v>166</v>
      </c>
      <c r="AC60" s="140" t="str">
        <f t="shared" si="66"/>
        <v>n.v.t.</v>
      </c>
      <c r="AD60" s="135" t="s">
        <v>166</v>
      </c>
      <c r="AE60" s="140" t="str">
        <f t="shared" si="67"/>
        <v>n.v.t.</v>
      </c>
      <c r="AF60" s="135" t="s">
        <v>166</v>
      </c>
      <c r="AG60" s="135" t="s">
        <v>166</v>
      </c>
      <c r="AH60" s="135" t="s">
        <v>166</v>
      </c>
      <c r="AI60" s="136" t="s">
        <v>166</v>
      </c>
    </row>
    <row r="61" spans="1:35" ht="12" customHeight="1" x14ac:dyDescent="0.2">
      <c r="A61" s="12">
        <v>653025</v>
      </c>
      <c r="B61" s="13" t="s">
        <v>120</v>
      </c>
      <c r="C61" s="13" t="s">
        <v>52</v>
      </c>
      <c r="D61" s="13" t="s">
        <v>53</v>
      </c>
      <c r="E61" s="13" t="s">
        <v>54</v>
      </c>
      <c r="F61" s="14">
        <v>20343</v>
      </c>
      <c r="G61" s="14">
        <f t="shared" si="71"/>
        <v>21704</v>
      </c>
      <c r="H61" s="14">
        <f t="shared" si="55"/>
        <v>23328</v>
      </c>
      <c r="I61" s="14">
        <v>30000</v>
      </c>
      <c r="J61" s="14"/>
      <c r="K61" s="15">
        <f t="shared" si="56"/>
        <v>33696</v>
      </c>
      <c r="L61" s="20">
        <f t="shared" si="57"/>
        <v>0</v>
      </c>
      <c r="M61" s="20">
        <f t="shared" si="58"/>
        <v>35000</v>
      </c>
      <c r="N61" s="20">
        <f t="shared" si="59"/>
        <v>0</v>
      </c>
      <c r="O61" s="14">
        <f t="shared" si="70"/>
        <v>35000</v>
      </c>
      <c r="P61" s="14">
        <f t="shared" si="60"/>
        <v>35000</v>
      </c>
      <c r="Q61" s="14">
        <f t="shared" si="60"/>
        <v>0</v>
      </c>
      <c r="R61" s="71">
        <f t="shared" si="61"/>
        <v>35000</v>
      </c>
      <c r="S61" s="85">
        <f t="shared" si="62"/>
        <v>37000</v>
      </c>
      <c r="T61" s="16">
        <f t="shared" si="63"/>
        <v>0</v>
      </c>
      <c r="U61" s="86">
        <f t="shared" si="64"/>
        <v>37000</v>
      </c>
      <c r="V61" s="75">
        <f t="shared" si="68"/>
        <v>39000</v>
      </c>
      <c r="W61" s="16">
        <f>ROUNDUP(T61*133.4/129.6,-3)</f>
        <v>0</v>
      </c>
      <c r="X61" s="123">
        <f t="shared" si="69"/>
        <v>39000</v>
      </c>
      <c r="Y61" s="134" t="s">
        <v>166</v>
      </c>
      <c r="Z61" s="135" t="s">
        <v>166</v>
      </c>
      <c r="AA61" s="135" t="s">
        <v>166</v>
      </c>
      <c r="AB61" s="135" t="s">
        <v>166</v>
      </c>
      <c r="AC61" s="140" t="str">
        <f t="shared" si="66"/>
        <v>n.v.t.</v>
      </c>
      <c r="AD61" s="135" t="s">
        <v>166</v>
      </c>
      <c r="AE61" s="140" t="str">
        <f t="shared" si="67"/>
        <v>n.v.t.</v>
      </c>
      <c r="AF61" s="135" t="s">
        <v>167</v>
      </c>
      <c r="AG61" s="135" t="s">
        <v>166</v>
      </c>
      <c r="AH61" s="135" t="s">
        <v>166</v>
      </c>
      <c r="AI61" s="136" t="s">
        <v>166</v>
      </c>
    </row>
    <row r="62" spans="1:35" ht="12" customHeight="1" x14ac:dyDescent="0.2">
      <c r="A62" s="12">
        <v>603014</v>
      </c>
      <c r="B62" s="13" t="s">
        <v>150</v>
      </c>
      <c r="C62" s="13" t="s">
        <v>148</v>
      </c>
      <c r="D62" s="13" t="s">
        <v>149</v>
      </c>
      <c r="E62" s="13" t="s">
        <v>77</v>
      </c>
      <c r="F62" s="14"/>
      <c r="G62" s="14"/>
      <c r="H62" s="14"/>
      <c r="I62" s="14"/>
      <c r="J62" s="14"/>
      <c r="K62" s="15"/>
      <c r="L62" s="20"/>
      <c r="M62" s="20"/>
      <c r="N62" s="20"/>
      <c r="O62" s="14"/>
      <c r="P62" s="14"/>
      <c r="Q62" s="14"/>
      <c r="R62" s="71"/>
      <c r="S62" s="85">
        <v>0</v>
      </c>
      <c r="T62" s="16">
        <v>0</v>
      </c>
      <c r="U62" s="86">
        <f t="shared" si="64"/>
        <v>0</v>
      </c>
      <c r="V62" s="75">
        <v>800000</v>
      </c>
      <c r="W62" s="16">
        <v>0</v>
      </c>
      <c r="X62" s="123">
        <f t="shared" si="69"/>
        <v>800000</v>
      </c>
      <c r="Y62" s="134" t="s">
        <v>166</v>
      </c>
      <c r="Z62" s="135" t="s">
        <v>166</v>
      </c>
      <c r="AA62" s="135" t="s">
        <v>166</v>
      </c>
      <c r="AB62" s="135" t="s">
        <v>165</v>
      </c>
      <c r="AC62" s="140" t="s">
        <v>170</v>
      </c>
      <c r="AD62" s="135" t="s">
        <v>166</v>
      </c>
      <c r="AE62" s="140" t="str">
        <f t="shared" si="67"/>
        <v>n.v.t.</v>
      </c>
      <c r="AF62" s="135" t="s">
        <v>165</v>
      </c>
      <c r="AG62" s="135" t="s">
        <v>166</v>
      </c>
      <c r="AH62" s="135" t="s">
        <v>166</v>
      </c>
      <c r="AI62" s="136" t="s">
        <v>166</v>
      </c>
    </row>
    <row r="63" spans="1:35" ht="12" customHeight="1" thickBot="1" x14ac:dyDescent="0.25">
      <c r="A63" s="12">
        <v>618011</v>
      </c>
      <c r="B63" s="13" t="s">
        <v>151</v>
      </c>
      <c r="C63" s="13" t="s">
        <v>152</v>
      </c>
      <c r="D63" s="13" t="s">
        <v>153</v>
      </c>
      <c r="E63" s="13" t="s">
        <v>27</v>
      </c>
      <c r="F63" s="14"/>
      <c r="G63" s="14"/>
      <c r="H63" s="14"/>
      <c r="I63" s="14"/>
      <c r="J63" s="14"/>
      <c r="K63" s="15"/>
      <c r="L63" s="20"/>
      <c r="M63" s="20"/>
      <c r="N63" s="20"/>
      <c r="O63" s="14"/>
      <c r="P63" s="14"/>
      <c r="Q63" s="14"/>
      <c r="R63" s="71"/>
      <c r="S63" s="85">
        <v>0</v>
      </c>
      <c r="T63" s="16">
        <v>0</v>
      </c>
      <c r="U63" s="86">
        <f t="shared" si="64"/>
        <v>0</v>
      </c>
      <c r="V63" s="75">
        <f>2985500+300000+50000</f>
        <v>3335500</v>
      </c>
      <c r="W63" s="75">
        <v>0</v>
      </c>
      <c r="X63" s="128">
        <f t="shared" si="69"/>
        <v>3335500</v>
      </c>
      <c r="Y63" s="137" t="s">
        <v>166</v>
      </c>
      <c r="Z63" s="138" t="s">
        <v>165</v>
      </c>
      <c r="AA63" s="138" t="s">
        <v>166</v>
      </c>
      <c r="AB63" s="138" t="s">
        <v>166</v>
      </c>
      <c r="AC63" s="141" t="str">
        <f t="shared" ref="AC63" si="72">IF(AB63="Nee","n.v.t.","")</f>
        <v>n.v.t.</v>
      </c>
      <c r="AD63" s="138" t="s">
        <v>166</v>
      </c>
      <c r="AE63" s="141" t="str">
        <f t="shared" si="67"/>
        <v>n.v.t.</v>
      </c>
      <c r="AF63" s="138" t="s">
        <v>166</v>
      </c>
      <c r="AG63" s="138" t="s">
        <v>166</v>
      </c>
      <c r="AH63" s="138" t="s">
        <v>166</v>
      </c>
      <c r="AI63" s="139" t="s">
        <v>166</v>
      </c>
    </row>
    <row r="64" spans="1:35" ht="12" customHeight="1" x14ac:dyDescent="0.2">
      <c r="A64" s="110" t="s">
        <v>138</v>
      </c>
      <c r="B64" s="111"/>
      <c r="C64" s="111"/>
      <c r="D64" s="111"/>
      <c r="E64" s="111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3"/>
      <c r="S64" s="101">
        <f>SUM(S55:S63)</f>
        <v>967000</v>
      </c>
      <c r="T64" s="102">
        <f t="shared" ref="T64:X64" si="73">SUM(T55:T63)</f>
        <v>38000</v>
      </c>
      <c r="U64" s="103">
        <f t="shared" si="73"/>
        <v>1005000</v>
      </c>
      <c r="V64" s="104">
        <f t="shared" si="73"/>
        <v>5139500</v>
      </c>
      <c r="W64" s="104">
        <f t="shared" si="73"/>
        <v>40000</v>
      </c>
      <c r="X64" s="103">
        <f t="shared" si="73"/>
        <v>5179500</v>
      </c>
    </row>
    <row r="65" spans="1:24" ht="12" customHeight="1" x14ac:dyDescent="0.2">
      <c r="A65" s="58"/>
      <c r="B65" s="60"/>
      <c r="C65" s="60"/>
      <c r="D65" s="60"/>
      <c r="E65" s="59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58"/>
      <c r="S65" s="122"/>
      <c r="T65" s="124"/>
      <c r="U65" s="123"/>
      <c r="V65" s="2"/>
      <c r="W65" s="124"/>
      <c r="X65" s="7"/>
    </row>
    <row r="66" spans="1:24" ht="12" customHeight="1" x14ac:dyDescent="0.2">
      <c r="A66" s="61"/>
      <c r="S66" s="122"/>
      <c r="T66" s="125"/>
      <c r="U66" s="123"/>
      <c r="V66" s="2"/>
      <c r="W66" s="125"/>
      <c r="X66" s="7"/>
    </row>
    <row r="67" spans="1:24" ht="12" customHeight="1" thickBot="1" x14ac:dyDescent="0.3">
      <c r="A67" s="114" t="s">
        <v>141</v>
      </c>
      <c r="B67" s="115"/>
      <c r="C67" s="116"/>
      <c r="D67" s="116"/>
      <c r="E67" s="116"/>
      <c r="F67" s="117"/>
      <c r="G67" s="117"/>
      <c r="H67" s="117"/>
      <c r="I67" s="117">
        <f>SUM(I7:I64)</f>
        <v>92825000</v>
      </c>
      <c r="J67" s="117">
        <f>SUM(J7:J64)</f>
        <v>9571100</v>
      </c>
      <c r="K67" s="117">
        <f>SUM(K7:K64)</f>
        <v>104225634</v>
      </c>
      <c r="L67" s="117">
        <f>SUM(L7:L64)</f>
        <v>11126857</v>
      </c>
      <c r="M67" s="117">
        <f t="shared" ref="M67:R67" si="74">SUM(M7:M65)</f>
        <v>107938000</v>
      </c>
      <c r="N67" s="117">
        <f t="shared" si="74"/>
        <v>11324000</v>
      </c>
      <c r="O67" s="117">
        <f t="shared" si="74"/>
        <v>119262000</v>
      </c>
      <c r="P67" s="117">
        <f t="shared" si="74"/>
        <v>121981000</v>
      </c>
      <c r="Q67" s="117">
        <f t="shared" si="74"/>
        <v>11824000</v>
      </c>
      <c r="R67" s="117">
        <f t="shared" si="74"/>
        <v>133805000</v>
      </c>
      <c r="S67" s="118">
        <f t="shared" ref="S67:X67" si="75">+S64+S52+S45+S39+S34+S28+S23+S19+S10</f>
        <v>127740000</v>
      </c>
      <c r="T67" s="119">
        <f t="shared" si="75"/>
        <v>11805000</v>
      </c>
      <c r="U67" s="120">
        <f t="shared" si="75"/>
        <v>139545000</v>
      </c>
      <c r="V67" s="121">
        <f t="shared" si="75"/>
        <v>136389500</v>
      </c>
      <c r="W67" s="119">
        <f t="shared" si="75"/>
        <v>12159000</v>
      </c>
      <c r="X67" s="120">
        <f t="shared" si="75"/>
        <v>148548500</v>
      </c>
    </row>
    <row r="68" spans="1:24" ht="12" customHeight="1" thickTop="1" x14ac:dyDescent="0.2">
      <c r="A68" s="3"/>
      <c r="B68" s="3"/>
      <c r="C68" s="3"/>
      <c r="D68" s="3"/>
      <c r="E68" s="3"/>
      <c r="F68" s="4"/>
      <c r="G68" s="4"/>
      <c r="H68" s="4"/>
      <c r="I68" s="4"/>
      <c r="J68" s="5">
        <v>132450</v>
      </c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4" ht="12" customHeight="1" x14ac:dyDescent="0.2"/>
    <row r="70" spans="1:24" ht="12" customHeight="1" x14ac:dyDescent="0.2">
      <c r="A70" s="6"/>
      <c r="B70" s="3"/>
      <c r="C70" s="3"/>
      <c r="D70" s="3"/>
      <c r="E70" s="3"/>
      <c r="F70" s="3"/>
      <c r="G70" s="4"/>
      <c r="H70" s="4"/>
      <c r="I70" s="4"/>
      <c r="J70" s="4"/>
      <c r="K70" s="5">
        <f>J67+J68</f>
        <v>9703550</v>
      </c>
      <c r="L70" s="5"/>
      <c r="M70" s="5"/>
      <c r="N70" s="5"/>
      <c r="O70" s="5"/>
      <c r="P70" s="5"/>
      <c r="Q70" s="5"/>
      <c r="R70" s="5"/>
      <c r="S70" s="5"/>
      <c r="T70" s="5"/>
      <c r="U70" s="5"/>
      <c r="X70" s="2">
        <f>110000/X67</f>
        <v>7.4049889430051463E-4</v>
      </c>
    </row>
    <row r="71" spans="1:24" ht="12" customHeight="1" x14ac:dyDescent="0.2">
      <c r="V71" s="5"/>
    </row>
    <row r="72" spans="1:24" ht="12" customHeight="1" x14ac:dyDescent="0.2"/>
  </sheetData>
  <conditionalFormatting sqref="Y7:AB9 AD7:AD9 AF7:AI9 Y13:AB18 AD13:AD18 AF13:AI18 Y22:AI22 Y26:AB27 AD26:AD27 AF26:AI27 Y31:AB33 AD31:AD33 AF31:AI33 Y37:AB38 AD37:AD38 AF37:AI38 Y42:AB44 AD42:AD44 AF42:AI44 Y48:AB51 AD48:AD51 AF48:AI51 Y55:AB63 AD55:AD63 AF55:AI63">
    <cfRule type="containsBlanks" dxfId="16" priority="19">
      <formula>LEN(TRIM(Y7))=0</formula>
    </cfRule>
  </conditionalFormatting>
  <conditionalFormatting sqref="AC7:AC9">
    <cfRule type="containsBlanks" dxfId="15" priority="18">
      <formula>LEN(TRIM(AC7))=0</formula>
    </cfRule>
  </conditionalFormatting>
  <conditionalFormatting sqref="AC13:AC18">
    <cfRule type="containsBlanks" dxfId="14" priority="16">
      <formula>LEN(TRIM(AC13))=0</formula>
    </cfRule>
  </conditionalFormatting>
  <conditionalFormatting sqref="AC26:AC27">
    <cfRule type="containsBlanks" dxfId="13" priority="12">
      <formula>LEN(TRIM(AC26))=0</formula>
    </cfRule>
  </conditionalFormatting>
  <conditionalFormatting sqref="AC31:AC33">
    <cfRule type="containsBlanks" dxfId="12" priority="10">
      <formula>LEN(TRIM(AC31))=0</formula>
    </cfRule>
  </conditionalFormatting>
  <conditionalFormatting sqref="AC37:AC38">
    <cfRule type="containsBlanks" dxfId="11" priority="8">
      <formula>LEN(TRIM(AC37))=0</formula>
    </cfRule>
  </conditionalFormatting>
  <conditionalFormatting sqref="AC42:AC44">
    <cfRule type="containsBlanks" dxfId="10" priority="2">
      <formula>LEN(TRIM(AC42))=0</formula>
    </cfRule>
  </conditionalFormatting>
  <conditionalFormatting sqref="AC48:AC51">
    <cfRule type="containsBlanks" dxfId="9" priority="6">
      <formula>LEN(TRIM(AC48))=0</formula>
    </cfRule>
  </conditionalFormatting>
  <conditionalFormatting sqref="AC55:AC63">
    <cfRule type="containsBlanks" dxfId="8" priority="4">
      <formula>LEN(TRIM(AC55))=0</formula>
    </cfRule>
  </conditionalFormatting>
  <conditionalFormatting sqref="AE7:AE9">
    <cfRule type="containsBlanks" dxfId="7" priority="17">
      <formula>LEN(TRIM(AE7))=0</formula>
    </cfRule>
  </conditionalFormatting>
  <conditionalFormatting sqref="AE13:AE18">
    <cfRule type="containsBlanks" dxfId="6" priority="15">
      <formula>LEN(TRIM(AE13))=0</formula>
    </cfRule>
  </conditionalFormatting>
  <conditionalFormatting sqref="AE26:AE27">
    <cfRule type="containsBlanks" dxfId="5" priority="11">
      <formula>LEN(TRIM(AE26))=0</formula>
    </cfRule>
  </conditionalFormatting>
  <conditionalFormatting sqref="AE31:AE33">
    <cfRule type="containsBlanks" dxfId="4" priority="9">
      <formula>LEN(TRIM(AE31))=0</formula>
    </cfRule>
  </conditionalFormatting>
  <conditionalFormatting sqref="AE37:AE38">
    <cfRule type="containsBlanks" dxfId="3" priority="7">
      <formula>LEN(TRIM(AE37))=0</formula>
    </cfRule>
  </conditionalFormatting>
  <conditionalFormatting sqref="AE42:AE44">
    <cfRule type="containsBlanks" dxfId="2" priority="1">
      <formula>LEN(TRIM(AE42))=0</formula>
    </cfRule>
  </conditionalFormatting>
  <conditionalFormatting sqref="AE48:AE51">
    <cfRule type="containsBlanks" dxfId="1" priority="5">
      <formula>LEN(TRIM(AE48))=0</formula>
    </cfRule>
  </conditionalFormatting>
  <conditionalFormatting sqref="AE55:AE63">
    <cfRule type="containsBlanks" dxfId="0" priority="3">
      <formula>LEN(TRIM(AE55))=0</formula>
    </cfRule>
  </conditionalFormatting>
  <dataValidations count="3">
    <dataValidation type="list" allowBlank="1" showInputMessage="1" showErrorMessage="1" sqref="Y13:AB18 AG42:AI44 AG48:AI51 AD26:AD27 AG37:AI38 Y7:AB9 AD7:AD9 AG31:AI33 AD31:AD33 Y31:AB33 AG26:AI27 Y26:AB27 Y37:AB38 AG55:AI63 AD37:AD38 AG7:AI9 Y42:AB44 AG13:AI18 Y55:AB63 AD55:AD63 AD42:AD44 AD48:AD51 Y48:AB51" xr:uid="{FBA1905A-A432-4954-A4BB-93E05625C0CB}">
      <formula1>$AF$1:$AF$2</formula1>
    </dataValidation>
    <dataValidation type="list" allowBlank="1" showInputMessage="1" showErrorMessage="1" sqref="AC7:AC9 AE7:AE9 AC13:AC18 AE31:AE33 AC31:AC33 AE13:AE18 AC26:AC27 AE26:AE27 AE37:AE38 AC55:AC63 AC37:AC38 AE42:AE44 AC42:AC44 AE55:AE63 AE48:AE51 AC48:AC51" xr:uid="{C9BD9AA1-23A0-45EB-B100-874663D55D95}">
      <formula1>$AG$1:$AG$3</formula1>
    </dataValidation>
    <dataValidation type="list" allowBlank="1" showInputMessage="1" showErrorMessage="1" sqref="AF7:AF9 AF13:AF18 AD13:AD18 AF26:AF27 AF55:AF63 AF42:AF44 AF37:AF38 AF48:AF51 AF31:AF33 Y22:AI22" xr:uid="{D8F2C03D-A1AD-4ACA-9665-D34AD003CDAD}">
      <formula1>$AF$1:$AF$3</formula1>
    </dataValidation>
  </dataValidation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Objecten</vt:lpstr>
    </vt:vector>
  </TitlesOfParts>
  <Company>Aon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Rini Pasman</dc:creator>
  <cp:lastModifiedBy>Kimberley Kole-Dijkstra</cp:lastModifiedBy>
  <dcterms:created xsi:type="dcterms:W3CDTF">2025-12-12T08:00:03Z</dcterms:created>
  <dcterms:modified xsi:type="dcterms:W3CDTF">2026-10-05T11:42:01Z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2025-12-12T08:26:23Z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c691f1e5-ca99-40af-bbda-7b71c6f2effd</vt:lpwstr>
  </property>
  <property fmtid="{D5CDD505-2E9C-101B-9397-08002B2CF9AE}" pid="8" name="MSIP_Label_9043f10a-881e-4653-a55e-02ca2cc829dc_ContentBits">
    <vt:lpwstr>0</vt:lpwstr>
  </property>
  <property fmtid="{D5CDD505-2E9C-101B-9397-08002B2CF9AE}" pid="9" name="MSIP_Label_9043f10a-881e-4653-a55e-02ca2cc829dc_Tag">
    <vt:lpwstr>10, 3, 0, 1</vt:lpwstr>
  </property>
</Properties>
</file>